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5.xml" ContentType="application/vnd.openxmlformats-officedocument.spreadsheetml.comments+xml"/>
  <Override PartName="/xl/workbook.xml" ContentType="application/vnd.openxmlformats-officedocument.spreadsheetml.sheet.main+xml"/>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2.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comments40.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41.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13.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READ ME v2.9 (2026 tax)" sheetId="2" state="visible" r:id="rId4"/>
    <sheet name="C01 Borrowing" sheetId="3" state="visible" r:id="rId5"/>
    <sheet name="C02 Mortgage repayment" sheetId="4" state="visible" r:id="rId6"/>
    <sheet name="C03 Deposit" sheetId="5" state="visible" r:id="rId7"/>
    <sheet name="C04 Mortgage overpayment" sheetId="6" state="visible" r:id="rId8"/>
    <sheet name="C05 Interest rate impact" sheetId="7" state="visible" r:id="rId9"/>
    <sheet name="C06 Term comparison" sheetId="8" state="visible" r:id="rId10"/>
    <sheet name="C07 Rent vs buy" sheetId="9" state="visible" r:id="rId11"/>
    <sheet name="C08 Goal planner" sheetId="10" state="visible" r:id="rId12"/>
    <sheet name="C09 Compound growth" sheetId="11" state="visible" r:id="rId13"/>
    <sheet name="C10 Lump sum growth" sheetId="12" state="visible" r:id="rId14"/>
    <sheet name="C11 Emergency fund" sheetId="13" state="visible" r:id="rId15"/>
    <sheet name="C12 Retirement projection" sheetId="14" state="visible" r:id="rId16"/>
    <sheet name="C13 Contribution impact" sheetId="15" state="visible" r:id="rId17"/>
    <sheet name="C14 AVC impact" sheetId="16" state="visible" r:id="rId18"/>
    <sheet name="C15 Will my money last" sheetId="17" state="visible" r:id="rId19"/>
    <sheet name="C16 Drawdown scenarios" sheetId="18" state="visible" r:id="rId20"/>
    <sheet name="C17 Inflation adjusted return" sheetId="19" state="visible" r:id="rId21"/>
    <sheet name="C18 Regular investing" sheetId="20" state="visible" r:id="rId22"/>
    <sheet name="C19 Fees impact" sheetId="21" state="visible" r:id="rId23"/>
    <sheet name="C20 Risk and return" sheetId="22" state="visible" r:id="rId24"/>
    <sheet name="C21 Life cover" sheetId="23" state="visible" r:id="rId25"/>
    <sheet name="C22 Income protection gap" sheetId="24" state="visible" r:id="rId26"/>
    <sheet name="C23 Mortgage protection" sheetId="25" state="visible" r:id="rId27"/>
    <sheet name="C24 Net worth" sheetId="26" state="visible" r:id="rId28"/>
    <sheet name="C25 Monthly surplus" sheetId="27" state="visible" r:id="rId29"/>
    <sheet name="C26 Budget 50 30 20" sheetId="28" state="visible" r:id="rId30"/>
    <sheet name="C27 Debt repayment" sheetId="29" state="visible" r:id="rId31"/>
    <sheet name="C28 Loan repayment" sheetId="30" state="visible" r:id="rId32"/>
    <sheet name="Plan inputs" sheetId="31" state="visible" r:id="rId33"/>
    <sheet name="Plan pay &amp; tax" sheetId="32" state="visible" r:id="rId34"/>
    <sheet name="Plan cashflow" sheetId="33" state="visible" r:id="rId35"/>
    <sheet name="Plan goals" sheetId="34" state="visible" r:id="rId36"/>
    <sheet name="Plan results" sheetId="35" state="visible" r:id="rId37"/>
    <sheet name="Plan profile" sheetId="36" state="visible" r:id="rId38"/>
    <sheet name="Plan debt months" sheetId="37" state="visible" r:id="rId39"/>
    <sheet name="Plan how it works" sheetId="38" state="visible" r:id="rId40"/>
    <sheet name="Calculation register" sheetId="39" state="visible" r:id="rId41"/>
    <sheet name="Tax engine" sheetId="40" state="visible" r:id="rId42"/>
    <sheet name="Document reader spec" sheetId="41" state="visible" r:id="rId43"/>
    <sheet name="Your lists" sheetId="42" state="visible" r:id="rId44"/>
    <sheet name="Settings" sheetId="43" state="visible" r:id="rId45"/>
    <sheet name="Assumptions" sheetId="44" state="visible" r:id="rId46"/>
    <sheet name="Report spec" sheetId="45" state="visible" r:id="rId47"/>
    <sheet name="Tax assumptions 2026" sheetId="46" state="visible" r:id="rId48"/>
    <sheet name="C29 Investment tax" sheetId="47" state="visible" r:id="rId49"/>
    <sheet name="C30 Sale gift inheritance" sheetId="48" state="visible" r:id="rId50"/>
    <sheet name="Tax guide 2026" sheetId="49" state="visible" r:id="rId51"/>
    <sheet name="Cash flow (clean)" sheetId="50" state="visible" r:id="rId52"/>
    <sheet name="Assumptions list 2026" sheetId="51" state="visible" r:id="rId53"/>
  </sheets>
  <definedNames>
    <definedName function="false" hidden="true" localSheetId="38"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2" name="Borrow_By_Income" vbProcedure="false">'C01 Borrowing'!$C$21</definedName>
    <definedName function="false" hidden="false" localSheetId="2" name="Buying_Fees" vbProcedure="false">'C01 Borrowing'!$G$12</definedName>
    <definedName function="false" hidden="false" localSheetId="2" name="Buying_Fees_Entry" vbProcedure="false">'C01 Borrowing'!$C$12</definedName>
    <definedName function="false" hidden="false" localSheetId="2" name="Cash_At_Band_1" vbProcedure="false">'C01 Borrowing'!$C$25</definedName>
    <definedName function="false" hidden="false" localSheetId="2" name="Cash_At_Band_2" vbProcedure="false">'C01 Borrowing'!$C$26</definedName>
    <definedName function="false" hidden="false" localSheetId="2" name="Cash_For_Price" vbProcedure="false">'C01 Borrowing'!$C$24</definedName>
    <definedName function="false" hidden="false" localSheetId="2" name="Deposit" vbProcedure="false">'C01 Borrowing'!$G$8</definedName>
    <definedName function="false" hidden="false" localSheetId="2" name="Deposit_Entry" vbProcedure="false">'C01 Borrowing'!$C$8</definedName>
    <definedName function="false" hidden="false" localSheetId="2" name="Extra_Deposit" vbProcedure="false">'C01 Borrowing'!$G$14</definedName>
    <definedName function="false" hidden="false" localSheetId="2" name="Extra_Deposit_Entry" vbProcedure="false">'C01 Borrowing'!$C$14</definedName>
    <definedName function="false" hidden="false" localSheetId="2" name="First_Time_Buyer" vbProcedure="false">'C01 Borrowing'!$G$9</definedName>
    <definedName function="false" hidden="false" localSheetId="2" name="First_Time_Buyer_Entry" vbProcedure="false">'C01 Borrowing'!$C$9</definedName>
    <definedName function="false" hidden="false" localSheetId="2" name="Home_Goal_Years" vbProcedure="false">'C01 Borrowing'!$G$13</definedName>
    <definedName function="false" hidden="false" localSheetId="2" name="Home_Goal_Years_Entry" vbProcedure="false">'C01 Borrowing'!$C$13</definedName>
    <definedName function="false" hidden="false" localSheetId="2" name="Home_Price" vbProcedure="false">'C01 Borrowing'!$C$17</definedName>
    <definedName function="false" hidden="false" localSheetId="2" name="Income" vbProcedure="false">'C01 Borrowing'!$G$6</definedName>
    <definedName function="false" hidden="false" localSheetId="2" name="Income_Cash" vbProcedure="false">'C01 Borrowing'!$C$28</definedName>
    <definedName function="false" hidden="false" localSheetId="2" name="Income_Entry" vbProcedure="false">'C01 Borrowing'!$C$6</definedName>
    <definedName function="false" hidden="false" localSheetId="2" name="Income_Multiple" vbProcedure="false">'C01 Borrowing'!$C$22</definedName>
    <definedName function="false" hidden="false" localSheetId="2" name="Interest_Rate" vbProcedure="false">'C01 Borrowing'!$G$10</definedName>
    <definedName function="false" hidden="false" localSheetId="2" name="Interest_Rate_Entry" vbProcedure="false">'C01 Borrowing'!$C$10</definedName>
    <definedName function="false" hidden="false" localSheetId="2" name="Limit_Set_By" vbProcedure="false">'C01 Borrowing'!$C$30</definedName>
    <definedName function="false" hidden="false" localSheetId="2" name="Max_Loan" vbProcedure="false">'C01 Borrowing'!$C$18</definedName>
    <definedName function="false" hidden="false" localSheetId="2" name="Monthly_Repayment" vbProcedure="false">'C01 Borrowing'!$C$19</definedName>
    <definedName function="false" hidden="false" localSheetId="2" name="Need_1" vbProcedure="false">'C01 Borrowing'!$C$49</definedName>
    <definedName function="false" hidden="false" localSheetId="2" name="Need_2" vbProcedure="false">'C01 Borrowing'!$C$50</definedName>
    <definedName function="false" hidden="false" localSheetId="2" name="Need_3" vbProcedure="false">'C01 Borrowing'!$C$51</definedName>
    <definedName function="false" hidden="false" localSheetId="2" name="Need_4" vbProcedure="false">'C01 Borrowing'!$C$52</definedName>
    <definedName function="false" hidden="false" localSheetId="2" name="Need_5" vbProcedure="false">'C01 Borrowing'!$C$53</definedName>
    <definedName function="false" hidden="false" localSheetId="2" name="Need_6" vbProcedure="false">'C01 Borrowing'!$C$54</definedName>
    <definedName function="false" hidden="false" localSheetId="2" name="Need_7" vbProcedure="false">'C01 Borrowing'!$C$55</definedName>
    <definedName function="false" hidden="false" localSheetId="2" name="Partner_Income" vbProcedure="false">'C01 Borrowing'!$G$7</definedName>
    <definedName function="false" hidden="false" localSheetId="2" name="Partner_Income_Entry" vbProcedure="false">'C01 Borrowing'!$C$7</definedName>
    <definedName function="false" hidden="false" localSheetId="2" name="Plan_Goal_Amount" vbProcedure="false">'C01 Borrowing'!$C$44</definedName>
    <definedName function="false" hidden="false" localSheetId="2" name="Plan_Goal_Kind" vbProcedure="false">'C01 Borrowing'!$C$43</definedName>
    <definedName function="false" hidden="false" localSheetId="2" name="Plan_Goal_Saved" vbProcedure="false">'C01 Borrowing'!$C$45</definedName>
    <definedName function="false" hidden="false" localSheetId="2" name="Plan_Goal_Years" vbProcedure="false">'C01 Borrowing'!$C$46</definedName>
    <definedName function="false" hidden="false" localSheetId="2" name="Price_By_Deposit" vbProcedure="false">'C01 Borrowing'!$C$27</definedName>
    <definedName function="false" hidden="false" localSheetId="2" name="Price_By_Income" vbProcedure="false">'C01 Borrowing'!$C$29</definedName>
    <definedName function="false" hidden="false" localSheetId="2" name="Stamp_Duty" vbProcedure="false">'C01 Borrowing'!$C$20</definedName>
    <definedName function="false" hidden="false" localSheetId="2" name="Term_Years" vbProcedure="false">'C01 Borrowing'!$G$11</definedName>
    <definedName function="false" hidden="false" localSheetId="2" name="Term_Years_Entry" vbProcedure="false">'C01 Borrowing'!$C$11</definedName>
    <definedName function="false" hidden="false" localSheetId="2" name="Total_Deposit" vbProcedure="false">'C01 Borrowing'!$C$23</definedName>
    <definedName function="false" hidden="false" localSheetId="3" name="Actual_Repayment" vbProcedure="false">'C02 Mortgage repayment'!$G$17</definedName>
    <definedName function="false" hidden="false" localSheetId="3" name="Actual_Repayment_Entry" vbProcedure="false">'C02 Mortgage repayment'!$C$17</definedName>
    <definedName function="false" hidden="false" localSheetId="3" name="Change_Per_Year" vbProcedure="false">'C02 Mortgage repayment'!$C$38</definedName>
    <definedName function="false" hidden="false" localSheetId="3" name="Final_Payment" vbProcedure="false">'C02 Mortgage repayment'!$C$35</definedName>
    <definedName function="false" hidden="false" localSheetId="3" name="Formula_Repayment" vbProcedure="false">'C02 Mortgage repayment'!$C$34</definedName>
    <definedName function="false" hidden="false" localSheetId="3" name="Home_Goal_Years" vbProcedure="false">'C02 Mortgage repayment'!$G$18</definedName>
    <definedName function="false" hidden="false" localSheetId="3" name="Home_Goal_Years_Entry" vbProcedure="false">'C02 Mortgage repayment'!$C$18</definedName>
    <definedName function="false" hidden="false" localSheetId="3" name="Interest_Rate" vbProcedure="false">'C02 Mortgage repayment'!$G$15</definedName>
    <definedName function="false" hidden="false" localSheetId="3" name="Interest_Rate_Entry" vbProcedure="false">'C02 Mortgage repayment'!$C$15</definedName>
    <definedName function="false" hidden="false" localSheetId="3" name="Loan_Amount" vbProcedure="false">'C02 Mortgage repayment'!$G$14</definedName>
    <definedName function="false" hidden="false" localSheetId="3" name="Loan_Amount_Entry" vbProcedure="false">'C02 Mortgage repayment'!$C$14</definedName>
    <definedName function="false" hidden="false" localSheetId="3" name="Monthly_Rate" vbProcedure="false">'C02 Mortgage repayment'!$C$33</definedName>
    <definedName function="false" hidden="false" localSheetId="3" name="Monthly_Repayment" vbProcedure="false">'C02 Mortgage repayment'!$C$29</definedName>
    <definedName function="false" hidden="false" localSheetId="3" name="Months_To_Pay" vbProcedure="false">'C02 Mortgage repayment'!$C$30</definedName>
    <definedName function="false" hidden="false" localSheetId="3" name="Need_1" vbProcedure="false">'C02 Mortgage repayment'!$C$57</definedName>
    <definedName function="false" hidden="false" localSheetId="3" name="Need_2" vbProcedure="false">'C02 Mortgage repayment'!$C$58</definedName>
    <definedName function="false" hidden="false" localSheetId="3" name="Need_3" vbProcedure="false">'C02 Mortgage repayment'!$C$59</definedName>
    <definedName function="false" hidden="false" localSheetId="3" name="Need_4" vbProcedure="false">'C02 Mortgage repayment'!$C$60</definedName>
    <definedName function="false" hidden="false" localSheetId="3" name="Need_5" vbProcedure="false">'C02 Mortgage repayment'!$C$61</definedName>
    <definedName function="false" hidden="false" localSheetId="3" name="New_Rate" vbProcedure="false">'C02 Mortgage repayment'!$C$36</definedName>
    <definedName function="false" hidden="false" localSheetId="3" name="Plan_Goal_Amount" vbProcedure="false">'C02 Mortgage repayment'!$C$52</definedName>
    <definedName function="false" hidden="false" localSheetId="3" name="Plan_Goal_Kind" vbProcedure="false">'C02 Mortgage repayment'!$C$51</definedName>
    <definedName function="false" hidden="false" localSheetId="3" name="Plan_Goal_Years" vbProcedure="false">'C02 Mortgage repayment'!$C$53</definedName>
    <definedName function="false" hidden="false" localSheetId="3" name="Rate_Change" vbProcedure="false">'C02 Mortgage repayment'!$G$19</definedName>
    <definedName function="false" hidden="false" localSheetId="3" name="Rate_Change_Entry" vbProcedure="false">'C02 Mortgage repayment'!$C$19</definedName>
    <definedName function="false" hidden="false" localSheetId="3" name="Repayment_If_Changed" vbProcedure="false">'C02 Mortgage repayment'!$C$37</definedName>
    <definedName function="false" hidden="false" localSheetId="3" name="Statement_Check" vbProcedure="false">'C02 Mortgage repayment'!$C$26</definedName>
    <definedName function="false" hidden="false" localSheetId="3" name="Stmt_Balance" vbProcedure="false">'C02 Mortgage repayment'!$C$7</definedName>
    <definedName function="false" hidden="false" localSheetId="3" name="Stmt_Rate" vbProcedure="false">'C02 Mortgage repayment'!$C$8</definedName>
    <definedName function="false" hidden="false" localSheetId="3" name="Stmt_Repayment" vbProcedure="false">'C02 Mortgage repayment'!$C$10</definedName>
    <definedName function="false" hidden="false" localSheetId="3" name="Stmt_Statement_Date" vbProcedure="false">'C02 Mortgage repayment'!$C$11</definedName>
    <definedName function="false" hidden="false" localSheetId="3" name="Stmt_Term" vbProcedure="false">'C02 Mortgage repayment'!$C$9</definedName>
    <definedName function="false" hidden="false" localSheetId="3" name="Term_Years" vbProcedure="false">'C02 Mortgage repayment'!$G$16</definedName>
    <definedName function="false" hidden="false" localSheetId="3" name="Term_Years_Entry" vbProcedure="false">'C02 Mortgage repayment'!$C$16</definedName>
    <definedName function="false" hidden="false" localSheetId="3" name="Total_Interest" vbProcedure="false">'C02 Mortgage repayment'!$C$31</definedName>
    <definedName function="false" hidden="false" localSheetId="3" name="Total_Repaid" vbProcedure="false">'C02 Mortgage repayment'!$C$32</definedName>
    <definedName function="false" hidden="false" localSheetId="3" name="Used_Actual_Repayment" vbProcedure="false">'C02 Mortgage repayment'!$C$25</definedName>
    <definedName function="false" hidden="false" localSheetId="3" name="Used_Interest_Rate" vbProcedure="false">'C02 Mortgage repayment'!$C$23</definedName>
    <definedName function="false" hidden="false" localSheetId="3" name="Used_Loan_Amount" vbProcedure="false">'C02 Mortgage repayment'!$C$22</definedName>
    <definedName function="false" hidden="false" localSheetId="3" name="Used_Term_Years" vbProcedure="false">'C02 Mortgage repayment'!$C$24</definedName>
    <definedName function="false" hidden="false" localSheetId="4" name="Buying_Fees" vbProcedure="false">'C03 Deposit'!$G$8</definedName>
    <definedName function="false" hidden="false" localSheetId="4" name="Buying_Fees_Entry" vbProcedure="false">'C03 Deposit'!$C$8</definedName>
    <definedName function="false" hidden="false" localSheetId="4" name="Deposit_Needed" vbProcedure="false">'C03 Deposit'!$C$17</definedName>
    <definedName function="false" hidden="false" localSheetId="4" name="Deposit_Pct" vbProcedure="false">'C03 Deposit'!$G$7</definedName>
    <definedName function="false" hidden="false" localSheetId="4" name="Deposit_Pct_Entry" vbProcedure="false">'C03 Deposit'!$C$7</definedName>
    <definedName function="false" hidden="false" localSheetId="4" name="Extra_Saving" vbProcedure="false">'C03 Deposit'!$G$11</definedName>
    <definedName function="false" hidden="false" localSheetId="4" name="Extra_Saving_Entry" vbProcedure="false">'C03 Deposit'!$C$11</definedName>
    <definedName function="false" hidden="false" localSheetId="4" name="Home_Price" vbProcedure="false">'C03 Deposit'!$G$6</definedName>
    <definedName function="false" hidden="false" localSheetId="4" name="Home_Price_Entry" vbProcedure="false">'C03 Deposit'!$C$6</definedName>
    <definedName function="false" hidden="false" localSheetId="4" name="Monthly_Saving" vbProcedure="false">'C03 Deposit'!$G$10</definedName>
    <definedName function="false" hidden="false" localSheetId="4" name="Monthly_Saving_Entry" vbProcedure="false">'C03 Deposit'!$C$10</definedName>
    <definedName function="false" hidden="false" localSheetId="4" name="Months_To_Deposit" vbProcedure="false">'C03 Deposit'!$C$14</definedName>
    <definedName function="false" hidden="false" localSheetId="4" name="Need_1" vbProcedure="false">'C03 Deposit'!$C$35</definedName>
    <definedName function="false" hidden="false" localSheetId="4" name="Need_2" vbProcedure="false">'C03 Deposit'!$C$36</definedName>
    <definedName function="false" hidden="false" localSheetId="4" name="Need_3" vbProcedure="false">'C03 Deposit'!$C$37</definedName>
    <definedName function="false" hidden="false" localSheetId="4" name="Need_4" vbProcedure="false">'C03 Deposit'!$C$38</definedName>
    <definedName function="false" hidden="false" localSheetId="4" name="Need_5" vbProcedure="false">'C03 Deposit'!$C$39</definedName>
    <definedName function="false" hidden="false" localSheetId="4" name="Need_6" vbProcedure="false">'C03 Deposit'!$C$40</definedName>
    <definedName function="false" hidden="false" localSheetId="4" name="Plan_Goal_Amount" vbProcedure="false">'C03 Deposit'!$C$30</definedName>
    <definedName function="false" hidden="false" localSheetId="4" name="Plan_Goal_Kind" vbProcedure="false">'C03 Deposit'!$C$29</definedName>
    <definedName function="false" hidden="false" localSheetId="4" name="Plan_Goal_Saved" vbProcedure="false">'C03 Deposit'!$C$31</definedName>
    <definedName function="false" hidden="false" localSheetId="4" name="Plan_Goal_Years" vbProcedure="false">'C03 Deposit'!$C$32</definedName>
    <definedName function="false" hidden="false" localSheetId="4" name="Saved" vbProcedure="false">'C03 Deposit'!$G$9</definedName>
    <definedName function="false" hidden="false" localSheetId="4" name="Saved_Entry" vbProcedure="false">'C03 Deposit'!$C$9</definedName>
    <definedName function="false" hidden="false" localSheetId="4" name="Stamp_Duty" vbProcedure="false">'C03 Deposit'!$C$18</definedName>
    <definedName function="false" hidden="false" localSheetId="4" name="Still_To_Save" vbProcedure="false">'C03 Deposit'!$C$16</definedName>
    <definedName function="false" hidden="false" localSheetId="4" name="Total_Needed" vbProcedure="false">'C03 Deposit'!$C$15</definedName>
    <definedName function="false" hidden="false" localSheetId="5" name="Actual_Repayment" vbProcedure="false">'C04 Mortgage overpayment'!$G$18</definedName>
    <definedName function="false" hidden="false" localSheetId="5" name="Actual_Repayment_Entry" vbProcedure="false">'C04 Mortgage overpayment'!$C$18</definedName>
    <definedName function="false" hidden="false" localSheetId="5" name="Extra_Payment" vbProcedure="false">'C04 Mortgage overpayment'!$G$17</definedName>
    <definedName function="false" hidden="false" localSheetId="5" name="Extra_Payment_Entry" vbProcedure="false">'C04 Mortgage overpayment'!$C$17</definedName>
    <definedName function="false" hidden="false" localSheetId="5" name="Interest_Now" vbProcedure="false">'C04 Mortgage overpayment'!$C$37</definedName>
    <definedName function="false" hidden="false" localSheetId="5" name="Interest_Rate" vbProcedure="false">'C04 Mortgage overpayment'!$G$15</definedName>
    <definedName function="false" hidden="false" localSheetId="5" name="Interest_Rate_Entry" vbProcedure="false">'C04 Mortgage overpayment'!$C$15</definedName>
    <definedName function="false" hidden="false" localSheetId="5" name="Interest_Saved" vbProcedure="false">'C04 Mortgage overpayment'!$C$29</definedName>
    <definedName function="false" hidden="false" localSheetId="5" name="Interest_With_Extra" vbProcedure="false">'C04 Mortgage overpayment'!$C$38</definedName>
    <definedName function="false" hidden="false" localSheetId="5" name="Last_Payment_Now" vbProcedure="false">'C04 Mortgage overpayment'!$C$35</definedName>
    <definedName function="false" hidden="false" localSheetId="5" name="Last_Payment_With_Extra" vbProcedure="false">'C04 Mortgage overpayment'!$C$36</definedName>
    <definedName function="false" hidden="false" localSheetId="5" name="Monthly_Rate" vbProcedure="false">'C04 Mortgage overpayment'!$C$32</definedName>
    <definedName function="false" hidden="false" localSheetId="5" name="Months_Now" vbProcedure="false">'C04 Mortgage overpayment'!$C$30</definedName>
    <definedName function="false" hidden="false" localSheetId="5" name="Months_Sooner" vbProcedure="false">'C04 Mortgage overpayment'!$C$28</definedName>
    <definedName function="false" hidden="false" localSheetId="5" name="Months_With_Extra" vbProcedure="false">'C04 Mortgage overpayment'!$C$31</definedName>
    <definedName function="false" hidden="false" localSheetId="5" name="Mortgage_Balance" vbProcedure="false">'C04 Mortgage overpayment'!$G$14</definedName>
    <definedName function="false" hidden="false" localSheetId="5" name="Mortgage_Balance_Entry" vbProcedure="false">'C04 Mortgage overpayment'!$C$14</definedName>
    <definedName function="false" hidden="false" localSheetId="5" name="Need_1" vbProcedure="false">'C04 Mortgage overpayment'!$C$56</definedName>
    <definedName function="false" hidden="false" localSheetId="5" name="Need_2" vbProcedure="false">'C04 Mortgage overpayment'!$C$57</definedName>
    <definedName function="false" hidden="false" localSheetId="5" name="Need_3" vbProcedure="false">'C04 Mortgage overpayment'!$C$58</definedName>
    <definedName function="false" hidden="false" localSheetId="5" name="Plan_Goal_Kind" vbProcedure="false">'C04 Mortgage overpayment'!$C$51</definedName>
    <definedName function="false" hidden="false" localSheetId="5" name="Plan_Goal_Years" vbProcedure="false">'C04 Mortgage overpayment'!$C$52</definedName>
    <definedName function="false" hidden="false" localSheetId="5" name="Repayment_Now" vbProcedure="false">'C04 Mortgage overpayment'!$C$33</definedName>
    <definedName function="false" hidden="false" localSheetId="5" name="Repayment_With_Extra" vbProcedure="false">'C04 Mortgage overpayment'!$C$34</definedName>
    <definedName function="false" hidden="false" localSheetId="5" name="Statement_Check" vbProcedure="false">'C04 Mortgage overpayment'!$C$25</definedName>
    <definedName function="false" hidden="false" localSheetId="5" name="Stmt_Balance" vbProcedure="false">'C04 Mortgage overpayment'!$C$7</definedName>
    <definedName function="false" hidden="false" localSheetId="5" name="Stmt_Rate" vbProcedure="false">'C04 Mortgage overpayment'!$C$8</definedName>
    <definedName function="false" hidden="false" localSheetId="5" name="Stmt_Repayment" vbProcedure="false">'C04 Mortgage overpayment'!$C$10</definedName>
    <definedName function="false" hidden="false" localSheetId="5" name="Stmt_Statement_Date" vbProcedure="false">'C04 Mortgage overpayment'!$C$11</definedName>
    <definedName function="false" hidden="false" localSheetId="5" name="Stmt_Term" vbProcedure="false">'C04 Mortgage overpayment'!$C$9</definedName>
    <definedName function="false" hidden="false" localSheetId="5" name="Used_Actual_Repayment" vbProcedure="false">'C04 Mortgage overpayment'!$C$24</definedName>
    <definedName function="false" hidden="false" localSheetId="5" name="Used_Interest_Rate" vbProcedure="false">'C04 Mortgage overpayment'!$C$22</definedName>
    <definedName function="false" hidden="false" localSheetId="5" name="Used_Mortgage_Balance" vbProcedure="false">'C04 Mortgage overpayment'!$C$21</definedName>
    <definedName function="false" hidden="false" localSheetId="5" name="Used_Years_Left" vbProcedure="false">'C04 Mortgage overpayment'!$C$23</definedName>
    <definedName function="false" hidden="false" localSheetId="5" name="Years_Left" vbProcedure="false">'C04 Mortgage overpayment'!$G$16</definedName>
    <definedName function="false" hidden="false" localSheetId="5" name="Years_Left_Entry" vbProcedure="false">'C04 Mortgage overpayment'!$C$16</definedName>
    <definedName function="false" hidden="false" localSheetId="6" name="Actual_Repayment" vbProcedure="false">'C05 Interest rate impact'!$G$18</definedName>
    <definedName function="false" hidden="false" localSheetId="6" name="Actual_Repayment_Entry" vbProcedure="false">'C05 Interest rate impact'!$C$18</definedName>
    <definedName function="false" hidden="false" localSheetId="6" name="Current_Rate" vbProcedure="false">'C05 Interest rate impact'!$G$15</definedName>
    <definedName function="false" hidden="false" localSheetId="6" name="Current_Rate_Entry" vbProcedure="false">'C05 Interest rate impact'!$C$15</definedName>
    <definedName function="false" hidden="false" localSheetId="6" name="Formula_Now" vbProcedure="false">'C05 Interest rate impact'!$C$32</definedName>
    <definedName function="false" hidden="false" localSheetId="6" name="Monthly_Change" vbProcedure="false">'C05 Interest rate impact'!$C$28</definedName>
    <definedName function="false" hidden="false" localSheetId="6" name="Mortgage_Balance" vbProcedure="false">'C05 Interest rate impact'!$G$14</definedName>
    <definedName function="false" hidden="false" localSheetId="6" name="Mortgage_Balance_Entry" vbProcedure="false">'C05 Interest rate impact'!$C$14</definedName>
    <definedName function="false" hidden="false" localSheetId="6" name="Need_1" vbProcedure="false">'C05 Interest rate impact'!$C$46</definedName>
    <definedName function="false" hidden="false" localSheetId="6" name="Need_2" vbProcedure="false">'C05 Interest rate impact'!$C$47</definedName>
    <definedName function="false" hidden="false" localSheetId="6" name="Need_3" vbProcedure="false">'C05 Interest rate impact'!$C$48</definedName>
    <definedName function="false" hidden="false" localSheetId="6" name="Need_4" vbProcedure="false">'C05 Interest rate impact'!$C$49</definedName>
    <definedName function="false" hidden="false" localSheetId="6" name="New_Rate" vbProcedure="false">'C05 Interest rate impact'!$C$33</definedName>
    <definedName function="false" hidden="false" localSheetId="6" name="Plan_Goal_Kind" vbProcedure="false">'C05 Interest rate impact'!$C$43</definedName>
    <definedName function="false" hidden="false" localSheetId="6" name="Rate_Change" vbProcedure="false">'C05 Interest rate impact'!$G$17</definedName>
    <definedName function="false" hidden="false" localSheetId="6" name="Rate_Change_Entry" vbProcedure="false">'C05 Interest rate impact'!$C$17</definedName>
    <definedName function="false" hidden="false" localSheetId="6" name="Repayment_After" vbProcedure="false">'C05 Interest rate impact'!$C$30</definedName>
    <definedName function="false" hidden="false" localSheetId="6" name="Repayment_Now" vbProcedure="false">'C05 Interest rate impact'!$C$29</definedName>
    <definedName function="false" hidden="false" localSheetId="6" name="Statement_Check" vbProcedure="false">'C05 Interest rate impact'!$C$25</definedName>
    <definedName function="false" hidden="false" localSheetId="6" name="Stmt_Balance" vbProcedure="false">'C05 Interest rate impact'!$C$7</definedName>
    <definedName function="false" hidden="false" localSheetId="6" name="Stmt_Rate" vbProcedure="false">'C05 Interest rate impact'!$C$8</definedName>
    <definedName function="false" hidden="false" localSheetId="6" name="Stmt_Repayment" vbProcedure="false">'C05 Interest rate impact'!$C$10</definedName>
    <definedName function="false" hidden="false" localSheetId="6" name="Stmt_Statement_Date" vbProcedure="false">'C05 Interest rate impact'!$C$11</definedName>
    <definedName function="false" hidden="false" localSheetId="6" name="Stmt_Term" vbProcedure="false">'C05 Interest rate impact'!$C$9</definedName>
    <definedName function="false" hidden="false" localSheetId="6" name="Used_Actual_Repayment" vbProcedure="false">'C05 Interest rate impact'!$C$24</definedName>
    <definedName function="false" hidden="false" localSheetId="6" name="Used_Current_Rate" vbProcedure="false">'C05 Interest rate impact'!$C$22</definedName>
    <definedName function="false" hidden="false" localSheetId="6" name="Used_Mortgage_Balance" vbProcedure="false">'C05 Interest rate impact'!$C$21</definedName>
    <definedName function="false" hidden="false" localSheetId="6" name="Used_Years_Left" vbProcedure="false">'C05 Interest rate impact'!$C$23</definedName>
    <definedName function="false" hidden="false" localSheetId="6" name="Yearly_Change" vbProcedure="false">'C05 Interest rate impact'!$C$31</definedName>
    <definedName function="false" hidden="false" localSheetId="6" name="Years_Left" vbProcedure="false">'C05 Interest rate impact'!$G$16</definedName>
    <definedName function="false" hidden="false" localSheetId="6" name="Years_Left_Entry" vbProcedure="false">'C05 Interest rate impact'!$C$16</definedName>
    <definedName function="false" hidden="false" localSheetId="7" name="Interest_A" vbProcedure="false">'C06 Term comparison'!$C$28</definedName>
    <definedName function="false" hidden="false" localSheetId="7" name="Interest_B" vbProcedure="false">'C06 Term comparison'!$C$29</definedName>
    <definedName function="false" hidden="false" localSheetId="7" name="Interest_Difference" vbProcedure="false">'C06 Term comparison'!$C$25</definedName>
    <definedName function="false" hidden="false" localSheetId="7" name="Interest_Rate" vbProcedure="false">'C06 Term comparison'!$G$14</definedName>
    <definedName function="false" hidden="false" localSheetId="7" name="Interest_Rate_Entry" vbProcedure="false">'C06 Term comparison'!$C$14</definedName>
    <definedName function="false" hidden="false" localSheetId="7" name="Loan_Amount" vbProcedure="false">'C06 Term comparison'!$G$13</definedName>
    <definedName function="false" hidden="false" localSheetId="7" name="Loan_Amount_Entry" vbProcedure="false">'C06 Term comparison'!$C$13</definedName>
    <definedName function="false" hidden="false" localSheetId="7" name="Monthly_A" vbProcedure="false">'C06 Term comparison'!$C$26</definedName>
    <definedName function="false" hidden="false" localSheetId="7" name="Monthly_B" vbProcedure="false">'C06 Term comparison'!$C$27</definedName>
    <definedName function="false" hidden="false" localSheetId="7" name="Need_1" vbProcedure="false">'C06 Term comparison'!$C$42</definedName>
    <definedName function="false" hidden="false" localSheetId="7" name="Need_2" vbProcedure="false">'C06 Term comparison'!$C$43</definedName>
    <definedName function="false" hidden="false" localSheetId="7" name="Need_3" vbProcedure="false">'C06 Term comparison'!$C$44</definedName>
    <definedName function="false" hidden="false" localSheetId="7" name="Plan_Goal_Kind" vbProcedure="false">'C06 Term comparison'!$C$39</definedName>
    <definedName function="false" hidden="false" localSheetId="7" name="Statement_Check" vbProcedure="false">'C06 Term comparison'!$C$22</definedName>
    <definedName function="false" hidden="false" localSheetId="7" name="Stmt_Balance" vbProcedure="false">'C06 Term comparison'!$C$7</definedName>
    <definedName function="false" hidden="false" localSheetId="7" name="Stmt_Rate" vbProcedure="false">'C06 Term comparison'!$C$8</definedName>
    <definedName function="false" hidden="false" localSheetId="7" name="Stmt_Statement_Date" vbProcedure="false">'C06 Term comparison'!$C$10</definedName>
    <definedName function="false" hidden="false" localSheetId="7" name="Stmt_Term" vbProcedure="false">'C06 Term comparison'!$C$9</definedName>
    <definedName function="false" hidden="false" localSheetId="7" name="Term_A" vbProcedure="false">'C06 Term comparison'!$G$15</definedName>
    <definedName function="false" hidden="false" localSheetId="7" name="Term_A_Entry" vbProcedure="false">'C06 Term comparison'!$C$15</definedName>
    <definedName function="false" hidden="false" localSheetId="7" name="Term_B" vbProcedure="false">'C06 Term comparison'!$G$16</definedName>
    <definedName function="false" hidden="false" localSheetId="7" name="Term_B_Entry" vbProcedure="false">'C06 Term comparison'!$C$16</definedName>
    <definedName function="false" hidden="false" localSheetId="7" name="Used_Interest_Rate" vbProcedure="false">'C06 Term comparison'!$C$20</definedName>
    <definedName function="false" hidden="false" localSheetId="7" name="Used_Loan_Amount" vbProcedure="false">'C06 Term comparison'!$C$19</definedName>
    <definedName function="false" hidden="false" localSheetId="7" name="Used_Term_A" vbProcedure="false">'C06 Term comparison'!$C$21</definedName>
    <definedName function="false" hidden="false" localSheetId="8" name="Balance_After" vbProcedure="false">'C07 Rent vs buy'!$C$26</definedName>
    <definedName function="false" hidden="false" localSheetId="8" name="Buying_Costs" vbProcedure="false">'C07 Rent vs buy'!$C$22</definedName>
    <definedName function="false" hidden="false" localSheetId="8" name="Buying_Fees" vbProcedure="false">'C07 Rent vs buy'!$G$15</definedName>
    <definedName function="false" hidden="false" localSheetId="8" name="Buying_Fees_Entry" vbProcedure="false">'C07 Rent vs buy'!$C$15</definedName>
    <definedName function="false" hidden="false" localSheetId="8" name="Deposit" vbProcedure="false">'C07 Rent vs buy'!$G$8</definedName>
    <definedName function="false" hidden="false" localSheetId="8" name="Deposit_Entry" vbProcedure="false">'C07 Rent vs buy'!$C$8</definedName>
    <definedName function="false" hidden="false" localSheetId="8" name="Deposit_Used" vbProcedure="false">'C07 Rent vs buy'!$C$18</definedName>
    <definedName function="false" hidden="false" localSheetId="8" name="Home_Equity" vbProcedure="false">'C07 Rent vs buy'!$C$20</definedName>
    <definedName function="false" hidden="false" localSheetId="8" name="Home_Goal_Years" vbProcedure="false">'C07 Rent vs buy'!$G$17</definedName>
    <definedName function="false" hidden="false" localSheetId="8" name="Home_Goal_Years_Entry" vbProcedure="false">'C07 Rent vs buy'!$C$17</definedName>
    <definedName function="false" hidden="false" localSheetId="8" name="Home_Price" vbProcedure="false">'C07 Rent vs buy'!$G$7</definedName>
    <definedName function="false" hidden="false" localSheetId="8" name="Home_Price_Entry" vbProcedure="false">'C07 Rent vs buy'!$C$7</definedName>
    <definedName function="false" hidden="false" localSheetId="8" name="Home_Value" vbProcedure="false">'C07 Rent vs buy'!$C$23</definedName>
    <definedName function="false" hidden="false" localSheetId="8" name="House_Growth" vbProcedure="false">'C07 Rent vs buy'!$G$12</definedName>
    <definedName function="false" hidden="false" localSheetId="8" name="House_Growth_Entry" vbProcedure="false">'C07 Rent vs buy'!$C$12</definedName>
    <definedName function="false" hidden="false" localSheetId="8" name="Interest_Paid" vbProcedure="false">'C07 Rent vs buy'!$C$27</definedName>
    <definedName function="false" hidden="false" localSheetId="8" name="Loan" vbProcedure="false">'C07 Rent vs buy'!$C$24</definedName>
    <definedName function="false" hidden="false" localSheetId="8" name="Monthly_Rent" vbProcedure="false">'C07 Rent vs buy'!$G$6</definedName>
    <definedName function="false" hidden="false" localSheetId="8" name="Monthly_Rent_Entry" vbProcedure="false">'C07 Rent vs buy'!$C$6</definedName>
    <definedName function="false" hidden="false" localSheetId="8" name="Monthly_Repayment" vbProcedure="false">'C07 Rent vs buy'!$C$25</definedName>
    <definedName function="false" hidden="false" localSheetId="8" name="Mortgage_Rate" vbProcedure="false">'C07 Rent vs buy'!$G$9</definedName>
    <definedName function="false" hidden="false" localSheetId="8" name="Mortgage_Rate_Entry" vbProcedure="false">'C07 Rent vs buy'!$C$9</definedName>
    <definedName function="false" hidden="false" localSheetId="8" name="Need_1" vbProcedure="false">'C07 Rent vs buy'!$C$46</definedName>
    <definedName function="false" hidden="false" localSheetId="8" name="Need_10" vbProcedure="false">'C07 Rent vs buy'!$C$55</definedName>
    <definedName function="false" hidden="false" localSheetId="8" name="Need_11" vbProcedure="false">'C07 Rent vs buy'!$C$56</definedName>
    <definedName function="false" hidden="false" localSheetId="8" name="Need_12" vbProcedure="false">'C07 Rent vs buy'!$C$57</definedName>
    <definedName function="false" hidden="false" localSheetId="8" name="Need_2" vbProcedure="false">'C07 Rent vs buy'!$C$47</definedName>
    <definedName function="false" hidden="false" localSheetId="8" name="Need_3" vbProcedure="false">'C07 Rent vs buy'!$C$48</definedName>
    <definedName function="false" hidden="false" localSheetId="8" name="Need_4" vbProcedure="false">'C07 Rent vs buy'!$C$49</definedName>
    <definedName function="false" hidden="false" localSheetId="8" name="Need_5" vbProcedure="false">'C07 Rent vs buy'!$C$50</definedName>
    <definedName function="false" hidden="false" localSheetId="8" name="Need_6" vbProcedure="false">'C07 Rent vs buy'!$C$51</definedName>
    <definedName function="false" hidden="false" localSheetId="8" name="Need_7" vbProcedure="false">'C07 Rent vs buy'!$C$52</definedName>
    <definedName function="false" hidden="false" localSheetId="8" name="Need_8" vbProcedure="false">'C07 Rent vs buy'!$C$53</definedName>
    <definedName function="false" hidden="false" localSheetId="8" name="Need_9" vbProcedure="false">'C07 Rent vs buy'!$C$54</definedName>
    <definedName function="false" hidden="false" localSheetId="8" name="Opportunity_Cost" vbProcedure="false">'C07 Rent vs buy'!$C$30</definedName>
    <definedName function="false" hidden="false" localSheetId="8" name="Opp_Rate" vbProcedure="false">'C07 Rent vs buy'!$G$16</definedName>
    <definedName function="false" hidden="false" localSheetId="8" name="Opp_Rate_Entry" vbProcedure="false">'C07 Rent vs buy'!$C$16</definedName>
    <definedName function="false" hidden="false" localSheetId="8" name="Plan_Goal_Amount" vbProcedure="false">'C07 Rent vs buy'!$C$42</definedName>
    <definedName function="false" hidden="false" localSheetId="8" name="Plan_Goal_Kind" vbProcedure="false">'C07 Rent vs buy'!$C$41</definedName>
    <definedName function="false" hidden="false" localSheetId="8" name="Plan_Goal_Years" vbProcedure="false">'C07 Rent vs buy'!$C$43</definedName>
    <definedName function="false" hidden="false" localSheetId="8" name="RentBuy_Term" vbProcedure="false">'C07 Rent vs buy'!$G$10</definedName>
    <definedName function="false" hidden="false" localSheetId="8" name="RentBuy_Term_Entry" vbProcedure="false">'C07 Rent vs buy'!$C$10</definedName>
    <definedName function="false" hidden="false" localSheetId="8" name="Rent_Growth" vbProcedure="false">'C07 Rent vs buy'!$G$13</definedName>
    <definedName function="false" hidden="false" localSheetId="8" name="Rent_Growth_Entry" vbProcedure="false">'C07 Rent vs buy'!$C$13</definedName>
    <definedName function="false" hidden="false" localSheetId="8" name="Rent_Paid" vbProcedure="false">'C07 Rent vs buy'!$C$21</definedName>
    <definedName function="false" hidden="false" localSheetId="8" name="Stamp_Duty" vbProcedure="false">'C07 Rent vs buy'!$C$29</definedName>
    <definedName function="false" hidden="false" localSheetId="8" name="Upkeep" vbProcedure="false">'C07 Rent vs buy'!$C$28</definedName>
    <definedName function="false" hidden="false" localSheetId="8" name="Upkeep_Rate" vbProcedure="false">'C07 Rent vs buy'!$G$14</definedName>
    <definedName function="false" hidden="false" localSheetId="8" name="Upkeep_Rate_Entry" vbProcedure="false">'C07 Rent vs buy'!$C$14</definedName>
    <definedName function="false" hidden="false" localSheetId="8" name="Years" vbProcedure="false">'C07 Rent vs buy'!$G$11</definedName>
    <definedName function="false" hidden="false" localSheetId="8" name="Years_Entry" vbProcedure="false">'C07 Rent vs buy'!$C$11</definedName>
    <definedName function="false" hidden="false" localSheetId="9" name="Future_Cost" vbProcedure="false">'C08 Goal planner'!$C$17</definedName>
    <definedName function="false" hidden="false" localSheetId="9" name="Goal_Amount" vbProcedure="false">'C08 Goal planner'!$G$10</definedName>
    <definedName function="false" hidden="false" localSheetId="9" name="Goal_Amount_Entry" vbProcedure="false">'C08 Goal planner'!$C$10</definedName>
    <definedName function="false" hidden="false" localSheetId="9" name="Growth_Rate" vbProcedure="false">'C08 Goal planner'!$G$13</definedName>
    <definedName function="false" hidden="false" localSheetId="9" name="Growth_Rate_Entry" vbProcedure="false">'C08 Goal planner'!$C$13</definedName>
    <definedName function="false" hidden="false" localSheetId="9" name="Inflation_Choice" vbProcedure="false">'C08 Goal planner'!$G$6</definedName>
    <definedName function="false" hidden="false" localSheetId="9" name="Inflation_Choice_Entry" vbProcedure="false">'C08 Goal planner'!$C$6</definedName>
    <definedName function="false" hidden="false" localSheetId="9" name="Monthly_Growth" vbProcedure="false">'C08 Goal planner'!$C$20</definedName>
    <definedName function="false" hidden="false" localSheetId="9" name="Monthly_Saving" vbProcedure="false">'C08 Goal planner'!$C$16</definedName>
    <definedName function="false" hidden="false" localSheetId="9" name="Need_1" vbProcedure="false">'C08 Goal planner'!$C$39</definedName>
    <definedName function="false" hidden="false" localSheetId="9" name="Need_2" vbProcedure="false">'C08 Goal planner'!$C$40</definedName>
    <definedName function="false" hidden="false" localSheetId="9" name="Need_3" vbProcedure="false">'C08 Goal planner'!$C$41</definedName>
    <definedName function="false" hidden="false" localSheetId="9" name="Need_4" vbProcedure="false">'C08 Goal planner'!$C$42</definedName>
    <definedName function="false" hidden="false" localSheetId="9" name="Need_5" vbProcedure="false">'C08 Goal planner'!$C$43</definedName>
    <definedName function="false" hidden="false" localSheetId="9" name="Need_6" vbProcedure="false">'C08 Goal planner'!$C$44</definedName>
    <definedName function="false" hidden="false" localSheetId="9" name="Need_7" vbProcedure="false">'C08 Goal planner'!$C$45</definedName>
    <definedName function="false" hidden="false" localSheetId="9" name="Plan_Goal_Amount" vbProcedure="false">'C08 Goal planner'!$C$33</definedName>
    <definedName function="false" hidden="false" localSheetId="9" name="Plan_Goal_Kind" vbProcedure="false">'C08 Goal planner'!$C$32</definedName>
    <definedName function="false" hidden="false" localSheetId="9" name="Plan_Goal_Saved" vbProcedure="false">'C08 Goal planner'!$C$34</definedName>
    <definedName function="false" hidden="false" localSheetId="9" name="Plan_Goal_Years" vbProcedure="false">'C08 Goal planner'!$C$35</definedName>
    <definedName function="false" hidden="false" localSheetId="9" name="Plan_Inflation" vbProcedure="false">'C08 Goal planner'!$C$36</definedName>
    <definedName function="false" hidden="false" localSheetId="9" name="Saved" vbProcedure="false">'C08 Goal planner'!$G$12</definedName>
    <definedName function="false" hidden="false" localSheetId="9" name="Saved_Entry" vbProcedure="false">'C08 Goal planner'!$C$12</definedName>
    <definedName function="false" hidden="false" localSheetId="9" name="Saved_Grows_To" vbProcedure="false">'C08 Goal planner'!$C$18</definedName>
    <definedName function="false" hidden="false" localSheetId="9" name="Still_Needed" vbProcedure="false">'C08 Goal planner'!$C$19</definedName>
    <definedName function="false" hidden="false" localSheetId="9" name="Years" vbProcedure="false">'C08 Goal planner'!$G$11</definedName>
    <definedName function="false" hidden="false" localSheetId="9" name="Years_Entry" vbProcedure="false">'C08 Goal planner'!$C$11</definedName>
    <definedName function="false" hidden="false" localSheetId="10" name="Grows_To" vbProcedure="false">'C09 Compound growth'!$C$16</definedName>
    <definedName function="false" hidden="false" localSheetId="10" name="Growth_Earned" vbProcedure="false">'C09 Compound growth'!$C$19</definedName>
    <definedName function="false" hidden="false" localSheetId="10" name="Growth_Rate" vbProcedure="false">'C09 Compound growth'!$G$12</definedName>
    <definedName function="false" hidden="false" localSheetId="10" name="Growth_Rate_Entry" vbProcedure="false">'C09 Compound growth'!$C$12</definedName>
    <definedName function="false" hidden="false" localSheetId="10" name="Inflation_Choice" vbProcedure="false">'C09 Compound growth'!$G$6</definedName>
    <definedName function="false" hidden="false" localSheetId="10" name="Inflation_Choice_Entry" vbProcedure="false">'C09 Compound growth'!$C$6</definedName>
    <definedName function="false" hidden="false" localSheetId="10" name="Monthly_Addition" vbProcedure="false">'C09 Compound growth'!$G$11</definedName>
    <definedName function="false" hidden="false" localSheetId="10" name="Monthly_Addition_Entry" vbProcedure="false">'C09 Compound growth'!$C$11</definedName>
    <definedName function="false" hidden="false" localSheetId="10" name="Monthly_Growth" vbProcedure="false">'C09 Compound growth'!$C$20</definedName>
    <definedName function="false" hidden="false" localSheetId="10" name="Need_1" vbProcedure="false">'C09 Compound growth'!$C$38</definedName>
    <definedName function="false" hidden="false" localSheetId="10" name="Need_2" vbProcedure="false">'C09 Compound growth'!$C$39</definedName>
    <definedName function="false" hidden="false" localSheetId="10" name="Need_3" vbProcedure="false">'C09 Compound growth'!$C$40</definedName>
    <definedName function="false" hidden="false" localSheetId="10" name="Need_4" vbProcedure="false">'C09 Compound growth'!$C$41</definedName>
    <definedName function="false" hidden="false" localSheetId="10" name="Need_5" vbProcedure="false">'C09 Compound growth'!$C$42</definedName>
    <definedName function="false" hidden="false" localSheetId="10" name="Paid_In" vbProcedure="false">'C09 Compound growth'!$C$18</definedName>
    <definedName function="false" hidden="false" localSheetId="10" name="Plan_Goal_Amount" vbProcedure="false">'C09 Compound growth'!$C$32</definedName>
    <definedName function="false" hidden="false" localSheetId="10" name="Plan_Goal_Kind" vbProcedure="false">'C09 Compound growth'!$C$31</definedName>
    <definedName function="false" hidden="false" localSheetId="10" name="Plan_Goal_Years" vbProcedure="false">'C09 Compound growth'!$C$33</definedName>
    <definedName function="false" hidden="false" localSheetId="10" name="Plan_Inflation" vbProcedure="false">'C09 Compound growth'!$C$34</definedName>
    <definedName function="false" hidden="false" localSheetId="10" name="Starting_Amount" vbProcedure="false">'C09 Compound growth'!$G$10</definedName>
    <definedName function="false" hidden="false" localSheetId="10" name="Starting_Amount_Entry" vbProcedure="false">'C09 Compound growth'!$C$10</definedName>
    <definedName function="false" hidden="false" localSheetId="10" name="Value_Today" vbProcedure="false">'C09 Compound growth'!$C$17</definedName>
    <definedName function="false" hidden="false" localSheetId="10" name="Years" vbProcedure="false">'C09 Compound growth'!$G$13</definedName>
    <definedName function="false" hidden="false" localSheetId="10" name="Years_Entry" vbProcedure="false">'C09 Compound growth'!$C$13</definedName>
    <definedName function="false" hidden="false" localSheetId="11" name="Adjust_For_Inflation" vbProcedure="false">'C10 Lump sum growth'!$G$21</definedName>
    <definedName function="false" hidden="false" localSheetId="11" name="Adjust_For_Inflation_Entry" vbProcedure="false">'C10 Lump sum growth'!$C$21</definedName>
    <definedName function="false" hidden="false" localSheetId="11" name="Amount" vbProcedure="false">'C10 Lump sum growth'!$G$16</definedName>
    <definedName function="false" hidden="false" localSheetId="11" name="Amount_Entry" vbProcedure="false">'C10 Lump sum growth'!$C$16</definedName>
    <definedName function="false" hidden="false" localSheetId="11" name="Cost_Of_Waiting" vbProcedure="false">'C10 Lump sum growth'!$C$34</definedName>
    <definedName function="false" hidden="false" localSheetId="11" name="Fees_Cost" vbProcedure="false">'C10 Lump sum growth'!$C$35</definedName>
    <definedName function="false" hidden="false" localSheetId="11" name="Grows_To" vbProcedure="false">'C10 Lump sum growth'!$C$31</definedName>
    <definedName function="false" hidden="false" localSheetId="11" name="Growth_After_Fees" vbProcedure="false">'C10 Lump sum growth'!$C$36</definedName>
    <definedName function="false" hidden="false" localSheetId="11" name="Growth_Rate" vbProcedure="false">'C10 Lump sum growth'!$G$17</definedName>
    <definedName function="false" hidden="false" localSheetId="11" name="Growth_Rate_Entry" vbProcedure="false">'C10 Lump sum growth'!$C$17</definedName>
    <definedName function="false" hidden="false" localSheetId="11" name="Headline" vbProcedure="false">'C10 Lump sum growth'!$C$30</definedName>
    <definedName function="false" hidden="false" localSheetId="11" name="Inflation_Choice" vbProcedure="false">'C10 Lump sum growth'!$G$6</definedName>
    <definedName function="false" hidden="false" localSheetId="11" name="Inflation_Choice_Entry" vbProcedure="false">'C10 Lump sum growth'!$C$6</definedName>
    <definedName function="false" hidden="false" localSheetId="11" name="Need_1" vbProcedure="false">'C10 Lump sum growth'!$C$56</definedName>
    <definedName function="false" hidden="false" localSheetId="11" name="Need_2" vbProcedure="false">'C10 Lump sum growth'!$C$57</definedName>
    <definedName function="false" hidden="false" localSheetId="11" name="Need_3" vbProcedure="false">'C10 Lump sum growth'!$C$58</definedName>
    <definedName function="false" hidden="false" localSheetId="11" name="Need_4" vbProcedure="false">'C10 Lump sum growth'!$C$59</definedName>
    <definedName function="false" hidden="false" localSheetId="11" name="Need_5" vbProcedure="false">'C10 Lump sum growth'!$C$60</definedName>
    <definedName function="false" hidden="false" localSheetId="11" name="Need_6" vbProcedure="false">'C10 Lump sum growth'!$C$61</definedName>
    <definedName function="false" hidden="false" localSheetId="11" name="Plan_Goal_Amount" vbProcedure="false">'C10 Lump sum growth'!$C$50</definedName>
    <definedName function="false" hidden="false" localSheetId="11" name="Plan_Goal_Kind" vbProcedure="false">'C10 Lump sum growth'!$C$49</definedName>
    <definedName function="false" hidden="false" localSheetId="11" name="Plan_Goal_Years" vbProcedure="false">'C10 Lump sum growth'!$C$51</definedName>
    <definedName function="false" hidden="false" localSheetId="11" name="Plan_Inflation" vbProcedure="false">'C10 Lump sum growth'!$C$52</definedName>
    <definedName function="false" hidden="false" localSheetId="11" name="Real_Return" vbProcedure="false">'C10 Lump sum growth'!$C$37</definedName>
    <definedName function="false" hidden="false" localSheetId="11" name="Statement_Check" vbProcedure="false">'C10 Lump sum growth'!$C$27</definedName>
    <definedName function="false" hidden="false" localSheetId="11" name="Statement_Uploaded" vbProcedure="false">'C10 Lump sum growth'!$C$24</definedName>
    <definedName function="false" hidden="false" localSheetId="11" name="Stmt_Charges" vbProcedure="false">'C10 Lump sum growth'!$C$12</definedName>
    <definedName function="false" hidden="false" localSheetId="11" name="Stmt_Statement_Date" vbProcedure="false">'C10 Lump sum growth'!$C$13</definedName>
    <definedName function="false" hidden="false" localSheetId="11" name="Stmt_Total_Value" vbProcedure="false">'C10 Lump sum growth'!$C$11</definedName>
    <definedName function="false" hidden="false" localSheetId="11" name="Used_Amount" vbProcedure="false">'C10 Lump sum growth'!$C$25</definedName>
    <definedName function="false" hidden="false" localSheetId="11" name="Used_Yearly_Fees" vbProcedure="false">'C10 Lump sum growth'!$C$26</definedName>
    <definedName function="false" hidden="false" localSheetId="11" name="Value_Start_Later" vbProcedure="false">'C10 Lump sum growth'!$C$33</definedName>
    <definedName function="false" hidden="false" localSheetId="11" name="Value_Today" vbProcedure="false">'C10 Lump sum growth'!$C$32</definedName>
    <definedName function="false" hidden="false" localSheetId="11" name="Wait_Years" vbProcedure="false">'C10 Lump sum growth'!$G$20</definedName>
    <definedName function="false" hidden="false" localSheetId="11" name="Wait_Years_Entry" vbProcedure="false">'C10 Lump sum growth'!$C$20</definedName>
    <definedName function="false" hidden="false" localSheetId="11" name="Yearly_Fees" vbProcedure="false">'C10 Lump sum growth'!$G$19</definedName>
    <definedName function="false" hidden="false" localSheetId="11" name="Yearly_Fees_Entry" vbProcedure="false">'C10 Lump sum growth'!$C$19</definedName>
    <definedName function="false" hidden="false" localSheetId="11" name="Years" vbProcedure="false">'C10 Lump sum growth'!$G$18</definedName>
    <definedName function="false" hidden="false" localSheetId="11" name="Years_Entry" vbProcedure="false">'C10 Lump sum growth'!$C$18</definedName>
    <definedName function="false" hidden="false" localSheetId="12" name="Essential_Spending" vbProcedure="false">'C11 Emergency fund'!$G$6</definedName>
    <definedName function="false" hidden="false" localSheetId="12" name="Essential_Spending_Entry" vbProcedure="false">'C11 Emergency fund'!$C$6</definedName>
    <definedName function="false" hidden="false" localSheetId="12" name="Months_Covered" vbProcedure="false">'C11 Emergency fund'!$C$12</definedName>
    <definedName function="false" hidden="false" localSheetId="12" name="Months_Wanted" vbProcedure="false">'C11 Emergency fund'!$G$7</definedName>
    <definedName function="false" hidden="false" localSheetId="12" name="Months_Wanted_Entry" vbProcedure="false">'C11 Emergency fund'!$C$7</definedName>
    <definedName function="false" hidden="false" localSheetId="12" name="Need_1" vbProcedure="false">'C11 Emergency fund'!$C$28</definedName>
    <definedName function="false" hidden="false" localSheetId="12" name="Need_2" vbProcedure="false">'C11 Emergency fund'!$C$29</definedName>
    <definedName function="false" hidden="false" localSheetId="12" name="Need_3" vbProcedure="false">'C11 Emergency fund'!$C$30</definedName>
    <definedName function="false" hidden="false" localSheetId="12" name="Need_4" vbProcedure="false">'C11 Emergency fund'!$C$31</definedName>
    <definedName function="false" hidden="false" localSheetId="12" name="Need_5" vbProcedure="false">'C11 Emergency fund'!$C$32</definedName>
    <definedName function="false" hidden="false" localSheetId="12" name="Plan_Goal_Amount" vbProcedure="false">'C11 Emergency fund'!$C$23</definedName>
    <definedName function="false" hidden="false" localSheetId="12" name="Plan_Goal_Kind" vbProcedure="false">'C11 Emergency fund'!$C$22</definedName>
    <definedName function="false" hidden="false" localSheetId="12" name="Plan_Goal_Saved" vbProcedure="false">'C11 Emergency fund'!$C$24</definedName>
    <definedName function="false" hidden="false" localSheetId="12" name="Plan_Goal_Years" vbProcedure="false">'C11 Emergency fund'!$C$25</definedName>
    <definedName function="false" hidden="false" localSheetId="12" name="Safety_Goal_Years" vbProcedure="false">'C11 Emergency fund'!$G$8</definedName>
    <definedName function="false" hidden="false" localSheetId="12" name="Safety_Goal_Years_Entry" vbProcedure="false">'C11 Emergency fund'!$C$8</definedName>
    <definedName function="false" hidden="false" localSheetId="12" name="Savings" vbProcedure="false">'C11 Emergency fund'!$G$9</definedName>
    <definedName function="false" hidden="false" localSheetId="12" name="Savings_Entry" vbProcedure="false">'C11 Emergency fund'!$C$9</definedName>
    <definedName function="false" hidden="false" localSheetId="12" name="Still_To_Build" vbProcedure="false">'C11 Emergency fund'!$C$14</definedName>
    <definedName function="false" hidden="false" localSheetId="12" name="Target" vbProcedure="false">'C11 Emergency fund'!$C$13</definedName>
    <definedName function="false" hidden="false" localSheetId="13" name="Access_Age" vbProcedure="false">'C12 Retirement projection'!$G$35</definedName>
    <definedName function="false" hidden="false" localSheetId="13" name="Access_Age_Entry" vbProcedure="false">'C12 Retirement projection'!$C$35</definedName>
    <definedName function="false" hidden="false" localSheetId="13" name="Age" vbProcedure="false">'C12 Retirement projection'!$G$21</definedName>
    <definedName function="false" hidden="false" localSheetId="13" name="Age_Entry" vbProcedure="false">'C12 Retirement projection'!$C$21</definedName>
    <definedName function="false" hidden="false" localSheetId="13" name="Bridge_Years" vbProcedure="false">'C12 Retirement projection'!$C$49</definedName>
    <definedName function="false" hidden="false" localSheetId="13" name="Calculated_Fund" vbProcedure="false">'C12 Retirement projection'!$C$47</definedName>
    <definedName function="false" hidden="false" localSheetId="13" name="Contribution" vbProcedure="false">'C12 Retirement projection'!$C$56</definedName>
    <definedName function="false" hidden="false" localSheetId="13" name="Contributions_Grow_To" vbProcedure="false">'C12 Retirement projection'!$C$57</definedName>
    <definedName function="false" hidden="false" localSheetId="13" name="Desired_Income" vbProcedure="false">'C12 Retirement projection'!$G$25</definedName>
    <definedName function="false" hidden="false" localSheetId="13" name="Desired_Income_Entry" vbProcedure="false">'C12 Retirement projection'!$C$25</definedName>
    <definedName function="false" hidden="false" localSheetId="13" name="Early_Warning" vbProcedure="false">'C12 Retirement projection'!$C$53</definedName>
    <definedName function="false" hidden="false" localSheetId="13" name="Fund_Today" vbProcedure="false">'C12 Retirement projection'!$C$46</definedName>
    <definedName function="false" hidden="false" localSheetId="13" name="Gap_Today" vbProcedure="false">'C12 Retirement projection'!$C$44</definedName>
    <definedName function="false" hidden="false" localSheetId="13" name="Growth_Rate" vbProcedure="false">'C12 Retirement projection'!$G$27</definedName>
    <definedName function="false" hidden="false" localSheetId="13" name="Growth_Rate_Entry" vbProcedure="false">'C12 Retirement projection'!$C$27</definedName>
    <definedName function="false" hidden="false" localSheetId="13" name="Inflation_Choice" vbProcedure="false">'C12 Retirement projection'!$G$6</definedName>
    <definedName function="false" hidden="false" localSheetId="13" name="Inflation_Choice_Entry" vbProcedure="false">'C12 Retirement projection'!$C$6</definedName>
    <definedName function="false" hidden="false" localSheetId="13" name="Lump_Sum" vbProcedure="false">'C12 Retirement projection'!$C$50</definedName>
    <definedName function="false" hidden="false" localSheetId="13" name="Lump_Sum_Net" vbProcedure="false">'C12 Retirement projection'!$C$52</definedName>
    <definedName function="false" hidden="false" localSheetId="13" name="Lump_Sum_Pct" vbProcedure="false">'C12 Retirement projection'!$G$31</definedName>
    <definedName function="false" hidden="false" localSheetId="13" name="Lump_Sum_Pct_Entry" vbProcedure="false">'C12 Retirement projection'!$C$31</definedName>
    <definedName function="false" hidden="false" localSheetId="13" name="Lump_Sum_Tax" vbProcedure="false">'C12 Retirement projection'!$C$51</definedName>
    <definedName function="false" hidden="false" localSheetId="13" name="Monthly_Contribution" vbProcedure="false">'C12 Retirement projection'!$G$24</definedName>
    <definedName function="false" hidden="false" localSheetId="13" name="Monthly_Contribution_Entry" vbProcedure="false">'C12 Retirement projection'!$C$24</definedName>
    <definedName function="false" hidden="false" localSheetId="13" name="Need_1" vbProcedure="false">'C12 Retirement projection'!$C$77</definedName>
    <definedName function="false" hidden="false" localSheetId="13" name="Need_2" vbProcedure="false">'C12 Retirement projection'!$C$78</definedName>
    <definedName function="false" hidden="false" localSheetId="13" name="Need_3" vbProcedure="false">'C12 Retirement projection'!$C$79</definedName>
    <definedName function="false" hidden="false" localSheetId="13" name="Need_4" vbProcedure="false">'C12 Retirement projection'!$C$80</definedName>
    <definedName function="false" hidden="false" localSheetId="13" name="Need_5" vbProcedure="false">'C12 Retirement projection'!$C$81</definedName>
    <definedName function="false" hidden="false" localSheetId="13" name="Need_6" vbProcedure="false">'C12 Retirement projection'!$C$82</definedName>
    <definedName function="false" hidden="false" localSheetId="13" name="Need_7" vbProcedure="false">'C12 Retirement projection'!$C$83</definedName>
    <definedName function="false" hidden="false" localSheetId="13" name="Need_8" vbProcedure="false">'C12 Retirement projection'!$C$84</definedName>
    <definedName function="false" hidden="false" localSheetId="13" name="Need_9" vbProcedure="false">'C12 Retirement projection'!$C$85</definedName>
    <definedName function="false" hidden="false" localSheetId="13" name="Other_Income" vbProcedure="false">'C12 Retirement projection'!$G$26</definedName>
    <definedName function="false" hidden="false" localSheetId="13" name="Other_Income_Entry" vbProcedure="false">'C12 Retirement projection'!$C$26</definedName>
    <definedName function="false" hidden="false" localSheetId="13" name="Pension_Today" vbProcedure="false">'C12 Retirement projection'!$G$23</definedName>
    <definedName function="false" hidden="false" localSheetId="13" name="Pension_Today_Entry" vbProcedure="false">'C12 Retirement projection'!$C$23</definedName>
    <definedName function="false" hidden="false" localSheetId="13" name="Plan_Goal_Age" vbProcedure="false">'C12 Retirement projection'!$C$72</definedName>
    <definedName function="false" hidden="false" localSheetId="13" name="Plan_Goal_Income" vbProcedure="false">'C12 Retirement projection'!$C$71</definedName>
    <definedName function="false" hidden="false" localSheetId="13" name="Plan_Goal_Kind" vbProcedure="false">'C12 Retirement projection'!$C$70</definedName>
    <definedName function="false" hidden="false" localSheetId="13" name="Plan_Inflation" vbProcedure="false">'C12 Retirement projection'!$C$73</definedName>
    <definedName function="false" hidden="false" localSheetId="13" name="Projected_Fund" vbProcedure="false">'C12 Retirement projection'!$C$45</definedName>
    <definedName function="false" hidden="false" localSheetId="13" name="Retirement_Age" vbProcedure="false">'C12 Retirement projection'!$G$22</definedName>
    <definedName function="false" hidden="false" localSheetId="13" name="Retirement_Age_Entry" vbProcedure="false">'C12 Retirement projection'!$C$22</definedName>
    <definedName function="false" hidden="false" localSheetId="13" name="Retire_Later" vbProcedure="false">'C12 Retirement projection'!$G$32</definedName>
    <definedName function="false" hidden="false" localSheetId="13" name="Retire_Later_Entry" vbProcedure="false">'C12 Retirement projection'!$C$32</definedName>
    <definedName function="false" hidden="false" localSheetId="13" name="Retire_Multiple" vbProcedure="false">'C12 Retirement projection'!$G$29</definedName>
    <definedName function="false" hidden="false" localSheetId="13" name="Retire_Multiple_Entry" vbProcedure="false">'C12 Retirement projection'!$C$29</definedName>
    <definedName function="false" hidden="false" localSheetId="13" name="Save_More" vbProcedure="false">'C12 Retirement projection'!$G$33</definedName>
    <definedName function="false" hidden="false" localSheetId="13" name="Save_More_Entry" vbProcedure="false">'C12 Retirement projection'!$C$33</definedName>
    <definedName function="false" hidden="false" localSheetId="13" name="SFT_Warning" vbProcedure="false">'C12 Retirement projection'!$C$54</definedName>
    <definedName function="false" hidden="false" localSheetId="13" name="Spend_Less" vbProcedure="false">'C12 Retirement projection'!$G$34</definedName>
    <definedName function="false" hidden="false" localSheetId="13" name="Spend_Less_Entry" vbProcedure="false">'C12 Retirement projection'!$C$34</definedName>
    <definedName function="false" hidden="false" localSheetId="13" name="Statement_Check" vbProcedure="false">'C12 Retirement projection'!$C$41</definedName>
    <definedName function="false" hidden="false" localSheetId="13" name="Stmt_Charges" vbProcedure="false">'C12 Retirement projection'!$C$17</definedName>
    <definedName function="false" hidden="false" localSheetId="13" name="Stmt_Employer_Monthly" vbProcedure="false">'C12 Retirement projection'!$C$13</definedName>
    <definedName function="false" hidden="false" localSheetId="13" name="Stmt_Fund_Value" vbProcedure="false">'C12 Retirement projection'!$C$11</definedName>
    <definedName function="false" hidden="false" localSheetId="13" name="Stmt_NRA" vbProcedure="false">'C12 Retirement projection'!$C$14</definedName>
    <definedName function="false" hidden="false" localSheetId="13" name="Stmt_Projected_Fund" vbProcedure="false">'C12 Retirement projection'!$C$15</definedName>
    <definedName function="false" hidden="false" localSheetId="13" name="Stmt_Projection_Today" vbProcedure="false">'C12 Retirement projection'!$C$16</definedName>
    <definedName function="false" hidden="false" localSheetId="13" name="Stmt_Statement_Date" vbProcedure="false">'C12 Retirement projection'!$C$18</definedName>
    <definedName function="false" hidden="false" localSheetId="13" name="Stmt_You_Monthly" vbProcedure="false">'C12 Retirement projection'!$C$12</definedName>
    <definedName function="false" hidden="false" localSheetId="13" name="Target_Today" vbProcedure="false">'C12 Retirement projection'!$C$48</definedName>
    <definedName function="false" hidden="false" localSheetId="13" name="Typical_Pension_Charges" vbProcedure="false">'C12 Retirement projection'!$G$30</definedName>
    <definedName function="false" hidden="false" localSheetId="13" name="Typical_Pension_Charges_Entry" vbProcedure="false">'C12 Retirement projection'!$C$30</definedName>
    <definedName function="false" hidden="false" localSheetId="13" name="Used_Growth_Rate" vbProcedure="false">'C12 Retirement projection'!$C$39</definedName>
    <definedName function="false" hidden="false" localSheetId="13" name="Used_Monthly_Contribution" vbProcedure="false">'C12 Retirement projection'!$C$38</definedName>
    <definedName function="false" hidden="false" localSheetId="13" name="Used_Pension_Today" vbProcedure="false">'C12 Retirement projection'!$C$37</definedName>
    <definedName function="false" hidden="false" localSheetId="13" name="Use_Statement_Projection" vbProcedure="false">'C12 Retirement projection'!$C$40</definedName>
    <definedName function="false" hidden="false" localSheetId="13" name="Wage" vbProcedure="false">'C12 Retirement projection'!$G$28</definedName>
    <definedName function="false" hidden="false" localSheetId="13" name="Wage_Entry" vbProcedure="false">'C12 Retirement projection'!$C$28</definedName>
    <definedName function="false" hidden="false" localSheetId="13" name="Years_To_Retirement" vbProcedure="false">'C12 Retirement projection'!$C$55</definedName>
    <definedName function="false" hidden="false" localSheetId="14" name="Age" vbProcedure="false">'C13 Contribution impact'!$G$21</definedName>
    <definedName function="false" hidden="false" localSheetId="14" name="Age_Entry" vbProcedure="false">'C13 Contribution impact'!$C$21</definedName>
    <definedName function="false" hidden="false" localSheetId="14" name="Existing_Pension_Year" vbProcedure="false">'C13 Contribution impact'!$G$22</definedName>
    <definedName function="false" hidden="false" localSheetId="14" name="Existing_Pension_Year_Entry" vbProcedure="false">'C13 Contribution impact'!$C$22</definedName>
    <definedName function="false" hidden="false" localSheetId="14" name="Extra_Per_Month" vbProcedure="false">'C13 Contribution impact'!$C$31</definedName>
    <definedName function="false" hidden="false" localSheetId="14" name="Grows_To" vbProcedure="false">'C13 Contribution impact'!$C$29</definedName>
    <definedName function="false" hidden="false" localSheetId="14" name="Growth_Rate" vbProcedure="false">'C13 Contribution impact'!$G$18</definedName>
    <definedName function="false" hidden="false" localSheetId="14" name="Growth_Rate_Entry" vbProcedure="false">'C13 Contribution impact'!$C$18</definedName>
    <definedName function="false" hidden="false" localSheetId="14" name="Increase_Pct" vbProcedure="false">'C13 Contribution impact'!$G$16</definedName>
    <definedName function="false" hidden="false" localSheetId="14" name="Increase_Pct_Entry" vbProcedure="false">'C13 Contribution impact'!$C$16</definedName>
    <definedName function="false" hidden="false" localSheetId="14" name="Inflation_Choice" vbProcedure="false">'C13 Contribution impact'!$G$6</definedName>
    <definedName function="false" hidden="false" localSheetId="14" name="Inflation_Choice_Entry" vbProcedure="false">'C13 Contribution impact'!$C$6</definedName>
    <definedName function="false" hidden="false" localSheetId="14" name="Need_1" vbProcedure="false">'C13 Contribution impact'!$C$51</definedName>
    <definedName function="false" hidden="false" localSheetId="14" name="Need_2" vbProcedure="false">'C13 Contribution impact'!$C$52</definedName>
    <definedName function="false" hidden="false" localSheetId="14" name="Need_3" vbProcedure="false">'C13 Contribution impact'!$C$53</definedName>
    <definedName function="false" hidden="false" localSheetId="14" name="Need_4" vbProcedure="false">'C13 Contribution impact'!$C$54</definedName>
    <definedName function="false" hidden="false" localSheetId="14" name="Need_5" vbProcedure="false">'C13 Contribution impact'!$C$55</definedName>
    <definedName function="false" hidden="false" localSheetId="14" name="Need_6" vbProcedure="false">'C13 Contribution impact'!$C$56</definedName>
    <definedName function="false" hidden="false" localSheetId="14" name="Net_Cost_Per_Month" vbProcedure="false">'C13 Contribution impact'!$C$32</definedName>
    <definedName function="false" hidden="false" localSheetId="14" name="Plan_Goal_Contribution" vbProcedure="false">'C13 Contribution impact'!$C$47</definedName>
    <definedName function="false" hidden="false" localSheetId="14" name="Plan_Goal_Kind" vbProcedure="false">'C13 Contribution impact'!$C$46</definedName>
    <definedName function="false" hidden="false" localSheetId="14" name="Relief_Limit_Year" vbProcedure="false">'C13 Contribution impact'!$C$33</definedName>
    <definedName function="false" hidden="false" localSheetId="14" name="Relief_Per_Month" vbProcedure="false">'C13 Contribution impact'!$C$36</definedName>
    <definedName function="false" hidden="false" localSheetId="14" name="Relief_Room_Year" vbProcedure="false">'C13 Contribution impact'!$C$34</definedName>
    <definedName function="false" hidden="false" localSheetId="14" name="Relieved_Year" vbProcedure="false">'C13 Contribution impact'!$C$35</definedName>
    <definedName function="false" hidden="false" localSheetId="14" name="Salary" vbProcedure="false">'C13 Contribution impact'!$G$15</definedName>
    <definedName function="false" hidden="false" localSheetId="14" name="Salary_Entry" vbProcedure="false">'C13 Contribution impact'!$C$15</definedName>
    <definedName function="false" hidden="false" localSheetId="14" name="Statement_Check" vbProcedure="false">'C13 Contribution impact'!$C$26</definedName>
    <definedName function="false" hidden="false" localSheetId="14" name="Stmt_Charges" vbProcedure="false">'C13 Contribution impact'!$C$11</definedName>
    <definedName function="false" hidden="false" localSheetId="14" name="Stmt_Statement_Date" vbProcedure="false">'C13 Contribution impact'!$C$12</definedName>
    <definedName function="false" hidden="false" localSheetId="14" name="Tax_Rate" vbProcedure="false">'C13 Contribution impact'!$G$20</definedName>
    <definedName function="false" hidden="false" localSheetId="14" name="Tax_Rate_Entry" vbProcedure="false">'C13 Contribution impact'!$C$20</definedName>
    <definedName function="false" hidden="false" localSheetId="14" name="Typical_Pension_Charges" vbProcedure="false">'C13 Contribution impact'!$G$19</definedName>
    <definedName function="false" hidden="false" localSheetId="14" name="Typical_Pension_Charges_Entry" vbProcedure="false">'C13 Contribution impact'!$C$19</definedName>
    <definedName function="false" hidden="false" localSheetId="14" name="Used_Growth_Rate" vbProcedure="false">'C13 Contribution impact'!$C$25</definedName>
    <definedName function="false" hidden="false" localSheetId="14" name="Value_Today" vbProcedure="false">'C13 Contribution impact'!$C$30</definedName>
    <definedName function="false" hidden="false" localSheetId="14" name="Years" vbProcedure="false">'C13 Contribution impact'!$G$17</definedName>
    <definedName function="false" hidden="false" localSheetId="14" name="Years_Entry" vbProcedure="false">'C13 Contribution impact'!$C$17</definedName>
    <definedName function="false" hidden="false" localSheetId="15" name="Age" vbProcedure="false">'C14 AVC impact'!$G$21</definedName>
    <definedName function="false" hidden="false" localSheetId="15" name="Age_Entry" vbProcedure="false">'C14 AVC impact'!$C$21</definedName>
    <definedName function="false" hidden="false" localSheetId="15" name="AVC_Per_Month" vbProcedure="false">'C14 AVC impact'!$G$15</definedName>
    <definedName function="false" hidden="false" localSheetId="15" name="AVC_Per_Month_Entry" vbProcedure="false">'C14 AVC impact'!$C$15</definedName>
    <definedName function="false" hidden="false" localSheetId="15" name="Existing_Pension_Year" vbProcedure="false">'C14 AVC impact'!$G$22</definedName>
    <definedName function="false" hidden="false" localSheetId="15" name="Existing_Pension_Year_Entry" vbProcedure="false">'C14 AVC impact'!$C$22</definedName>
    <definedName function="false" hidden="false" localSheetId="15" name="Grows_To" vbProcedure="false">'C14 AVC impact'!$C$29</definedName>
    <definedName function="false" hidden="false" localSheetId="15" name="Growth_Rate" vbProcedure="false">'C14 AVC impact'!$G$18</definedName>
    <definedName function="false" hidden="false" localSheetId="15" name="Growth_Rate_Entry" vbProcedure="false">'C14 AVC impact'!$C$18</definedName>
    <definedName function="false" hidden="false" localSheetId="15" name="Inflation_Choice" vbProcedure="false">'C14 AVC impact'!$G$6</definedName>
    <definedName function="false" hidden="false" localSheetId="15" name="Inflation_Choice_Entry" vbProcedure="false">'C14 AVC impact'!$C$6</definedName>
    <definedName function="false" hidden="false" localSheetId="15" name="Need_1" vbProcedure="false">'C14 AVC impact'!$C$50</definedName>
    <definedName function="false" hidden="false" localSheetId="15" name="Need_2" vbProcedure="false">'C14 AVC impact'!$C$51</definedName>
    <definedName function="false" hidden="false" localSheetId="15" name="Need_3" vbProcedure="false">'C14 AVC impact'!$C$52</definedName>
    <definedName function="false" hidden="false" localSheetId="15" name="Need_4" vbProcedure="false">'C14 AVC impact'!$C$53</definedName>
    <definedName function="false" hidden="false" localSheetId="15" name="Need_5" vbProcedure="false">'C14 AVC impact'!$C$54</definedName>
    <definedName function="false" hidden="false" localSheetId="15" name="Need_6" vbProcedure="false">'C14 AVC impact'!$C$55</definedName>
    <definedName function="false" hidden="false" localSheetId="15" name="Need_7" vbProcedure="false">'C14 AVC impact'!$C$56</definedName>
    <definedName function="false" hidden="false" localSheetId="15" name="Need_8" vbProcedure="false">'C14 AVC impact'!$C$57</definedName>
    <definedName function="false" hidden="false" localSheetId="15" name="Net_Cost" vbProcedure="false">'C14 AVC impact'!$C$32</definedName>
    <definedName function="false" hidden="false" localSheetId="15" name="Net_Cost_Per_Month" vbProcedure="false">'C14 AVC impact'!$C$33</definedName>
    <definedName function="false" hidden="false" localSheetId="15" name="Paid_In" vbProcedure="false">'C14 AVC impact'!$C$31</definedName>
    <definedName function="false" hidden="false" localSheetId="15" name="Plan_Goal_Contribution" vbProcedure="false">'C14 AVC impact'!$C$47</definedName>
    <definedName function="false" hidden="false" localSheetId="15" name="Plan_Goal_Kind" vbProcedure="false">'C14 AVC impact'!$C$46</definedName>
    <definedName function="false" hidden="false" localSheetId="15" name="Relief_Limit_Year" vbProcedure="false">'C14 AVC impact'!$C$34</definedName>
    <definedName function="false" hidden="false" localSheetId="15" name="Relief_Per_Month" vbProcedure="false">'C14 AVC impact'!$C$37</definedName>
    <definedName function="false" hidden="false" localSheetId="15" name="Relief_Room_Year" vbProcedure="false">'C14 AVC impact'!$C$35</definedName>
    <definedName function="false" hidden="false" localSheetId="15" name="Relieved_Year" vbProcedure="false">'C14 AVC impact'!$C$36</definedName>
    <definedName function="false" hidden="false" localSheetId="15" name="Salary" vbProcedure="false">'C14 AVC impact'!$G$16</definedName>
    <definedName function="false" hidden="false" localSheetId="15" name="Salary_Entry" vbProcedure="false">'C14 AVC impact'!$C$16</definedName>
    <definedName function="false" hidden="false" localSheetId="15" name="Statement_Check" vbProcedure="false">'C14 AVC impact'!$C$26</definedName>
    <definedName function="false" hidden="false" localSheetId="15" name="Stmt_Charges" vbProcedure="false">'C14 AVC impact'!$C$11</definedName>
    <definedName function="false" hidden="false" localSheetId="15" name="Stmt_Statement_Date" vbProcedure="false">'C14 AVC impact'!$C$12</definedName>
    <definedName function="false" hidden="false" localSheetId="15" name="Tax_Rate" vbProcedure="false">'C14 AVC impact'!$G$20</definedName>
    <definedName function="false" hidden="false" localSheetId="15" name="Tax_Rate_Entry" vbProcedure="false">'C14 AVC impact'!$C$20</definedName>
    <definedName function="false" hidden="false" localSheetId="15" name="Typical_Pension_Charges" vbProcedure="false">'C14 AVC impact'!$G$19</definedName>
    <definedName function="false" hidden="false" localSheetId="15" name="Typical_Pension_Charges_Entry" vbProcedure="false">'C14 AVC impact'!$C$19</definedName>
    <definedName function="false" hidden="false" localSheetId="15" name="Used_Growth_Rate" vbProcedure="false">'C14 AVC impact'!$C$25</definedName>
    <definedName function="false" hidden="false" localSheetId="15" name="Value_Today" vbProcedure="false">'C14 AVC impact'!$C$30</definedName>
    <definedName function="false" hidden="false" localSheetId="15" name="Years" vbProcedure="false">'C14 AVC impact'!$G$17</definedName>
    <definedName function="false" hidden="false" localSheetId="15" name="Years_Entry" vbProcedure="false">'C14 AVC impact'!$C$17</definedName>
    <definedName function="false" hidden="false" localSheetId="16" name="Age_At_Start" vbProcedure="false">'C15 Will my money last'!$G$20</definedName>
    <definedName function="false" hidden="false" localSheetId="16" name="Age_At_Start_Entry" vbProcedure="false">'C15 Will my money last'!$C$20</definedName>
    <definedName function="false" hidden="false" localSheetId="16" name="Growth_Rate" vbProcedure="false">'C15 Will my money last'!$G$18</definedName>
    <definedName function="false" hidden="false" localSheetId="16" name="Growth_Rate_Entry" vbProcedure="false">'C15 Will my money last'!$C$18</definedName>
    <definedName function="false" hidden="false" localSheetId="16" name="Inflation_Choice" vbProcedure="false">'C15 Will my money last'!$G$6</definedName>
    <definedName function="false" hidden="false" localSheetId="16" name="Inflation_Choice_Entry" vbProcedure="false">'C15 Will my money last'!$C$6</definedName>
    <definedName function="false" hidden="false" localSheetId="16" name="Lasts_To_Age" vbProcedure="false">'C15 Will my money last'!$C$29</definedName>
    <definedName function="false" hidden="false" localSheetId="16" name="Need_1" vbProcedure="false">'C15 Will my money last'!$C$107</definedName>
    <definedName function="false" hidden="false" localSheetId="16" name="Need_2" vbProcedure="false">'C15 Will my money last'!$C$108</definedName>
    <definedName function="false" hidden="false" localSheetId="16" name="Need_3" vbProcedure="false">'C15 Will my money last'!$C$109</definedName>
    <definedName function="false" hidden="false" localSheetId="16" name="Plan_Goal_Kind" vbProcedure="false">'C15 Will my money last'!$C$104</definedName>
    <definedName function="false" hidden="false" localSheetId="16" name="Plan_To_Age" vbProcedure="false">'C15 Will my money last'!$G$21</definedName>
    <definedName function="false" hidden="false" localSheetId="16" name="Plan_To_Age_Entry" vbProcedure="false">'C15 Will my money last'!$C$21</definedName>
    <definedName function="false" hidden="false" localSheetId="16" name="Retirement_Savings" vbProcedure="false">'C15 Will my money last'!$G$16</definedName>
    <definedName function="false" hidden="false" localSheetId="16" name="Retirement_Savings_Entry" vbProcedure="false">'C15 Will my money last'!$C$16</definedName>
    <definedName function="false" hidden="false" localSheetId="16" name="Statement_Check" vbProcedure="false">'C15 Will my money last'!$C$25</definedName>
    <definedName function="false" hidden="false" localSheetId="16" name="Stmt_Fund_Value" vbProcedure="false">'C15 Will my money last'!$C$12</definedName>
    <definedName function="false" hidden="false" localSheetId="16" name="Stmt_Projected_Fund" vbProcedure="false">'C15 Will my money last'!$C$11</definedName>
    <definedName function="false" hidden="false" localSheetId="16" name="Stmt_Statement_Date" vbProcedure="false">'C15 Will my money last'!$C$13</definedName>
    <definedName function="false" hidden="false" localSheetId="16" name="Used_Retirement_Savings" vbProcedure="false">'C15 Will my money last'!$C$24</definedName>
    <definedName function="false" hidden="false" localSheetId="16" name="Withdrawal_Rate" vbProcedure="false">'C15 Will my money last'!$C$30</definedName>
    <definedName function="false" hidden="false" localSheetId="16" name="Withdrawal_Timing" vbProcedure="false">'C15 Will my money last'!$G$19</definedName>
    <definedName function="false" hidden="false" localSheetId="16" name="Withdrawal_Timing_Entry" vbProcedure="false">'C15 Will my money last'!$C$19</definedName>
    <definedName function="false" hidden="false" localSheetId="16" name="W_end" vbProcedure="false">'C15 Will my money last'!$F$33:$F$92</definedName>
    <definedName function="false" hidden="false" localSheetId="16" name="W_paid" vbProcedure="false">'C15 Will my money last'!$E$33:$E$92</definedName>
    <definedName function="false" hidden="false" localSheetId="16" name="W_start" vbProcedure="false">'C15 Will my money last'!$D$33:$D$92</definedName>
    <definedName function="false" hidden="false" localSheetId="16" name="W_w" vbProcedure="false">'C15 Will my money last'!$C$33:$C$92</definedName>
    <definedName function="false" hidden="false" localSheetId="16" name="W_year" vbProcedure="false">'C15 Will my money last'!$B$33:$B$92</definedName>
    <definedName function="false" hidden="false" localSheetId="16" name="Yearly_Withdrawal" vbProcedure="false">'C15 Will my money last'!$G$17</definedName>
    <definedName function="false" hidden="false" localSheetId="16" name="Yearly_Withdrawal_Entry" vbProcedure="false">'C15 Will my money last'!$C$17</definedName>
    <definedName function="false" hidden="false" localSheetId="16" name="Years_Lasting" vbProcedure="false">'C15 Will my money last'!$C$28</definedName>
    <definedName function="false" hidden="false" localSheetId="17" name="DD_Balanced" vbProcedure="false">'C16 Drawdown scenarios'!$G$19</definedName>
    <definedName function="false" hidden="false" localSheetId="17" name="DD_Balanced_Entry" vbProcedure="false">'C16 Drawdown scenarios'!$C$19</definedName>
    <definedName function="false" hidden="false" localSheetId="17" name="DD_Cautious" vbProcedure="false">'C16 Drawdown scenarios'!$G$18</definedName>
    <definedName function="false" hidden="false" localSheetId="17" name="DD_Cautious_Entry" vbProcedure="false">'C16 Drawdown scenarios'!$C$18</definedName>
    <definedName function="false" hidden="false" localSheetId="17" name="DD_Growth" vbProcedure="false">'C16 Drawdown scenarios'!$G$20</definedName>
    <definedName function="false" hidden="false" localSheetId="17" name="DD_Growth_Entry" vbProcedure="false">'C16 Drawdown scenarios'!$C$20</definedName>
    <definedName function="false" hidden="false" localSheetId="17" name="Inflation_Choice" vbProcedure="false">'C16 Drawdown scenarios'!$G$6</definedName>
    <definedName function="false" hidden="false" localSheetId="17" name="Inflation_Choice_Entry" vbProcedure="false">'C16 Drawdown scenarios'!$C$6</definedName>
    <definedName function="false" hidden="false" localSheetId="17" name="Need_1" vbProcedure="false">'C16 Drawdown scenarios'!$C$106</definedName>
    <definedName function="false" hidden="false" localSheetId="17" name="Plan_Goal_Kind" vbProcedure="false">'C16 Drawdown scenarios'!$C$103</definedName>
    <definedName function="false" hidden="false" localSheetId="17" name="Retirement_Savings" vbProcedure="false">'C16 Drawdown scenarios'!$G$16</definedName>
    <definedName function="false" hidden="false" localSheetId="17" name="Retirement_Savings_Entry" vbProcedure="false">'C16 Drawdown scenarios'!$C$16</definedName>
    <definedName function="false" hidden="false" localSheetId="17" name="Statement_Check" vbProcedure="false">'C16 Drawdown scenarios'!$C$25</definedName>
    <definedName function="false" hidden="false" localSheetId="17" name="Stmt_Fund_Value" vbProcedure="false">'C16 Drawdown scenarios'!$C$12</definedName>
    <definedName function="false" hidden="false" localSheetId="17" name="Stmt_Projected_Fund" vbProcedure="false">'C16 Drawdown scenarios'!$C$11</definedName>
    <definedName function="false" hidden="false" localSheetId="17" name="Stmt_Statement_Date" vbProcedure="false">'C16 Drawdown scenarios'!$C$13</definedName>
    <definedName function="false" hidden="false" localSheetId="17" name="Used_Retirement_Savings" vbProcedure="false">'C16 Drawdown scenarios'!$C$24</definedName>
    <definedName function="false" hidden="false" localSheetId="17" name="Withdrawal_Timing" vbProcedure="false">'C16 Drawdown scenarios'!$G$21</definedName>
    <definedName function="false" hidden="false" localSheetId="17" name="Withdrawal_Timing_Entry" vbProcedure="false">'C16 Drawdown scenarios'!$C$21</definedName>
    <definedName function="false" hidden="false" localSheetId="17" name="W_b_paid" vbProcedure="false">'C16 Drawdown scenarios'!$G$33:$G$92</definedName>
    <definedName function="false" hidden="false" localSheetId="17" name="W_b_start" vbProcedure="false">'C16 Drawdown scenarios'!$F$33:$F$92</definedName>
    <definedName function="false" hidden="false" localSheetId="17" name="W_c_paid" vbProcedure="false">'C16 Drawdown scenarios'!$E$33:$E$92</definedName>
    <definedName function="false" hidden="false" localSheetId="17" name="W_c_start" vbProcedure="false">'C16 Drawdown scenarios'!$D$33:$D$92</definedName>
    <definedName function="false" hidden="false" localSheetId="17" name="W_g_paid" vbProcedure="false">'C16 Drawdown scenarios'!$I$33:$I$92</definedName>
    <definedName function="false" hidden="false" localSheetId="17" name="W_g_start" vbProcedure="false">'C16 Drawdown scenarios'!$H$33:$H$92</definedName>
    <definedName function="false" hidden="false" localSheetId="17" name="W_w" vbProcedure="false">'C16 Drawdown scenarios'!$C$33:$C$92</definedName>
    <definedName function="false" hidden="false" localSheetId="17" name="W_year" vbProcedure="false">'C16 Drawdown scenarios'!$B$33:$B$92</definedName>
    <definedName function="false" hidden="false" localSheetId="17" name="Yearly_Withdrawal" vbProcedure="false">'C16 Drawdown scenarios'!$G$17</definedName>
    <definedName function="false" hidden="false" localSheetId="17" name="Yearly_Withdrawal_Entry" vbProcedure="false">'C16 Drawdown scenarios'!$C$17</definedName>
    <definedName function="false" hidden="false" localSheetId="17" name="Years_Balanced" vbProcedure="false">'C16 Drawdown scenarios'!$C$28</definedName>
    <definedName function="false" hidden="false" localSheetId="17" name="Years_Cautious" vbProcedure="false">'C16 Drawdown scenarios'!$C$29</definedName>
    <definedName function="false" hidden="false" localSheetId="17" name="Years_Growth" vbProcedure="false">'C16 Drawdown scenarios'!$C$30</definedName>
    <definedName function="false" hidden="false" localSheetId="18" name="Amount" vbProcedure="false">'C17 Inflation adjusted return'!$G$15</definedName>
    <definedName function="false" hidden="false" localSheetId="18" name="Amount_Entry" vbProcedure="false">'C17 Inflation adjusted return'!$C$15</definedName>
    <definedName function="false" hidden="false" localSheetId="18" name="Future_Value" vbProcedure="false">'C17 Inflation adjusted return'!$C$25</definedName>
    <definedName function="false" hidden="false" localSheetId="18" name="Inflation_Choice" vbProcedure="false">'C17 Inflation adjusted return'!$G$6</definedName>
    <definedName function="false" hidden="false" localSheetId="18" name="Inflation_Choice_Entry" vbProcedure="false">'C17 Inflation adjusted return'!$C$6</definedName>
    <definedName function="false" hidden="false" localSheetId="18" name="Need_1" vbProcedure="false">'C17 Inflation adjusted return'!$C$39</definedName>
    <definedName function="false" hidden="false" localSheetId="18" name="Need_2" vbProcedure="false">'C17 Inflation adjusted return'!$C$40</definedName>
    <definedName function="false" hidden="false" localSheetId="18" name="Need_3" vbProcedure="false">'C17 Inflation adjusted return'!$C$41</definedName>
    <definedName function="false" hidden="false" localSheetId="18" name="Nominal_Return" vbProcedure="false">'C17 Inflation adjusted return'!$G$16</definedName>
    <definedName function="false" hidden="false" localSheetId="18" name="Nominal_Return_Entry" vbProcedure="false">'C17 Inflation adjusted return'!$C$16</definedName>
    <definedName function="false" hidden="false" localSheetId="18" name="Plan_Goal_Kind" vbProcedure="false">'C17 Inflation adjusted return'!$C$36</definedName>
    <definedName function="false" hidden="false" localSheetId="18" name="Real_Return" vbProcedure="false">'C17 Inflation adjusted return'!$C$26</definedName>
    <definedName function="false" hidden="false" localSheetId="18" name="Statement_Check" vbProcedure="false">'C17 Inflation adjusted return'!$C$21</definedName>
    <definedName function="false" hidden="false" localSheetId="18" name="Stmt_Statement_Date" vbProcedure="false">'C17 Inflation adjusted return'!$C$12</definedName>
    <definedName function="false" hidden="false" localSheetId="18" name="Stmt_Total_Value" vbProcedure="false">'C17 Inflation adjusted return'!$C$11</definedName>
    <definedName function="false" hidden="false" localSheetId="18" name="Used_Amount" vbProcedure="false">'C17 Inflation adjusted return'!$C$20</definedName>
    <definedName function="false" hidden="false" localSheetId="18" name="Value_Today" vbProcedure="false">'C17 Inflation adjusted return'!$C$24</definedName>
    <definedName function="false" hidden="false" localSheetId="18" name="Years" vbProcedure="false">'C17 Inflation adjusted return'!$G$17</definedName>
    <definedName function="false" hidden="false" localSheetId="18" name="Years_Entry" vbProcedure="false">'C17 Inflation adjusted return'!$C$17</definedName>
    <definedName function="false" hidden="false" localSheetId="19" name="Adjust_For_Inflation" vbProcedure="false">'C18 Regular investing'!$G$20</definedName>
    <definedName function="false" hidden="false" localSheetId="19" name="Adjust_For_Inflation_Entry" vbProcedure="false">'C18 Regular investing'!$C$20</definedName>
    <definedName function="false" hidden="false" localSheetId="19" name="Fees_Cost" vbProcedure="false">'C18 Regular investing'!$C$32</definedName>
    <definedName function="false" hidden="false" localSheetId="19" name="Growth_After_Fees" vbProcedure="false">'C18 Regular investing'!$C$35</definedName>
    <definedName function="false" hidden="false" localSheetId="19" name="Growth_Rate" vbProcedure="false">'C18 Regular investing'!$G$18</definedName>
    <definedName function="false" hidden="false" localSheetId="19" name="Growth_Rate_Entry" vbProcedure="false">'C18 Regular investing'!$C$18</definedName>
    <definedName function="false" hidden="false" localSheetId="19" name="Headline" vbProcedure="false">'C18 Regular investing'!$C$29</definedName>
    <definedName function="false" hidden="false" localSheetId="19" name="Inflation_Choice" vbProcedure="false">'C18 Regular investing'!$G$6</definedName>
    <definedName function="false" hidden="false" localSheetId="19" name="Inflation_Choice_Entry" vbProcedure="false">'C18 Regular investing'!$C$6</definedName>
    <definedName function="false" hidden="false" localSheetId="19" name="Monthly_Amount" vbProcedure="false">'C18 Regular investing'!$G$16</definedName>
    <definedName function="false" hidden="false" localSheetId="19" name="Monthly_Amount_Entry" vbProcedure="false">'C18 Regular investing'!$C$16</definedName>
    <definedName function="false" hidden="false" localSheetId="19" name="Need_1" vbProcedure="false">'C18 Regular investing'!$C$53</definedName>
    <definedName function="false" hidden="false" localSheetId="19" name="Need_2" vbProcedure="false">'C18 Regular investing'!$C$54</definedName>
    <definedName function="false" hidden="false" localSheetId="19" name="Need_3" vbProcedure="false">'C18 Regular investing'!$C$55</definedName>
    <definedName function="false" hidden="false" localSheetId="19" name="Need_4" vbProcedure="false">'C18 Regular investing'!$C$56</definedName>
    <definedName function="false" hidden="false" localSheetId="19" name="Need_5" vbProcedure="false">'C18 Regular investing'!$C$57</definedName>
    <definedName function="false" hidden="false" localSheetId="19" name="Need_6" vbProcedure="false">'C18 Regular investing'!$C$58</definedName>
    <definedName function="false" hidden="false" localSheetId="19" name="Need_7" vbProcedure="false">'C18 Regular investing'!$C$59</definedName>
    <definedName function="false" hidden="false" localSheetId="19" name="Paid_In" vbProcedure="false">'C18 Regular investing'!$C$33</definedName>
    <definedName function="false" hidden="false" localSheetId="19" name="Plan_Goal_Amount" vbProcedure="false">'C18 Regular investing'!$C$47</definedName>
    <definedName function="false" hidden="false" localSheetId="19" name="Plan_Goal_Kind" vbProcedure="false">'C18 Regular investing'!$C$46</definedName>
    <definedName function="false" hidden="false" localSheetId="19" name="Plan_Goal_Years" vbProcedure="false">'C18 Regular investing'!$C$48</definedName>
    <definedName function="false" hidden="false" localSheetId="19" name="Plan_Inflation" vbProcedure="false">'C18 Regular investing'!$C$49</definedName>
    <definedName function="false" hidden="false" localSheetId="19" name="Real_Return" vbProcedure="false">'C18 Regular investing'!$C$36</definedName>
    <definedName function="false" hidden="false" localSheetId="19" name="Statement_Check" vbProcedure="false">'C18 Regular investing'!$C$26</definedName>
    <definedName function="false" hidden="false" localSheetId="19" name="Statement_Uploaded" vbProcedure="false">'C18 Regular investing'!$C$23</definedName>
    <definedName function="false" hidden="false" localSheetId="19" name="Stmt_Charges" vbProcedure="false">'C18 Regular investing'!$C$12</definedName>
    <definedName function="false" hidden="false" localSheetId="19" name="Stmt_Monthly_Invested" vbProcedure="false">'C18 Regular investing'!$C$11</definedName>
    <definedName function="false" hidden="false" localSheetId="19" name="Stmt_Statement_Date" vbProcedure="false">'C18 Regular investing'!$C$13</definedName>
    <definedName function="false" hidden="false" localSheetId="19" name="Used_Monthly_Amount" vbProcedure="false">'C18 Regular investing'!$C$24</definedName>
    <definedName function="false" hidden="false" localSheetId="19" name="Used_Yearly_Fees" vbProcedure="false">'C18 Regular investing'!$C$25</definedName>
    <definedName function="false" hidden="false" localSheetId="19" name="Value_After_Fees" vbProcedure="false">'C18 Regular investing'!$C$30</definedName>
    <definedName function="false" hidden="false" localSheetId="19" name="Value_Before_Fees" vbProcedure="false">'C18 Regular investing'!$C$31</definedName>
    <definedName function="false" hidden="false" localSheetId="19" name="Value_Today" vbProcedure="false">'C18 Regular investing'!$C$34</definedName>
    <definedName function="false" hidden="false" localSheetId="19" name="Yearly_Fees" vbProcedure="false">'C18 Regular investing'!$G$19</definedName>
    <definedName function="false" hidden="false" localSheetId="19" name="Yearly_Fees_Entry" vbProcedure="false">'C18 Regular investing'!$C$19</definedName>
    <definedName function="false" hidden="false" localSheetId="19" name="Years" vbProcedure="false">'C18 Regular investing'!$G$17</definedName>
    <definedName function="false" hidden="false" localSheetId="19" name="Years_Entry" vbProcedure="false">'C18 Regular investing'!$C$17</definedName>
    <definedName function="false" hidden="false" localSheetId="20" name="Amount_Invested" vbProcedure="false">'C19 Fees impact'!$G$12</definedName>
    <definedName function="false" hidden="false" localSheetId="20" name="Amount_Invested_Entry" vbProcedure="false">'C19 Fees impact'!$C$12</definedName>
    <definedName function="false" hidden="false" localSheetId="20" name="Difference" vbProcedure="false">'C19 Fees impact'!$C$25</definedName>
    <definedName function="false" hidden="false" localSheetId="20" name="Fee_A" vbProcedure="false">'C19 Fees impact'!$G$15</definedName>
    <definedName function="false" hidden="false" localSheetId="20" name="Fee_A_Entry" vbProcedure="false">'C19 Fees impact'!$C$15</definedName>
    <definedName function="false" hidden="false" localSheetId="20" name="Fee_B" vbProcedure="false">'C19 Fees impact'!$G$16</definedName>
    <definedName function="false" hidden="false" localSheetId="20" name="Fee_B_Entry" vbProcedure="false">'C19 Fees impact'!$C$16</definedName>
    <definedName function="false" hidden="false" localSheetId="20" name="Fee_Gap" vbProcedure="false">'C19 Fees impact'!$C$28</definedName>
    <definedName function="false" hidden="false" localSheetId="20" name="Growth_Rate" vbProcedure="false">'C19 Fees impact'!$G$14</definedName>
    <definedName function="false" hidden="false" localSheetId="20" name="Growth_Rate_Entry" vbProcedure="false">'C19 Fees impact'!$C$14</definedName>
    <definedName function="false" hidden="false" localSheetId="20" name="Need_1" vbProcedure="false">'C19 Fees impact'!$C$39</definedName>
    <definedName function="false" hidden="false" localSheetId="20" name="Need_2" vbProcedure="false">'C19 Fees impact'!$C$40</definedName>
    <definedName function="false" hidden="false" localSheetId="20" name="Need_3" vbProcedure="false">'C19 Fees impact'!$C$41</definedName>
    <definedName function="false" hidden="false" localSheetId="20" name="Need_4" vbProcedure="false">'C19 Fees impact'!$C$42</definedName>
    <definedName function="false" hidden="false" localSheetId="20" name="Plan_Goal_Kind" vbProcedure="false">'C19 Fees impact'!$C$36</definedName>
    <definedName function="false" hidden="false" localSheetId="20" name="Statement_Check" vbProcedure="false">'C19 Fees impact'!$C$22</definedName>
    <definedName function="false" hidden="false" localSheetId="20" name="Statement_Uploaded" vbProcedure="false">'C19 Fees impact'!$C$19</definedName>
    <definedName function="false" hidden="false" localSheetId="20" name="Stmt_Charges" vbProcedure="false">'C19 Fees impact'!$C$8</definedName>
    <definedName function="false" hidden="false" localSheetId="20" name="Stmt_Statement_Date" vbProcedure="false">'C19 Fees impact'!$C$9</definedName>
    <definedName function="false" hidden="false" localSheetId="20" name="Stmt_Total_Value" vbProcedure="false">'C19 Fees impact'!$C$7</definedName>
    <definedName function="false" hidden="false" localSheetId="20" name="Used_Amount_Invested" vbProcedure="false">'C19 Fees impact'!$C$20</definedName>
    <definedName function="false" hidden="false" localSheetId="20" name="Used_Fee_A" vbProcedure="false">'C19 Fees impact'!$C$21</definedName>
    <definedName function="false" hidden="false" localSheetId="20" name="Value_With_Fee_A" vbProcedure="false">'C19 Fees impact'!$C$26</definedName>
    <definedName function="false" hidden="false" localSheetId="20" name="Value_With_Fee_B" vbProcedure="false">'C19 Fees impact'!$C$27</definedName>
    <definedName function="false" hidden="false" localSheetId="20" name="Years" vbProcedure="false">'C19 Fees impact'!$G$13</definedName>
    <definedName function="false" hidden="false" localSheetId="20" name="Years_Entry" vbProcedure="false">'C19 Fees impact'!$C$13</definedName>
    <definedName function="false" hidden="false" localSheetId="21" name="Amount" vbProcedure="false">'C20 Risk and return'!$G$12</definedName>
    <definedName function="false" hidden="false" localSheetId="21" name="Amount_Entry" vbProcedure="false">'C20 Risk and return'!$C$12</definedName>
    <definedName function="false" hidden="false" localSheetId="21" name="Difficult_Year_Fall" vbProcedure="false">'C20 Risk and return'!$C$31</definedName>
    <definedName function="false" hidden="false" localSheetId="21" name="Middle" vbProcedure="false">'C20 Risk and return'!$C$28</definedName>
    <definedName function="false" hidden="false" localSheetId="21" name="Middle_Growth" vbProcedure="false">'C20 Risk and return'!$C$33</definedName>
    <definedName function="false" hidden="false" localSheetId="21" name="Mu_Balanced" vbProcedure="false">'C20 Risk and return'!$G$16</definedName>
    <definedName function="false" hidden="false" localSheetId="21" name="Mu_Balanced_Entry" vbProcedure="false">'C20 Risk and return'!$C$16</definedName>
    <definedName function="false" hidden="false" localSheetId="21" name="Mu_Cautious" vbProcedure="false">'C20 Risk and return'!$G$15</definedName>
    <definedName function="false" hidden="false" localSheetId="21" name="Mu_Cautious_Entry" vbProcedure="false">'C20 Risk and return'!$C$15</definedName>
    <definedName function="false" hidden="false" localSheetId="21" name="Mu_Growth" vbProcedure="false">'C20 Risk and return'!$G$17</definedName>
    <definedName function="false" hidden="false" localSheetId="21" name="Mu_Growth_Entry" vbProcedure="false">'C20 Risk and return'!$C$17</definedName>
    <definedName function="false" hidden="false" localSheetId="21" name="Need_1" vbProcedure="false">'C20 Risk and return'!$C$48</definedName>
    <definedName function="false" hidden="false" localSheetId="21" name="Need_2" vbProcedure="false">'C20 Risk and return'!$C$49</definedName>
    <definedName function="false" hidden="false" localSheetId="21" name="Need_3" vbProcedure="false">'C20 Risk and return'!$C$50</definedName>
    <definedName function="false" hidden="false" localSheetId="21" name="Need_4" vbProcedure="false">'C20 Risk and return'!$C$51</definedName>
    <definedName function="false" hidden="false" localSheetId="21" name="Need_5" vbProcedure="false">'C20 Risk and return'!$C$52</definedName>
    <definedName function="false" hidden="false" localSheetId="21" name="Need_6" vbProcedure="false">'C20 Risk and return'!$C$53</definedName>
    <definedName function="false" hidden="false" localSheetId="21" name="Need_7" vbProcedure="false">'C20 Risk and return'!$C$54</definedName>
    <definedName function="false" hidden="false" localSheetId="21" name="Plan_Goal_Kind" vbProcedure="false">'C20 Risk and return'!$C$45</definedName>
    <definedName function="false" hidden="false" localSheetId="21" name="Spread" vbProcedure="false">'C20 Risk and return'!$C$35</definedName>
    <definedName function="false" hidden="false" localSheetId="21" name="Statement_Check" vbProcedure="false">'C20 Risk and return'!$C$25</definedName>
    <definedName function="false" hidden="false" localSheetId="21" name="Stmt_Shares_Pct" vbProcedure="false">'C20 Risk and return'!$C$8</definedName>
    <definedName function="false" hidden="false" localSheetId="21" name="Stmt_Statement_Date" vbProcedure="false">'C20 Risk and return'!$C$9</definedName>
    <definedName function="false" hidden="false" localSheetId="21" name="Stmt_Total_Value" vbProcedure="false">'C20 Risk and return'!$C$7</definedName>
    <definedName function="false" hidden="false" localSheetId="21" name="Stronger" vbProcedure="false">'C20 Risk and return'!$C$30</definedName>
    <definedName function="false" hidden="false" localSheetId="21" name="Style" vbProcedure="false">'C20 Risk and return'!$G$14</definedName>
    <definedName function="false" hidden="false" localSheetId="21" name="Style_Entry" vbProcedure="false">'C20 Risk and return'!$C$14</definedName>
    <definedName function="false" hidden="false" localSheetId="21" name="Style_Name" vbProcedure="false">'C20 Risk and return'!$C$32</definedName>
    <definedName function="false" hidden="false" localSheetId="21" name="Used_Amount" vbProcedure="false">'C20 Risk and return'!$C$23</definedName>
    <definedName function="false" hidden="false" localSheetId="21" name="Used_Style" vbProcedure="false">'C20 Risk and return'!$C$24</definedName>
    <definedName function="false" hidden="false" localSheetId="21" name="Volatility" vbProcedure="false">'C20 Risk and return'!$C$34</definedName>
    <definedName function="false" hidden="false" localSheetId="21" name="Vol_Balanced" vbProcedure="false">'C20 Risk and return'!$G$19</definedName>
    <definedName function="false" hidden="false" localSheetId="21" name="Vol_Balanced_Entry" vbProcedure="false">'C20 Risk and return'!$C$19</definedName>
    <definedName function="false" hidden="false" localSheetId="21" name="Vol_Cautious" vbProcedure="false">'C20 Risk and return'!$G$18</definedName>
    <definedName function="false" hidden="false" localSheetId="21" name="Vol_Cautious_Entry" vbProcedure="false">'C20 Risk and return'!$C$18</definedName>
    <definedName function="false" hidden="false" localSheetId="21" name="Vol_Growth" vbProcedure="false">'C20 Risk and return'!$G$20</definedName>
    <definedName function="false" hidden="false" localSheetId="21" name="Vol_Growth_Entry" vbProcedure="false">'C20 Risk and return'!$C$20</definedName>
    <definedName function="false" hidden="false" localSheetId="21" name="Weaker" vbProcedure="false">'C20 Risk and return'!$C$29</definedName>
    <definedName function="false" hidden="false" localSheetId="21" name="Years" vbProcedure="false">'C20 Risk and return'!$G$13</definedName>
    <definedName function="false" hidden="false" localSheetId="21" name="Years_Entry" vbProcedure="false">'C20 Risk and return'!$C$13</definedName>
    <definedName function="false" hidden="false" localSheetId="22" name="Already_Have" vbProcedure="false">'C21 Life cover'!$C$29</definedName>
    <definedName function="false" hidden="false" localSheetId="22" name="Cover_Gap" vbProcedure="false">'C21 Life cover'!$C$26</definedName>
    <definedName function="false" hidden="false" localSheetId="22" name="Debts_To_Clear" vbProcedure="false">'C21 Life cover'!$C$28</definedName>
    <definedName function="false" hidden="false" localSheetId="22" name="Existing_Cover" vbProcedure="false">'C21 Life cover'!$G$18</definedName>
    <definedName function="false" hidden="false" localSheetId="22" name="Existing_Cover_Entry" vbProcedure="false">'C21 Life cover'!$C$18</definedName>
    <definedName function="false" hidden="false" localSheetId="22" name="Income_Need" vbProcedure="false">'C21 Life cover'!$C$27</definedName>
    <definedName function="false" hidden="false" localSheetId="22" name="Income_Replacement" vbProcedure="false">'C21 Life cover'!$C$30</definedName>
    <definedName function="false" hidden="false" localSheetId="22" name="Life_Replace" vbProcedure="false">'C21 Life cover'!$G$13</definedName>
    <definedName function="false" hidden="false" localSheetId="22" name="Life_Replace_Entry" vbProcedure="false">'C21 Life cover'!$C$13</definedName>
    <definedName function="false" hidden="false" localSheetId="22" name="Mortgage_Balance" vbProcedure="false">'C21 Life cover'!$G$14</definedName>
    <definedName function="false" hidden="false" localSheetId="22" name="Mortgage_Balance_Entry" vbProcedure="false">'C21 Life cover'!$C$14</definedName>
    <definedName function="false" hidden="false" localSheetId="22" name="Mortgage_Protected" vbProcedure="false">'C21 Life cover'!$G$15</definedName>
    <definedName function="false" hidden="false" localSheetId="22" name="Mortgage_Protected_Entry" vbProcedure="false">'C21 Life cover'!$C$15</definedName>
    <definedName function="false" hidden="false" localSheetId="22" name="Need_1" vbProcedure="false">'C21 Life cover'!$C$46</definedName>
    <definedName function="false" hidden="false" localSheetId="22" name="Need_2" vbProcedure="false">'C21 Life cover'!$C$47</definedName>
    <definedName function="false" hidden="false" localSheetId="22" name="Need_3" vbProcedure="false">'C21 Life cover'!$C$48</definedName>
    <definedName function="false" hidden="false" localSheetId="22" name="Need_4" vbProcedure="false">'C21 Life cover'!$C$49</definedName>
    <definedName function="false" hidden="false" localSheetId="22" name="Need_5" vbProcedure="false">'C21 Life cover'!$C$50</definedName>
    <definedName function="false" hidden="false" localSheetId="22" name="Other_Debts" vbProcedure="false">'C21 Life cover'!$G$16</definedName>
    <definedName function="false" hidden="false" localSheetId="22" name="Other_Debts_Entry" vbProcedure="false">'C21 Life cover'!$C$16</definedName>
    <definedName function="false" hidden="false" localSheetId="22" name="Plan_Goal_Kind" vbProcedure="false">'C21 Life cover'!$C$41</definedName>
    <definedName function="false" hidden="false" localSheetId="22" name="Plan_Goal_Need" vbProcedure="false">'C21 Life cover'!$C$42</definedName>
    <definedName function="false" hidden="false" localSheetId="22" name="Savings" vbProcedure="false">'C21 Life cover'!$G$17</definedName>
    <definedName function="false" hidden="false" localSheetId="22" name="Savings_Entry" vbProcedure="false">'C21 Life cover'!$C$17</definedName>
    <definedName function="false" hidden="false" localSheetId="22" name="Statement_Check" vbProcedure="false">'C21 Life cover'!$C$23</definedName>
    <definedName function="false" hidden="false" localSheetId="22" name="Stmt_Balance" vbProcedure="false">'C21 Life cover'!$C$7</definedName>
    <definedName function="false" hidden="false" localSheetId="22" name="Stmt_Statement_Date" vbProcedure="false">'C21 Life cover'!$C$8</definedName>
    <definedName function="false" hidden="false" localSheetId="22" name="Survivor_Pension" vbProcedure="false">'C21 Life cover'!$G$19</definedName>
    <definedName function="false" hidden="false" localSheetId="22" name="Survivor_Pension_Entry" vbProcedure="false">'C21 Life cover'!$C$19</definedName>
    <definedName function="false" hidden="false" localSheetId="22" name="Used_Mortgage_Balance" vbProcedure="false">'C21 Life cover'!$C$22</definedName>
    <definedName function="false" hidden="false" localSheetId="22" name="Yearly_Income" vbProcedure="false">'C21 Life cover'!$G$11</definedName>
    <definedName function="false" hidden="false" localSheetId="22" name="Yearly_Income_Entry" vbProcedure="false">'C21 Life cover'!$C$11</definedName>
    <definedName function="false" hidden="false" localSheetId="22" name="Years_Support" vbProcedure="false">'C21 Life cover'!$G$12</definedName>
    <definedName function="false" hidden="false" localSheetId="22" name="Years_Support_Entry" vbProcedure="false">'C21 Life cover'!$C$12</definedName>
    <definedName function="false" hidden="false" localSheetId="23" name="Essential_Spending" vbProcedure="false">'C22 Income protection gap'!$G$6</definedName>
    <definedName function="false" hidden="false" localSheetId="23" name="Essential_Spending_Entry" vbProcedure="false">'C22 Income protection gap'!$C$6</definedName>
    <definedName function="false" hidden="false" localSheetId="23" name="Gross_Income" vbProcedure="false">'C22 Income protection gap'!$G$9</definedName>
    <definedName function="false" hidden="false" localSheetId="23" name="Gross_Income_Entry" vbProcedure="false">'C22 Income protection gap'!$C$9</definedName>
    <definedName function="false" hidden="false" localSheetId="23" name="Illness_Benefit" vbProcedure="false">'C22 Income protection gap'!$G$10</definedName>
    <definedName function="false" hidden="false" localSheetId="23" name="Illness_Benefit_Entry" vbProcedure="false">'C22 Income protection gap'!$C$10</definedName>
    <definedName function="false" hidden="false" localSheetId="23" name="Illness_Benefit_Month" vbProcedure="false">'C22 Income protection gap'!$C$16</definedName>
    <definedName function="false" hidden="false" localSheetId="23" name="IP_Max" vbProcedure="false">'C22 Income protection gap'!$C$18</definedName>
    <definedName function="false" hidden="false" localSheetId="23" name="IP_Needed" vbProcedure="false">'C22 Income protection gap'!$C$15</definedName>
    <definedName function="false" hidden="false" localSheetId="23" name="Monthly_Gap" vbProcedure="false">'C22 Income protection gap'!$C$14</definedName>
    <definedName function="false" hidden="false" localSheetId="23" name="Months_Coping" vbProcedure="false">'C22 Income protection gap'!$C$13</definedName>
    <definedName function="false" hidden="false" localSheetId="23" name="Need_1" vbProcedure="false">'C22 Income protection gap'!$C$33</definedName>
    <definedName function="false" hidden="false" localSheetId="23" name="Need_2" vbProcedure="false">'C22 Income protection gap'!$C$34</definedName>
    <definedName function="false" hidden="false" localSheetId="23" name="Need_3" vbProcedure="false">'C22 Income protection gap'!$C$35</definedName>
    <definedName function="false" hidden="false" localSheetId="23" name="Need_4" vbProcedure="false">'C22 Income protection gap'!$C$36</definedName>
    <definedName function="false" hidden="false" localSheetId="23" name="Need_5" vbProcedure="false">'C22 Income protection gap'!$C$37</definedName>
    <definedName function="false" hidden="false" localSheetId="23" name="Need_6" vbProcedure="false">'C22 Income protection gap'!$C$38</definedName>
    <definedName function="false" hidden="false" localSheetId="23" name="Plan_Goal_Kind" vbProcedure="false">'C22 Income protection gap'!$C$29</definedName>
    <definedName function="false" hidden="false" localSheetId="23" name="Plan_Goal_Need" vbProcedure="false">'C22 Income protection gap'!$C$30</definedName>
    <definedName function="false" hidden="false" localSheetId="23" name="Savings" vbProcedure="false">'C22 Income protection gap'!$G$8</definedName>
    <definedName function="false" hidden="false" localSheetId="23" name="Savings_Entry" vbProcedure="false">'C22 Income protection gap'!$C$8</definedName>
    <definedName function="false" hidden="false" localSheetId="23" name="Savings_Months" vbProcedure="false">'C22 Income protection gap'!$C$17</definedName>
    <definedName function="false" hidden="false" localSheetId="23" name="Sick_Pay_Months" vbProcedure="false">'C22 Income protection gap'!$G$7</definedName>
    <definedName function="false" hidden="false" localSheetId="23" name="Sick_Pay_Months_Entry" vbProcedure="false">'C22 Income protection gap'!$C$7</definedName>
    <definedName function="false" hidden="false" localSheetId="24" name="Actual_Repayment" vbProcedure="false">'C23 Mortgage protection'!$G$17</definedName>
    <definedName function="false" hidden="false" localSheetId="24" name="Actual_Repayment_Entry" vbProcedure="false">'C23 Mortgage protection'!$C$17</definedName>
    <definedName function="false" hidden="false" localSheetId="24" name="Balance_Year_1" vbProcedure="false">'C23 Mortgage protection'!$C$29</definedName>
    <definedName function="false" hidden="false" localSheetId="24" name="Balance_Year_2" vbProcedure="false">'C23 Mortgage protection'!$C$30</definedName>
    <definedName function="false" hidden="false" localSheetId="24" name="Balance_Year_3" vbProcedure="false">'C23 Mortgage protection'!$C$31</definedName>
    <definedName function="false" hidden="false" localSheetId="24" name="Cover_Today" vbProcedure="false">'C23 Mortgage protection'!$C$27</definedName>
    <definedName function="false" hidden="false" localSheetId="24" name="Interest_Rate" vbProcedure="false">'C23 Mortgage protection'!$G$15</definedName>
    <definedName function="false" hidden="false" localSheetId="24" name="Interest_Rate_Entry" vbProcedure="false">'C23 Mortgage protection'!$C$15</definedName>
    <definedName function="false" hidden="false" localSheetId="24" name="Monthly_Rate" vbProcedure="false">'C23 Mortgage protection'!$C$32</definedName>
    <definedName function="false" hidden="false" localSheetId="24" name="Mortgage_Balance" vbProcedure="false">'C23 Mortgage protection'!$G$14</definedName>
    <definedName function="false" hidden="false" localSheetId="24" name="Mortgage_Balance_Entry" vbProcedure="false">'C23 Mortgage protection'!$C$14</definedName>
    <definedName function="false" hidden="false" localSheetId="24" name="Need_1" vbProcedure="false">'C23 Mortgage protection'!$C$44</definedName>
    <definedName function="false" hidden="false" localSheetId="24" name="Need_2" vbProcedure="false">'C23 Mortgage protection'!$C$45</definedName>
    <definedName function="false" hidden="false" localSheetId="24" name="Need_3" vbProcedure="false">'C23 Mortgage protection'!$C$46</definedName>
    <definedName function="false" hidden="false" localSheetId="24" name="Plan_Goal_Kind" vbProcedure="false">'C23 Mortgage protection'!$C$41</definedName>
    <definedName function="false" hidden="false" localSheetId="24" name="Repayment" vbProcedure="false">'C23 Mortgage protection'!$C$33</definedName>
    <definedName function="false" hidden="false" localSheetId="24" name="Statement_Check" vbProcedure="false">'C23 Mortgage protection'!$C$24</definedName>
    <definedName function="false" hidden="false" localSheetId="24" name="Stmt_Balance" vbProcedure="false">'C23 Mortgage protection'!$C$7</definedName>
    <definedName function="false" hidden="false" localSheetId="24" name="Stmt_Rate" vbProcedure="false">'C23 Mortgage protection'!$C$8</definedName>
    <definedName function="false" hidden="false" localSheetId="24" name="Stmt_Repayment" vbProcedure="false">'C23 Mortgage protection'!$C$10</definedName>
    <definedName function="false" hidden="false" localSheetId="24" name="Stmt_Statement_Date" vbProcedure="false">'C23 Mortgage protection'!$C$11</definedName>
    <definedName function="false" hidden="false" localSheetId="24" name="Stmt_Term" vbProcedure="false">'C23 Mortgage protection'!$C$9</definedName>
    <definedName function="false" hidden="false" localSheetId="24" name="Used_Actual_Repayment" vbProcedure="false">'C23 Mortgage protection'!$C$23</definedName>
    <definedName function="false" hidden="false" localSheetId="24" name="Used_Interest_Rate" vbProcedure="false">'C23 Mortgage protection'!$C$21</definedName>
    <definedName function="false" hidden="false" localSheetId="24" name="Used_Mortgage_Balance" vbProcedure="false">'C23 Mortgage protection'!$C$20</definedName>
    <definedName function="false" hidden="false" localSheetId="24" name="Used_Years_Left" vbProcedure="false">'C23 Mortgage protection'!$C$22</definedName>
    <definedName function="false" hidden="false" localSheetId="24" name="Warning" vbProcedure="false">'C23 Mortgage protection'!$C$28</definedName>
    <definedName function="false" hidden="false" localSheetId="24" name="Years_Left" vbProcedure="false">'C23 Mortgage protection'!$G$16</definedName>
    <definedName function="false" hidden="false" localSheetId="24" name="Years_Left_Entry" vbProcedure="false">'C23 Mortgage protection'!$C$16</definedName>
    <definedName function="false" hidden="false" localSheetId="25" name="Investments" vbProcedure="false">'C24 Net worth'!$G$14</definedName>
    <definedName function="false" hidden="false" localSheetId="25" name="Investments_Entry" vbProcedure="false">'C24 Net worth'!$C$14</definedName>
    <definedName function="false" hidden="false" localSheetId="25" name="Mortgage" vbProcedure="false">'C24 Net worth'!$G$17</definedName>
    <definedName function="false" hidden="false" localSheetId="25" name="Mortgage_Entry" vbProcedure="false">'C24 Net worth'!$C$17</definedName>
    <definedName function="false" hidden="false" localSheetId="25" name="Need_1" vbProcedure="false">'C24 Net worth'!$C$40</definedName>
    <definedName function="false" hidden="false" localSheetId="25" name="Need_2" vbProcedure="false">'C24 Net worth'!$C$41</definedName>
    <definedName function="false" hidden="false" localSheetId="25" name="Need_3" vbProcedure="false">'C24 Net worth'!$C$42</definedName>
    <definedName function="false" hidden="false" localSheetId="25" name="Net_Worth" vbProcedure="false">'C24 Net worth'!$C$27</definedName>
    <definedName function="false" hidden="false" localSheetId="25" name="Other_Loans" vbProcedure="false">'C24 Net worth'!$G$18</definedName>
    <definedName function="false" hidden="false" localSheetId="25" name="Other_Loans_Entry" vbProcedure="false">'C24 Net worth'!$C$18</definedName>
    <definedName function="false" hidden="false" localSheetId="25" name="Pensions" vbProcedure="false">'C24 Net worth'!$G$15</definedName>
    <definedName function="false" hidden="false" localSheetId="25" name="Pensions_Entry" vbProcedure="false">'C24 Net worth'!$C$15</definedName>
    <definedName function="false" hidden="false" localSheetId="25" name="Plan_Goal_Kind" vbProcedure="false">'C24 Net worth'!$C$37</definedName>
    <definedName function="false" hidden="false" localSheetId="25" name="Property" vbProcedure="false">'C24 Net worth'!$G$16</definedName>
    <definedName function="false" hidden="false" localSheetId="25" name="Property_Entry" vbProcedure="false">'C24 Net worth'!$C$16</definedName>
    <definedName function="false" hidden="false" localSheetId="25" name="Savings" vbProcedure="false">'C24 Net worth'!$G$13</definedName>
    <definedName function="false" hidden="false" localSheetId="25" name="Savings_Entry" vbProcedure="false">'C24 Net worth'!$C$13</definedName>
    <definedName function="false" hidden="false" localSheetId="25" name="Stmt_Investment_Value" vbProcedure="false">'C24 Net worth'!$C$10</definedName>
    <definedName function="false" hidden="false" localSheetId="25" name="Stmt_Mortgage_Balance" vbProcedure="false">'C24 Net worth'!$C$7</definedName>
    <definedName function="false" hidden="false" localSheetId="25" name="Stmt_Pension_Value" vbProcedure="false">'C24 Net worth'!$C$9</definedName>
    <definedName function="false" hidden="false" localSheetId="25" name="Stmt_Property_Value" vbProcedure="false">'C24 Net worth'!$C$8</definedName>
    <definedName function="false" hidden="false" localSheetId="25" name="Used_Investments" vbProcedure="false">'C24 Net worth'!$C$24</definedName>
    <definedName function="false" hidden="false" localSheetId="25" name="Used_Mortgage" vbProcedure="false">'C24 Net worth'!$C$21</definedName>
    <definedName function="false" hidden="false" localSheetId="25" name="Used_Pensions" vbProcedure="false">'C24 Net worth'!$C$23</definedName>
    <definedName function="false" hidden="false" localSheetId="25" name="Used_Property" vbProcedure="false">'C24 Net worth'!$C$22</definedName>
    <definedName function="false" hidden="false" localSheetId="25" name="You_Owe" vbProcedure="false">'C24 Net worth'!$C$29</definedName>
    <definedName function="false" hidden="false" localSheetId="25" name="You_Own" vbProcedure="false">'C24 Net worth'!$C$28</definedName>
    <definedName function="false" hidden="false" localSheetId="26" name="Debt_Repayments" vbProcedure="false">'C25 Monthly surplus'!$G$9</definedName>
    <definedName function="false" hidden="false" localSheetId="26" name="Debt_Repayments_Entry" vbProcedure="false">'C25 Monthly surplus'!$C$9</definedName>
    <definedName function="false" hidden="false" localSheetId="26" name="Essentials" vbProcedure="false">'C25 Monthly surplus'!$G$7</definedName>
    <definedName function="false" hidden="false" localSheetId="26" name="Essentials_Entry" vbProcedure="false">'C25 Monthly surplus'!$C$7</definedName>
    <definedName function="false" hidden="false" localSheetId="26" name="Going_Out" vbProcedure="false">'C25 Monthly surplus'!$C$16</definedName>
    <definedName function="false" hidden="false" localSheetId="26" name="Lifestyle" vbProcedure="false">'C25 Monthly surplus'!$G$8</definedName>
    <definedName function="false" hidden="false" localSheetId="26" name="Lifestyle_Entry" vbProcedure="false">'C25 Monthly surplus'!$C$8</definedName>
    <definedName function="false" hidden="false" localSheetId="26" name="Need_1" vbProcedure="false">'C25 Monthly surplus'!$C$29</definedName>
    <definedName function="false" hidden="false" localSheetId="26" name="Need_2" vbProcedure="false">'C25 Monthly surplus'!$C$30</definedName>
    <definedName function="false" hidden="false" localSheetId="26" name="Plan_Goal_Amount" vbProcedure="false">'C25 Monthly surplus'!$C$25</definedName>
    <definedName function="false" hidden="false" localSheetId="26" name="Plan_Goal_Kind" vbProcedure="false">'C25 Monthly surplus'!$C$24</definedName>
    <definedName function="false" hidden="false" localSheetId="26" name="Plan_Goal_Years" vbProcedure="false">'C25 Monthly surplus'!$C$26</definedName>
    <definedName function="false" hidden="false" localSheetId="26" name="Surplus" vbProcedure="false">'C25 Monthly surplus'!$C$15</definedName>
    <definedName function="false" hidden="false" localSheetId="26" name="Take_Home" vbProcedure="false">'C25 Monthly surplus'!$G$6</definedName>
    <definedName function="false" hidden="false" localSheetId="26" name="Take_Home_Entry" vbProcedure="false">'C25 Monthly surplus'!$C$6</definedName>
    <definedName function="false" hidden="false" localSheetId="26" name="Used_Take_Home" vbProcedure="false">'C25 Monthly surplus'!$C$12</definedName>
    <definedName function="false" hidden="false" localSheetId="27" name="Budget_Needs" vbProcedure="false">'C26 Budget 50 30 20'!$G$7</definedName>
    <definedName function="false" hidden="false" localSheetId="27" name="Budget_Needs_Entry" vbProcedure="false">'C26 Budget 50 30 20'!$C$7</definedName>
    <definedName function="false" hidden="false" localSheetId="27" name="Budget_Save" vbProcedure="false">'C26 Budget 50 30 20'!$G$9</definedName>
    <definedName function="false" hidden="false" localSheetId="27" name="Budget_Save_Entry" vbProcedure="false">'C26 Budget 50 30 20'!$C$9</definedName>
    <definedName function="false" hidden="false" localSheetId="27" name="Budget_Wants" vbProcedure="false">'C26 Budget 50 30 20'!$G$8</definedName>
    <definedName function="false" hidden="false" localSheetId="27" name="Budget_Wants_Entry" vbProcedure="false">'C26 Budget 50 30 20'!$C$8</definedName>
    <definedName function="false" hidden="false" localSheetId="27" name="Needs" vbProcedure="false">'C26 Budget 50 30 20'!$C$17</definedName>
    <definedName function="false" hidden="false" localSheetId="27" name="Need_1" vbProcedure="false">'C26 Budget 50 30 20'!$C$29</definedName>
    <definedName function="false" hidden="false" localSheetId="27" name="Need_2" vbProcedure="false">'C26 Budget 50 30 20'!$C$30</definedName>
    <definedName function="false" hidden="false" localSheetId="27" name="Need_3" vbProcedure="false">'C26 Budget 50 30 20'!$C$31</definedName>
    <definedName function="false" hidden="false" localSheetId="27" name="Need_4" vbProcedure="false">'C26 Budget 50 30 20'!$C$32</definedName>
    <definedName function="false" hidden="false" localSheetId="27" name="Plan_Goal_Kind" vbProcedure="false">'C26 Budget 50 30 20'!$C$26</definedName>
    <definedName function="false" hidden="false" localSheetId="27" name="Save" vbProcedure="false">'C26 Budget 50 30 20'!$C$16</definedName>
    <definedName function="false" hidden="false" localSheetId="27" name="Split_Check" vbProcedure="false">'C26 Budget 50 30 20'!$C$15</definedName>
    <definedName function="false" hidden="false" localSheetId="27" name="Take_Home" vbProcedure="false">'C26 Budget 50 30 20'!$G$6</definedName>
    <definedName function="false" hidden="false" localSheetId="27" name="Take_Home_Entry" vbProcedure="false">'C26 Budget 50 30 20'!$C$6</definedName>
    <definedName function="false" hidden="false" localSheetId="27" name="Used_Take_Home" vbProcedure="false">'C26 Budget 50 30 20'!$C$12</definedName>
    <definedName function="false" hidden="false" localSheetId="27" name="Wants" vbProcedure="false">'C26 Budget 50 30 20'!$C$18</definedName>
    <definedName function="false" hidden="false" localSheetId="28" name="APR" vbProcedure="false">'C27 Debt repayment'!$G$7</definedName>
    <definedName function="false" hidden="false" localSheetId="28" name="APR_Entry" vbProcedure="false">'C27 Debt repayment'!$C$7</definedName>
    <definedName function="false" hidden="false" localSheetId="28" name="Balance" vbProcedure="false">'C27 Debt repayment'!$G$6</definedName>
    <definedName function="false" hidden="false" localSheetId="28" name="Balance_Entry" vbProcedure="false">'C27 Debt repayment'!$C$6</definedName>
    <definedName function="false" hidden="false" localSheetId="28" name="Extra_Payment" vbProcedure="false">'C27 Debt repayment'!$G$9</definedName>
    <definedName function="false" hidden="false" localSheetId="28" name="Extra_Payment_Entry" vbProcedure="false">'C27 Debt repayment'!$C$9</definedName>
    <definedName function="false" hidden="false" localSheetId="28" name="Final_Payment" vbProcedure="false">'C27 Debt repayment'!$C$16</definedName>
    <definedName function="false" hidden="false" localSheetId="28" name="Monthly_Payment" vbProcedure="false">'C27 Debt repayment'!$G$8</definedName>
    <definedName function="false" hidden="false" localSheetId="28" name="Monthly_Payment_Entry" vbProcedure="false">'C27 Debt repayment'!$C$8</definedName>
    <definedName function="false" hidden="false" localSheetId="28" name="Monthly_Rate" vbProcedure="false">'C27 Debt repayment'!$C$14</definedName>
    <definedName function="false" hidden="false" localSheetId="28" name="Months_To_Clear" vbProcedure="false">'C27 Debt repayment'!$C$12</definedName>
    <definedName function="false" hidden="false" localSheetId="28" name="Need_1" vbProcedure="false">'C27 Debt repayment'!$C$32</definedName>
    <definedName function="false" hidden="false" localSheetId="28" name="Need_2" vbProcedure="false">'C27 Debt repayment'!$C$33</definedName>
    <definedName function="false" hidden="false" localSheetId="28" name="Need_3" vbProcedure="false">'C27 Debt repayment'!$C$34</definedName>
    <definedName function="false" hidden="false" localSheetId="28" name="Payment" vbProcedure="false">'C27 Debt repayment'!$C$15</definedName>
    <definedName function="false" hidden="false" localSheetId="28" name="Plan_Goal_Kind" vbProcedure="false">'C27 Debt repayment'!$C$28</definedName>
    <definedName function="false" hidden="false" localSheetId="28" name="Total_Interest" vbProcedure="false">'C27 Debt repayment'!$C$13</definedName>
    <definedName function="false" hidden="false" localSheetId="29" name="APR" vbProcedure="false">'C28 Loan repayment'!$G$7</definedName>
    <definedName function="false" hidden="false" localSheetId="29" name="APR_Entry" vbProcedure="false">'C28 Loan repayment'!$C$7</definedName>
    <definedName function="false" hidden="false" localSheetId="29" name="Loan_Amount" vbProcedure="false">'C28 Loan repayment'!$G$6</definedName>
    <definedName function="false" hidden="false" localSheetId="29" name="Loan_Amount_Entry" vbProcedure="false">'C28 Loan repayment'!$C$6</definedName>
    <definedName function="false" hidden="false" localSheetId="29" name="Monthly_Rate" vbProcedure="false">'C28 Loan repayment'!$C$14</definedName>
    <definedName function="false" hidden="false" localSheetId="29" name="Monthly_Repayment" vbProcedure="false">'C28 Loan repayment'!$C$11</definedName>
    <definedName function="false" hidden="false" localSheetId="29" name="Need_1" vbProcedure="false">'C28 Loan repayment'!$C$26</definedName>
    <definedName function="false" hidden="false" localSheetId="29" name="Need_2" vbProcedure="false">'C28 Loan repayment'!$C$27</definedName>
    <definedName function="false" hidden="false" localSheetId="29" name="Plan_Goal_Kind" vbProcedure="false">'C28 Loan repayment'!$C$23</definedName>
    <definedName function="false" hidden="false" localSheetId="29" name="Total_Interest" vbProcedure="false">'C28 Loan repayment'!$C$12</definedName>
    <definedName function="false" hidden="false" localSheetId="29" name="Total_Repaid" vbProcedure="false">'C28 Loan repayment'!$C$13</definedName>
    <definedName function="false" hidden="false" localSheetId="29" name="Years" vbProcedure="false">'C28 Loan repayment'!$G$8</definedName>
    <definedName function="false" hidden="false" localSheetId="29"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4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<sst xmlns="http://schemas.openxmlformats.org/spreadsheetml/2006/main" count="9021" uniqueCount="5693">
  <si>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</si>
  <si>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</si>
  <si>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</si>
  <si>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</si>
  <si>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</si>
  <si>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</si>
  <si>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</si>
  <si>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</si>
  <si>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</si>
  <si>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</si>
  <si>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</si>
  <si>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</si>
  <si>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</si>
  <si>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</si>
  <si>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</si>
  <si>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</si>
  <si>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</si>
  <si>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</si>
  <si>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</si>
  <si>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</si>
  <si>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</si>
  <si>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</si>
  <si>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</si>
  <si>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</si>
  <si>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</si>
  <si>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</si>
  <si>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</si>
  <si>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</si>
  <si>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</si>
  <si>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</si>
  <si>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</si>
  <si>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</si>
  <si>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</si>
  <si>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</si>
  <si>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</si>
  <si>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</si>
  <si>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</si>
  <si>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</si>
  <si>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</si>
  <si>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</si>
  <si>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</si>
  <si>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</si>
  <si>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</si>
  <si>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</si>
  <si>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</si>
  <si>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</si>
  <si>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</si>
  <si>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</si>
  <si>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</si>
  <si>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</si>
  <si>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</si>
  <si>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</si>
  <si>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</si>
  <si>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</si>
  <si>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</si>
  <si>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</si>
  <si>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</si>
  <si>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</si>
  <si>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</si>
  <si>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</si>
  <si>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</si>
  <si>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</si>
  <si>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</si>
  <si>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</si>
  <si>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</si>
  <si>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</si>
  <si>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</si>
  <si>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</si>
  <si>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</si>
  <si>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</si>
  <si>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</si>
  <si>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</si>
  <si>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</si>
  <si>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</si>
  <si>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</si>
  <si>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</si>
  <si>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</si>
  <si>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</si>
  <si>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</si>
  <si>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</si>
  <si>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</si>
  <si>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</si>
  <si>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</si>
  <si>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</si>
  <si>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</si>
  <si>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</si>
  <si>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</si>
  <si>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</si>
  <si>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</si>
  <si>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</si>
  <si>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</si>
  <si>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</si>
  <si>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</si>
  <si>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</si>
  <si>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</si>
  <si>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</si>
  <si>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</si>
  <si>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</si>
  <si>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</si>
  <si>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</si>
  <si>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</si>
  <si>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</si>
  <si>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</si>
  <si>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</si>
  <si>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</si>
  <si>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</si>
  <si>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</si>
  <si>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</si>
  <si>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</si>
  <si>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</si>
  <si>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</si>
  <si>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</si>
  <si>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</si>
  <si>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</si>
  <si>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</si>
  <si>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</si>
  <si>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</si>
  <si>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</si>
  <si>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</si>
  <si>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</si>
  <si>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</si>
  <si>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</si>
  <si>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</si>
  <si>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</si>
  <si>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</si>
  <si>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</si>
  <si>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</si>
  <si>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</si>
  <si>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</si>
  <si>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</si>
  <si>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</si>
  <si>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</si>
  <si>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</si>
  <si>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</si>
  <si>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</si>
  <si>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</si>
  <si>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</si>
  <si>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</si>
  <si>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</si>
  <si>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</si>
  <si>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</si>
  <si>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</si>
  <si>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</si>
  <si>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</si>
  <si>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</si>
  <si>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</si>
  <si>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</si>
  <si>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</si>
  <si>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</si>
  <si>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</si>
  <si>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</si>
  <si>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</si>
  <si>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</si>
  <si>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</si>
  <si>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</si>
  <si>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</si>
  <si>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</si>
  <si>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</si>
  <si>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</si>
  <si>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</si>
  <si>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</si>
  <si>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</si>
  <si>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</si>
  <si>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</si>
  <si>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</si>
  <si>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</si>
  <si>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</si>
  <si>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</si>
  <si>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</si>
  <si>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</si>
  <si>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</si>
  <si>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</si>
  <si>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</si>
  <si>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</si>
  <si>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</si>
  <si>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</si>
  <si>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</si>
  <si>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</si>
  <si>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</si>
  <si>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</si>
  <si>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</si>
  <si>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</si>
  <si>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</si>
  <si>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</si>
  <si>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</si>
  <si>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</si>
  <si>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</si>
  <si>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</si>
  <si>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</si>
  <si>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</si>
  <si>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</si>
  <si>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</si>
  <si>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</si>
  <si>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</si>
  <si>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</si>
  <si>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</si>
  <si>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</si>
  <si>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</si>
  <si>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</si>
  <si>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</si>
  <si>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</si>
  <si>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</si>
  <si>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</si>
  <si>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</si>
  <si>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</si>
  <si>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</si>
  <si>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</si>
  <si>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</si>
  <si>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</si>
  <si>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</si>
  <si>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</si>
  <si>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</si>
  <si>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</si>
  <si>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</si>
  <si>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</si>
  <si>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</si>
  <si>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</si>
  <si>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</si>
  <si>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LifeMap calculators v2.9: 2026 tax additions</t>
  </si>
  <si>
    <t xml:space="preserve">What this version adds</t>
  </si>
  <si>
    <t xml:space="preserve">Seven new sheets at the end of the workbook, 2026 rules only (2027 Budget rules are NOT in this version). Every original sheet is unchanged.</t>
  </si>
  <si>
    <t xml:space="preserve">Tax assumptions 2026</t>
  </si>
  <si>
    <t xml:space="preserve">All tax figures in one place with status, effective date and source. The new calculators read their rates from here.</t>
  </si>
  <si>
    <t xml:space="preserve">Tax guide 2026</t>
  </si>
  <si>
    <t xml:space="preserve">Which tax applies when you hold, sell, buy, give or receive property, shares, funds, crypto, pensions and savings. Pick a situation in the yellow cell to see the answer in plain words.</t>
  </si>
  <si>
    <t xml:space="preserve">C29 Investment tax</t>
  </si>
  <si>
    <t xml:space="preserve">Funds and ETFs: growth first, then exit tax at the sale and every 8 years (deemed disposal), with the cost basis resetting. Shares: CGT only when sold. Year-by-year table with formulas.</t>
  </si>
  <si>
    <t xml:space="preserve">C30 Sale gift inheritance</t>
  </si>
  <si>
    <t xml:space="preserve">A: tax when you sell (home, other property, shares, crypto, funds). B: tax the giver pays when giving an asset away. C: gift and inheritance tax (CAT) the receiver pays.</t>
  </si>
  <si>
    <t xml:space="preserve">Cash flow (clean)</t>
  </si>
  <si>
    <t xml:space="preserve">Year-by-year cash flow for the sample customer: income by source, tax by type, net income, spending, surplus, money sold from each pot, tax on sales and 8-year events, closing balances, checks.</t>
  </si>
  <si>
    <t xml:space="preserve">Assumptions list 2026</t>
  </si>
  <si>
    <t xml:space="preserve">Every assumption the plan makes, by type, plus the LifeMap standards.</t>
  </si>
  <si>
    <t xml:space="preserve">How to check</t>
  </si>
  <si>
    <t xml:space="preserve">Change a yellow cell on C29 or C30 and follow the formulas: every number traces back to an input or to "Tax assumptions 2026". On Cash flow, grey cells are formulas; the "check" columns compare them with the engine.</t>
  </si>
  <si>
    <t xml:space="preserve">Known differences (please read)</t>
  </si>
  <si>
    <t xml:space="preserve">1) The prototype v3.0 changed C10 (waiting money earns the cash rate) and C13 (contributions rise with pay) and pre-fills some inputs; sheets C10 and C13 here still hold the earlier method. 2) Old sheets C09 / C10 / C17 / C18 / C19 / C20 use ONE net growth rate that already includes exit tax (smoothed over 8 years); C29 shows the tax as separate events and is the better view. 3) The Plan sheets hold the earlier plan engine; the prototype plan now models asset-level cost, the 8-year clock and CGT with losses and the yearly exemption. 4) Nothing in this workbook has been checked against the official Revenue or Department of Social Protection pages: every item marked Requires Verification must be. 5)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</si>
  <si>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</si>
  <si>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</si>
  <si>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</si>
  <si>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</si>
  <si>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</si>
  <si>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</si>
  <si>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</si>
  <si>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</si>
  <si>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</si>
  <si>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</si>
  <si>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</si>
  <si>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</si>
  <si>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</si>
  <si>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</si>
  <si>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</si>
  <si>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</si>
  <si>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</si>
  <si>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</si>
  <si>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</si>
  <si>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</si>
  <si>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</si>
  <si>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</si>
  <si>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</si>
  <si>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</si>
  <si>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</si>
  <si>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</si>
  <si>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</si>
  <si>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</si>
  <si>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</si>
  <si>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</si>
  <si>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</si>
  <si>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</si>
  <si>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</si>
  <si>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</si>
  <si>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</si>
  <si>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</si>
  <si>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</si>
  <si>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</si>
  <si>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</si>
  <si>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</si>
  <si>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</si>
  <si>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</si>
  <si>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</si>
  <si>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</si>
  <si>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</si>
  <si>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</si>
  <si>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</si>
  <si>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</si>
  <si>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</si>
  <si>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</si>
  <si>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</si>
  <si>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</si>
  <si>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</si>
  <si>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</si>
  <si>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</si>
  <si>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</si>
  <si>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</si>
  <si>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</si>
  <si>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</si>
  <si>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</si>
  <si>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</si>
  <si>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</si>
  <si>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</si>
  <si>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</si>
  <si>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</si>
  <si>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</si>
  <si>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</si>
  <si>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</si>
  <si>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</si>
  <si>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</si>
  <si>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</si>
  <si>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</si>
  <si>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</si>
  <si>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</si>
  <si>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</si>
  <si>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</si>
  <si>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</si>
  <si>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</si>
  <si>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</si>
  <si>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</si>
  <si>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</si>
  <si>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</si>
  <si>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</si>
  <si>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</si>
  <si>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</si>
  <si>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</si>
  <si>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</si>
  <si>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</si>
  <si>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</si>
  <si>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</si>
  <si>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</si>
  <si>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</si>
  <si>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</si>
  <si>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</si>
  <si>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</si>
  <si>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</si>
  <si>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</si>
  <si>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</si>
  <si>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</si>
  <si>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</si>
  <si>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</si>
  <si>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</si>
  <si>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</si>
  <si>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</si>
  <si>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</si>
  <si>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</si>
  <si>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</si>
  <si>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</si>
  <si>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</si>
  <si>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</si>
  <si>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</si>
  <si>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</si>
  <si>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</si>
  <si>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</si>
  <si>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</si>
  <si>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</si>
  <si>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</si>
  <si>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</si>
  <si>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</si>
  <si>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</si>
  <si>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</si>
  <si>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</si>
  <si>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</si>
  <si>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</si>
  <si>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</si>
  <si>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</si>
  <si>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</si>
  <si>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</si>
  <si>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</si>
  <si>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</si>
  <si>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</si>
  <si>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</si>
  <si>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</si>
  <si>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</si>
  <si>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</si>
  <si>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</si>
  <si>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</si>
  <si>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</si>
  <si>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</si>
  <si>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</si>
  <si>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</si>
  <si>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</si>
  <si>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</si>
  <si>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</si>
  <si>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</si>
  <si>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</si>
  <si>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</si>
  <si>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</si>
  <si>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</si>
  <si>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</si>
  <si>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</si>
  <si>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</si>
  <si>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</si>
  <si>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</si>
  <si>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</si>
  <si>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</si>
  <si>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</si>
  <si>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</si>
  <si>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</si>
  <si>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</si>
  <si>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</si>
  <si>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</si>
  <si>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</si>
  <si>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</si>
  <si>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</si>
  <si>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</si>
  <si>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</si>
  <si>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</si>
  <si>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</si>
  <si>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</si>
  <si>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</si>
  <si>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</si>
  <si>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</si>
  <si>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</si>
  <si>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</si>
  <si>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</si>
  <si>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</si>
  <si>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</si>
  <si>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</si>
  <si>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</si>
  <si>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</si>
  <si>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</si>
  <si>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</si>
  <si>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</si>
  <si>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</si>
  <si>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</si>
  <si>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</si>
  <si>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</si>
  <si>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</si>
  <si>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</si>
  <si>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</si>
  <si>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</si>
  <si>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</si>
  <si>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</si>
  <si>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</si>
  <si>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</si>
  <si>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</si>
  <si>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</si>
  <si>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</si>
  <si>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</si>
  <si>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</si>
  <si>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</si>
  <si>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</si>
  <si>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</si>
  <si>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</si>
  <si>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</si>
  <si>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</si>
  <si>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</si>
  <si>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</si>
  <si>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</si>
  <si>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</si>
  <si>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</si>
  <si>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</si>
  <si>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</si>
  <si>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</si>
  <si>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</si>
  <si>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</si>
  <si>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</si>
  <si>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</si>
  <si>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</si>
  <si>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</si>
  <si>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</si>
  <si>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</si>
  <si>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</si>
  <si>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</si>
  <si>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</si>
  <si>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</si>
  <si>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</si>
  <si>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</si>
  <si>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</si>
  <si>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</si>
  <si>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</si>
  <si>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</si>
  <si>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</si>
  <si>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</si>
  <si>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</si>
  <si>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</si>
  <si>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</si>
  <si>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</si>
  <si>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</si>
  <si>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</si>
  <si>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</si>
  <si>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</si>
  <si>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</si>
  <si>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</si>
  <si>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</si>
  <si>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</si>
  <si>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</si>
  <si>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</si>
  <si>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</si>
  <si>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</si>
  <si>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</si>
  <si>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</si>
  <si>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</si>
  <si>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</si>
  <si>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</si>
  <si>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</si>
  <si>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</si>
  <si>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</si>
  <si>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</si>
  <si>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</si>
  <si>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</si>
  <si>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</si>
  <si>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</si>
  <si>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</si>
  <si>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</si>
  <si>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</si>
  <si>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</si>
  <si>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</si>
  <si>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</si>
  <si>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</si>
  <si>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</si>
  <si>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</si>
  <si>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</si>
  <si>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</si>
  <si>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</si>
  <si>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</si>
  <si>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</si>
  <si>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</si>
  <si>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</si>
  <si>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</si>
  <si>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</si>
  <si>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</si>
  <si>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</si>
  <si>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</si>
  <si>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</si>
  <si>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</si>
  <si>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</si>
  <si>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</si>
  <si>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</si>
  <si>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</si>
  <si>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</si>
  <si>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</si>
  <si>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</si>
  <si>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</si>
  <si>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</si>
  <si>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</si>
  <si>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</si>
  <si>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</si>
  <si>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</si>
  <si>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</si>
  <si>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</si>
  <si>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</si>
  <si>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</si>
  <si>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</si>
  <si>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</si>
  <si>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</si>
  <si>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</si>
  <si>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</si>
  <si>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</si>
  <si>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</si>
  <si>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</si>
  <si>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</si>
  <si>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</si>
  <si>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</si>
  <si>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</si>
  <si>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</si>
  <si>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</si>
  <si>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</si>
  <si>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</si>
  <si>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</si>
  <si>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</si>
  <si>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</si>
  <si>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</si>
  <si>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</si>
  <si>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</si>
  <si>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</si>
  <si>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</si>
  <si>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</si>
  <si>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</si>
  <si>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</si>
  <si>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</si>
  <si>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</si>
  <si>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</si>
  <si>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</si>
  <si>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</si>
  <si>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</si>
  <si>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</si>
  <si>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</si>
  <si>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</si>
  <si>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</si>
  <si>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</si>
  <si>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</si>
  <si>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</si>
  <si>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</si>
  <si>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</si>
  <si>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</si>
  <si>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</si>
  <si>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</si>
  <si>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</si>
  <si>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</si>
  <si>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</si>
  <si>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</si>
  <si>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</si>
  <si>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</si>
  <si>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</si>
  <si>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</si>
  <si>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</si>
  <si>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</si>
  <si>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</si>
  <si>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</si>
  <si>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</si>
  <si>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</si>
  <si>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</si>
  <si>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</si>
  <si>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</si>
  <si>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</si>
  <si>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</si>
  <si>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</si>
  <si>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</si>
  <si>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</si>
  <si>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</si>
  <si>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</si>
  <si>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</si>
  <si>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</si>
  <si>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</si>
  <si>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</si>
  <si>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</si>
  <si>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</si>
  <si>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</si>
  <si>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</si>
  <si>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</si>
  <si>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</si>
  <si>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</si>
  <si>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</si>
  <si>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</si>
  <si>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</si>
  <si>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</si>
  <si>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</si>
  <si>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</si>
  <si>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</si>
  <si>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</si>
  <si>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</si>
  <si>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</si>
  <si>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</si>
  <si>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</si>
  <si>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</si>
  <si>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</si>
  <si>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</si>
  <si>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</si>
  <si>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</si>
  <si>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</si>
  <si>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</si>
  <si>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</si>
  <si>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</si>
  <si>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</si>
  <si>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</si>
  <si>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</si>
  <si>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</si>
  <si>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</si>
  <si>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</si>
  <si>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</si>
  <si>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</si>
  <si>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</si>
  <si>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</si>
  <si>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</si>
  <si>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</si>
  <si>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</si>
  <si>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</si>
  <si>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</si>
  <si>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</si>
  <si>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</si>
  <si>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</si>
  <si>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</si>
  <si>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</si>
  <si>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</si>
  <si>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</si>
  <si>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</si>
  <si>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</si>
  <si>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</si>
  <si>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</si>
  <si>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</si>
  <si>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</si>
  <si>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</si>
  <si>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</si>
  <si>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</si>
  <si>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</si>
  <si>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</si>
  <si>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</si>
  <si>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</si>
  <si>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</si>
  <si>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</si>
  <si>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</si>
  <si>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</si>
  <si>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</si>
  <si>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</si>
  <si>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</si>
  <si>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</si>
  <si>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</si>
  <si>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</si>
  <si>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</si>
  <si>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</si>
  <si>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</si>
  <si>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</si>
  <si>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</si>
  <si>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</si>
  <si>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</si>
  <si>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</si>
  <si>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</si>
  <si>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</si>
  <si>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</si>
  <si>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</si>
  <si>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</si>
  <si>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</si>
  <si>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</si>
  <si>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</si>
  <si>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</si>
  <si>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</si>
  <si>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</si>
  <si>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</si>
  <si>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</si>
  <si>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</si>
  <si>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</si>
  <si>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</si>
  <si>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</si>
  <si>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</si>
  <si>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</si>
  <si>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</si>
  <si>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</si>
  <si>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</si>
  <si>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</si>
  <si>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</si>
  <si>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</si>
  <si>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</si>
  <si>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</si>
  <si>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</si>
  <si>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</si>
  <si>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</si>
  <si>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</si>
  <si>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</si>
  <si>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</si>
  <si>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</si>
  <si>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</si>
  <si>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</si>
  <si>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</si>
  <si>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</si>
  <si>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</si>
  <si>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</si>
  <si>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</si>
  <si>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</si>
  <si>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</si>
  <si>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</si>
  <si>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</si>
  <si>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</si>
  <si>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</si>
  <si>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</si>
  <si>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</si>
  <si>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</si>
  <si>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</si>
  <si>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</si>
  <si>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</si>
  <si>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</si>
  <si>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</si>
  <si>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</si>
  <si>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</si>
  <si>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</si>
  <si>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</si>
  <si>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</si>
  <si>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</si>
  <si>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</si>
  <si>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</si>
  <si>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</si>
  <si>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</si>
  <si>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</si>
  <si>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</si>
  <si>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</si>
  <si>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</si>
  <si>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</si>
  <si>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</si>
  <si>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</si>
  <si>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</si>
  <si>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</si>
  <si>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</si>
  <si>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</si>
  <si>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</si>
  <si>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</si>
  <si>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</si>
  <si>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</si>
  <si>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</si>
  <si>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</si>
  <si>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</si>
  <si>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</si>
  <si>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</si>
  <si>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</si>
  <si>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</si>
  <si>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</si>
  <si>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</si>
  <si>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</si>
  <si>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</si>
  <si>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</si>
  <si>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</si>
  <si>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</si>
  <si>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</si>
  <si>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</si>
  <si>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</si>
  <si>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</si>
  <si>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</si>
  <si>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</si>
  <si>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</si>
  <si>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</si>
  <si>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</si>
  <si>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</si>
  <si>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</si>
  <si>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</si>
  <si>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</si>
  <si>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</si>
  <si>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</si>
  <si>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</si>
  <si>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</si>
  <si>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</si>
  <si>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</si>
  <si>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</si>
  <si>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</si>
  <si>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</si>
  <si>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</si>
  <si>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</si>
  <si>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</si>
  <si>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</si>
  <si>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</si>
  <si>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</si>
  <si>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</si>
  <si>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</si>
  <si>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</si>
  <si>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</si>
  <si>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</si>
  <si>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</si>
  <si>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</si>
  <si>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</si>
  <si>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</si>
  <si>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</si>
  <si>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</si>
  <si>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</si>
  <si>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</si>
  <si>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</si>
  <si>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</si>
  <si>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</si>
  <si>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</si>
  <si>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</si>
  <si>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</si>
  <si>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</si>
  <si>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</si>
  <si>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</si>
  <si>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</si>
  <si>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</si>
  <si>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</si>
  <si>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</si>
  <si>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</si>
  <si>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</si>
  <si>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</si>
  <si>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</si>
  <si>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</si>
  <si>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</si>
  <si>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</si>
  <si>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</si>
  <si>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</si>
  <si>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</si>
  <si>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</si>
  <si>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</si>
  <si>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</si>
  <si>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</si>
  <si>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</si>
  <si>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</si>
  <si>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</si>
  <si>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</si>
  <si>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</si>
  <si>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</si>
  <si>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</si>
  <si>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</si>
  <si>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</si>
  <si>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</si>
  <si>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</si>
  <si>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</si>
  <si>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</si>
  <si>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</si>
  <si>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</si>
  <si>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</si>
  <si>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</si>
  <si>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</si>
  <si>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</si>
  <si>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</si>
  <si>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</si>
  <si>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</si>
  <si>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</si>
  <si>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</si>
  <si>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</si>
  <si>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</si>
  <si>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</si>
  <si>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</si>
  <si>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</si>
  <si>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</si>
  <si>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</si>
  <si>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</si>
  <si>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</si>
  <si>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</si>
  <si>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</si>
  <si>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</si>
  <si>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</si>
  <si>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</si>
  <si>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</si>
  <si>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</si>
  <si>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</si>
  <si>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</si>
  <si>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</si>
  <si>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</si>
  <si>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</si>
  <si>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</si>
  <si>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</si>
  <si>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</si>
  <si>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</si>
  <si>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</si>
  <si>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</si>
  <si>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</si>
  <si>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</si>
  <si>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</si>
  <si>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</si>
  <si>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</si>
  <si>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</si>
  <si>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</si>
  <si>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</si>
  <si>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</si>
  <si>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</si>
  <si>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</si>
  <si>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</si>
  <si>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</si>
  <si>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</si>
  <si>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</si>
  <si>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</si>
  <si>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</si>
  <si>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</si>
  <si>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</si>
  <si>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</si>
  <si>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</si>
  <si>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</si>
  <si>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</si>
  <si>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</si>
  <si>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</si>
  <si>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</si>
  <si>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</si>
  <si>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</si>
  <si>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</si>
  <si>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</si>
  <si>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</si>
  <si>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</si>
  <si>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</si>
  <si>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</si>
  <si>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</si>
  <si>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</si>
  <si>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</si>
  <si>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</si>
  <si>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</si>
  <si>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</si>
  <si>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</si>
  <si>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</si>
  <si>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</si>
  <si>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</si>
  <si>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</si>
  <si>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</si>
  <si>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</si>
  <si>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</si>
  <si>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</si>
  <si>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</si>
  <si>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</si>
  <si>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</si>
  <si>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</si>
  <si>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</si>
  <si>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</si>
  <si>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</si>
  <si>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</si>
  <si>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</si>
  <si>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</si>
  <si>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</si>
  <si>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</si>
  <si>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</si>
  <si>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</si>
  <si>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</si>
  <si>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</si>
  <si>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</si>
  <si>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</si>
  <si>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</si>
  <si>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</si>
  <si>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</si>
  <si>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</si>
  <si>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</si>
  <si>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</si>
  <si>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</si>
  <si>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</si>
  <si>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</si>
  <si>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</si>
  <si>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</si>
  <si>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</si>
  <si>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</si>
  <si>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</si>
  <si>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</si>
  <si>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</si>
  <si>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</si>
  <si>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</si>
  <si>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</si>
  <si>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</si>
  <si>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</si>
  <si>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</si>
  <si>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</si>
  <si>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</si>
  <si>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</si>
  <si>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</si>
  <si>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</si>
  <si>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</si>
  <si>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</si>
  <si>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</si>
  <si>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</si>
  <si>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</si>
  <si>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</si>
  <si>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</si>
  <si>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</si>
  <si>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</si>
  <si>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</si>
  <si>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</si>
  <si>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</si>
  <si>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</si>
  <si>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</si>
  <si>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</si>
  <si>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</si>
  <si>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</si>
  <si>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</si>
  <si>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</si>
  <si>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</si>
  <si>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</si>
  <si>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</si>
  <si>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</si>
  <si>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</si>
  <si>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</si>
  <si>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</si>
  <si>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</si>
  <si>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</si>
  <si>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</si>
  <si>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</si>
  <si>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</si>
  <si>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</si>
  <si>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</si>
  <si>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</si>
  <si>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</si>
  <si>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</si>
  <si>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</si>
  <si>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</si>
  <si>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</si>
  <si>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</si>
  <si>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</si>
  <si>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</si>
  <si>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</si>
  <si>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</si>
  <si>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</si>
  <si>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</si>
  <si>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</si>
  <si>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</si>
  <si>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</si>
  <si>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</si>
  <si>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</si>
  <si>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</si>
  <si>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</si>
  <si>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</si>
  <si>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</si>
  <si>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</si>
  <si>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</si>
  <si>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</si>
  <si>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</si>
  <si>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</si>
  <si>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</si>
  <si>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</si>
  <si>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</si>
  <si>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</si>
  <si>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</si>
  <si>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</si>
  <si>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</si>
  <si>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</si>
  <si>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</si>
  <si>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</si>
  <si>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</si>
  <si>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</si>
  <si>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</si>
  <si>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</si>
  <si>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</si>
  <si>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</si>
  <si>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</si>
  <si>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</si>
  <si>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</si>
  <si>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</si>
  <si>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</si>
  <si>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</si>
  <si>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</si>
  <si>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</si>
  <si>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</si>
  <si>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</si>
  <si>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</si>
  <si>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</si>
  <si>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</si>
  <si>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</si>
  <si>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</si>
  <si>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</si>
  <si>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</si>
  <si>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</si>
  <si>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</si>
  <si>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</si>
  <si>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</si>
  <si>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</si>
  <si>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</si>
  <si>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</si>
  <si>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</si>
  <si>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</si>
  <si>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</si>
  <si>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</si>
  <si>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</si>
  <si>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</si>
  <si>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</si>
  <si>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</si>
  <si>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</si>
  <si>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</si>
  <si>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</si>
  <si>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</si>
  <si>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</si>
  <si>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</si>
  <si>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</si>
  <si>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</si>
  <si>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</si>
  <si>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</si>
  <si>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</si>
  <si>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</si>
  <si>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</si>
  <si>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</si>
  <si>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</si>
  <si>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</si>
  <si>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</si>
  <si>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</si>
  <si>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</si>
  <si>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</si>
  <si>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</si>
  <si>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</si>
  <si>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</si>
  <si>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</si>
  <si>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</si>
  <si>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</si>
  <si>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</si>
  <si>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</si>
  <si>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</si>
  <si>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</si>
  <si>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</si>
  <si>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</si>
  <si>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</si>
  <si>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</si>
  <si>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</si>
  <si>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</si>
  <si>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</si>
  <si>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</si>
  <si>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</si>
  <si>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</si>
  <si>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</si>
  <si>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</si>
  <si>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</si>
  <si>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</si>
  <si>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</si>
  <si>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</si>
  <si>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</si>
  <si>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</si>
  <si>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</si>
  <si>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</si>
  <si>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</si>
  <si>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</si>
  <si>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</si>
  <si>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</si>
  <si>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</si>
  <si>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</si>
  <si>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</si>
  <si>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</si>
  <si>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</si>
  <si>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</si>
  <si>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</si>
  <si>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</si>
  <si>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</si>
  <si>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</si>
  <si>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</si>
  <si>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</si>
  <si>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</si>
  <si>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</si>
  <si>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</si>
  <si>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</si>
  <si>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</si>
  <si>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</si>
  <si>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</si>
  <si>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</si>
  <si>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</si>
  <si>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</si>
  <si>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</si>
  <si>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</si>
  <si>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</si>
  <si>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</si>
  <si>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</si>
  <si>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</si>
  <si>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</si>
  <si>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</si>
  <si>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</si>
  <si>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</si>
  <si>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</si>
  <si>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</si>
  <si>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</si>
  <si>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</si>
  <si>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</si>
  <si>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</si>
  <si>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</si>
  <si>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</si>
  <si>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</si>
  <si>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</si>
  <si>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</si>
  <si>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</si>
  <si>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</si>
  <si>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</si>
  <si>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</si>
  <si>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</si>
  <si>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</si>
  <si>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</si>
  <si>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</si>
  <si>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</si>
  <si>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</si>
  <si>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</si>
  <si>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</si>
  <si>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</si>
  <si>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</si>
  <si>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</si>
  <si>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</si>
  <si>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</si>
  <si>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</si>
  <si>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</si>
  <si>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</si>
  <si>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</si>
  <si>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</si>
  <si>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</si>
  <si>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</si>
  <si>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</si>
  <si>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</si>
  <si>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</si>
  <si>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</si>
  <si>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</si>
  <si>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</si>
  <si>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</si>
  <si>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</si>
  <si>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</si>
  <si>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</si>
  <si>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</si>
  <si>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</si>
  <si>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</si>
  <si>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</si>
  <si>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</si>
  <si>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</si>
  <si>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</si>
  <si>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</si>
  <si>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</si>
  <si>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</si>
  <si>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</si>
  <si>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</si>
  <si>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</si>
  <si>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</si>
  <si>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</si>
  <si>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</si>
  <si>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</si>
  <si>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</si>
  <si>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</si>
  <si>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</si>
  <si>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</si>
  <si>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</si>
  <si>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</si>
  <si>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</si>
  <si>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</si>
  <si>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</si>
  <si>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</si>
  <si>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</si>
  <si>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</si>
  <si>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</si>
  <si>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</si>
  <si>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</si>
  <si>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</si>
  <si>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</si>
  <si>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</si>
  <si>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</si>
  <si>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</si>
  <si>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</si>
  <si>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</si>
  <si>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</si>
  <si>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</si>
  <si>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</si>
  <si>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</si>
  <si>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</si>
  <si>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</si>
  <si>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</si>
  <si>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</si>
  <si>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</si>
  <si>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</si>
  <si>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</si>
  <si>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</si>
  <si>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</si>
  <si>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</si>
  <si>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</si>
  <si>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</si>
  <si>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</si>
  <si>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</si>
  <si>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</si>
  <si>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</si>
  <si>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</si>
  <si>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</si>
  <si>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</si>
  <si>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</si>
  <si>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</si>
  <si>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</si>
  <si>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</si>
  <si>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</si>
  <si>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</si>
  <si>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</si>
  <si>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</si>
  <si>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</si>
  <si>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</si>
  <si>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</si>
  <si>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</si>
  <si>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</si>
  <si>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</si>
  <si>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</si>
  <si>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</si>
  <si>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</si>
  <si>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</si>
  <si>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</si>
  <si>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</si>
  <si>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</si>
  <si>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</si>
  <si>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</si>
  <si>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</si>
  <si>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</si>
  <si>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</si>
  <si>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</si>
  <si>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</si>
  <si>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</si>
  <si>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</si>
  <si>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</si>
  <si>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</si>
  <si>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</si>
  <si>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</si>
  <si>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</si>
  <si>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</si>
  <si>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</si>
  <si>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</si>
  <si>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</si>
  <si>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</si>
  <si>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</si>
  <si>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</si>
  <si>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</si>
  <si>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</si>
  <si>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</si>
  <si>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</si>
  <si>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</si>
  <si>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</si>
  <si>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</si>
  <si>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</si>
  <si>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</si>
  <si>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</si>
  <si>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</si>
  <si>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</si>
  <si>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</si>
  <si>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</si>
  <si>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</si>
  <si>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</si>
  <si>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</si>
  <si>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</si>
  <si>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</si>
  <si>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</si>
  <si>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</si>
  <si>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</si>
  <si>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</si>
  <si>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</si>
  <si>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</si>
  <si>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</si>
  <si>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</si>
  <si>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</si>
  <si>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</si>
  <si>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</si>
  <si>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</si>
  <si>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</si>
  <si>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</si>
  <si>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</si>
  <si>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</si>
  <si>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</si>
  <si>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</si>
  <si>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</si>
  <si>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</si>
  <si>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</si>
  <si>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</si>
  <si>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</si>
  <si>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</si>
  <si>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</si>
  <si>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</si>
  <si>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</si>
  <si>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</si>
  <si>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</si>
  <si>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</si>
  <si>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</si>
  <si>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</si>
  <si>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</si>
  <si>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</si>
  <si>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</si>
  <si>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</si>
  <si>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</si>
  <si>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</si>
  <si>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</si>
  <si>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</si>
  <si>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</si>
  <si>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</si>
  <si>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</si>
  <si>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</si>
  <si>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</si>
  <si>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</si>
  <si>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</si>
  <si>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</si>
  <si>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</si>
  <si>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</si>
  <si>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</si>
  <si>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</si>
  <si>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</si>
  <si>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</si>
  <si>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</si>
  <si>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</si>
  <si>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</si>
  <si>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</si>
  <si>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</si>
  <si>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</si>
  <si>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</si>
  <si>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</si>
  <si>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</si>
  <si>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</si>
  <si>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</si>
  <si>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</si>
  <si>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</si>
  <si>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</si>
  <si>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</si>
  <si>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</si>
  <si>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</si>
  <si>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</si>
  <si>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</si>
  <si>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</si>
  <si>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</si>
  <si>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</si>
  <si>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</si>
  <si>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</si>
  <si>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</si>
  <si>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</si>
  <si>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</si>
  <si>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</si>
  <si>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</si>
  <si>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</si>
  <si>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</si>
  <si>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</si>
  <si>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</si>
  <si>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</si>
  <si>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</si>
  <si>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</si>
  <si>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</si>
  <si>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</si>
  <si>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</si>
  <si>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</si>
  <si>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</si>
  <si>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</si>
  <si>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</si>
  <si>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</si>
  <si>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</si>
  <si>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</si>
  <si>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</si>
  <si>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</si>
  <si>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</si>
  <si>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</si>
  <si>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</si>
  <si>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</si>
  <si>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</si>
  <si>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</si>
  <si>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</si>
  <si>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</si>
  <si>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</si>
  <si>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</si>
  <si>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</si>
  <si>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</si>
  <si>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</si>
  <si>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</si>
  <si>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</si>
  <si>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</si>
  <si>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</si>
  <si>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</si>
  <si>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</si>
  <si>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</si>
  <si>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</si>
  <si>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</si>
  <si>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</si>
  <si>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</si>
  <si>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</si>
  <si>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</si>
  <si>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</si>
  <si>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</si>
  <si>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</si>
  <si>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</si>
  <si>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</si>
  <si>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</si>
  <si>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</si>
  <si>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</si>
  <si>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</si>
  <si>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</si>
  <si>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</si>
  <si>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</si>
  <si>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</si>
  <si>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</si>
  <si>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</si>
  <si>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</si>
  <si>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</si>
  <si>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</si>
  <si>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</si>
  <si>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</si>
  <si>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</si>
  <si>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</si>
  <si>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</si>
  <si>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</si>
  <si>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</si>
  <si>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</si>
  <si>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</si>
  <si>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</si>
  <si>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</si>
  <si>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</si>
  <si>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</si>
  <si>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</si>
  <si>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</si>
  <si>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</si>
  <si>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</si>
  <si>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</si>
  <si>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</si>
  <si>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</si>
  <si>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</si>
  <si>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</si>
  <si>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</si>
  <si>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</si>
  <si>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</si>
  <si>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</si>
  <si>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</si>
  <si>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</si>
  <si>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</si>
  <si>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</si>
  <si>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</si>
  <si>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</si>
  <si>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</si>
  <si>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</si>
  <si>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</si>
  <si>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</si>
  <si>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</si>
  <si>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</si>
  <si>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</si>
  <si>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</si>
  <si>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</si>
  <si>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</si>
  <si>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</si>
  <si>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</si>
  <si>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</si>
  <si>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</si>
  <si>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</si>
  <si>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</si>
  <si>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</si>
  <si>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</si>
  <si>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</si>
  <si>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</si>
  <si>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</si>
  <si>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</si>
  <si>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</si>
  <si>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</si>
  <si>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</si>
  <si>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</si>
  <si>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</si>
  <si>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</si>
  <si>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</si>
  <si>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</si>
  <si>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</si>
  <si>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</si>
  <si>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</si>
  <si>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</si>
  <si>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</si>
  <si>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</si>
  <si>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</si>
  <si>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</si>
  <si>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</si>
  <si>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</si>
  <si>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</si>
  <si>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</si>
  <si>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</si>
  <si>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</si>
  <si>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</si>
  <si>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</si>
  <si>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</si>
  <si>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</si>
  <si>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</si>
  <si>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</si>
  <si>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</si>
  <si>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</si>
  <si>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</si>
  <si>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</si>
  <si>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</si>
  <si>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</si>
  <si>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</si>
  <si>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</si>
  <si>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</si>
  <si>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</si>
  <si>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</si>
  <si>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</si>
  <si>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</si>
  <si>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</si>
  <si>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</si>
  <si>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</si>
  <si>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</si>
  <si>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</si>
  <si>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</si>
  <si>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</si>
  <si>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</si>
  <si>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</si>
  <si>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</si>
  <si>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</si>
  <si>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</si>
  <si>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</si>
  <si>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</si>
  <si>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</si>
  <si>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</si>
  <si>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</si>
  <si>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</si>
  <si>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</si>
  <si>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</si>
  <si>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</si>
  <si>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</si>
  <si>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</si>
  <si>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</si>
  <si>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</si>
  <si>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</si>
  <si>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</si>
  <si>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</si>
  <si>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</si>
  <si>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</si>
  <si>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</si>
  <si>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</si>
  <si>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</si>
  <si>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</si>
  <si>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</si>
  <si>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</si>
  <si>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</si>
  <si>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</si>
  <si>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</si>
  <si>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</si>
  <si>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</si>
  <si>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</si>
  <si>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</si>
  <si>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</si>
  <si>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</si>
  <si>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</si>
  <si>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</si>
  <si>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</si>
  <si>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</si>
  <si>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</si>
  <si>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</si>
  <si>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</si>
  <si>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</si>
  <si>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</si>
  <si>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</si>
  <si>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</si>
  <si>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</si>
  <si>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</si>
  <si>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</si>
  <si>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</si>
  <si>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</si>
  <si>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</si>
  <si>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</si>
  <si>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</si>
  <si>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</si>
  <si>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</si>
  <si>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</si>
  <si>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</si>
  <si>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</si>
  <si>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</si>
  <si>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</si>
  <si>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</si>
  <si>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</si>
  <si>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</si>
  <si>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</si>
  <si>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</si>
  <si>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</si>
  <si>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</si>
  <si>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</si>
  <si>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</si>
  <si>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</si>
  <si>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</si>
  <si>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</si>
  <si>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</si>
  <si>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</si>
  <si>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</si>
  <si>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</si>
  <si>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</si>
  <si>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</si>
  <si>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</si>
  <si>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</si>
  <si>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</si>
  <si>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</si>
  <si>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</si>
  <si>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</si>
  <si>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</si>
  <si>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</si>
  <si>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</si>
  <si>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</si>
  <si>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</si>
  <si>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</si>
  <si>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</si>
  <si>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</si>
  <si>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</si>
  <si>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</si>
  <si>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</si>
  <si>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</si>
  <si>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</si>
  <si>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</si>
  <si>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</si>
  <si>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</si>
  <si>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</si>
  <si>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</si>
  <si>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</si>
  <si>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</si>
  <si>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</si>
  <si>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</si>
  <si>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</si>
  <si>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</si>
  <si>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</si>
  <si>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</si>
  <si>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</si>
  <si>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</si>
  <si>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</si>
  <si>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</si>
  <si>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</si>
  <si>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</si>
  <si>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</si>
  <si>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</si>
  <si>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</si>
  <si>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</si>
  <si>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</si>
  <si>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</si>
  <si>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</si>
  <si>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</si>
  <si>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</si>
  <si>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</si>
  <si>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</si>
  <si>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</si>
  <si>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</si>
  <si>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</si>
  <si>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</si>
  <si>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</si>
  <si>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</si>
  <si>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</si>
  <si>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</si>
  <si>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</si>
  <si>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</si>
  <si>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</si>
  <si>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</si>
  <si>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</si>
  <si>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</si>
  <si>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</si>
  <si>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</si>
  <si>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</si>
  <si>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</si>
  <si>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</si>
  <si>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</si>
  <si>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</si>
  <si>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</si>
  <si>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</si>
  <si>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</si>
  <si>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</si>
  <si>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</si>
  <si>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</si>
  <si>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</si>
  <si>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</si>
  <si>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</si>
  <si>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</si>
  <si>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</si>
  <si>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</si>
  <si>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</si>
  <si>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</si>
  <si>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</si>
  <si>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</si>
  <si>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</si>
  <si>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</si>
  <si>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</si>
  <si>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</si>
  <si>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</si>
  <si>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</si>
  <si>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</si>
  <si>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</si>
  <si>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</si>
  <si>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</si>
  <si>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</si>
  <si>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</si>
  <si>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</si>
  <si>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</si>
  <si>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</si>
  <si>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</si>
  <si>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</si>
  <si>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</si>
  <si>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</si>
  <si>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</si>
  <si>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</si>
  <si>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</si>
  <si>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</si>
  <si>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</si>
  <si>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</si>
  <si>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</si>
  <si>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</si>
  <si>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</si>
  <si>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</si>
  <si>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</si>
  <si>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</si>
  <si>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</si>
  <si>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</si>
  <si>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</si>
  <si>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</si>
  <si>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</si>
  <si>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</si>
  <si>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</si>
  <si>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</si>
  <si>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</si>
  <si>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</si>
  <si>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</si>
  <si>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</si>
  <si>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</si>
  <si>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</si>
  <si>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</si>
  <si>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</si>
  <si>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</si>
  <si>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</si>
  <si>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</si>
  <si>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</si>
  <si>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</si>
  <si>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</si>
  <si>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</si>
  <si>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</si>
  <si>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</si>
  <si>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</si>
  <si>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</si>
  <si>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</si>
  <si>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</si>
  <si>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</si>
  <si>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</si>
  <si>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</si>
  <si>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</si>
  <si>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</si>
  <si>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</si>
  <si>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</si>
  <si>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</si>
  <si>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</si>
  <si>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</si>
  <si>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</si>
  <si>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</si>
  <si>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</si>
  <si>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</si>
  <si>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</si>
  <si>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</si>
  <si>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</si>
  <si>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</si>
  <si>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</si>
  <si>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</si>
  <si>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</si>
  <si>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</si>
  <si>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</si>
  <si>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</si>
  <si>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</si>
  <si>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</si>
  <si>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</si>
  <si>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</si>
  <si>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</si>
  <si>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</si>
  <si>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</si>
  <si>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</si>
  <si>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</si>
  <si>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</si>
  <si>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</si>
  <si>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</si>
  <si>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</si>
  <si>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</si>
  <si>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</si>
  <si>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</si>
  <si>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</si>
  <si>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</si>
  <si>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</si>
  <si>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</si>
  <si>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</si>
  <si>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</si>
  <si>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</si>
  <si>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</si>
  <si>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</si>
  <si>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</si>
  <si>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</si>
  <si>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</si>
  <si>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</si>
  <si>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</si>
  <si>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</si>
  <si>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</si>
  <si>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</si>
  <si>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</si>
  <si>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</si>
  <si>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</si>
  <si>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</si>
  <si>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</si>
  <si>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</si>
  <si>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</si>
  <si>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</si>
  <si>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</si>
  <si>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</si>
  <si>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</si>
  <si>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</si>
  <si>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</si>
  <si>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</si>
  <si>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</si>
  <si>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</si>
  <si>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</si>
  <si>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</si>
  <si>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</si>
  <si>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</si>
  <si>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</si>
  <si>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</si>
  <si>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</si>
  <si>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</si>
  <si>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</si>
  <si>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</si>
  <si>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</si>
  <si>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</si>
  <si>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</si>
  <si>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</si>
  <si>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</si>
  <si>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</si>
  <si>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</si>
  <si>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</si>
  <si>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</si>
  <si>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</si>
  <si>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</si>
  <si>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</si>
  <si>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</si>
  <si>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</si>
  <si>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</si>
  <si>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</si>
  <si>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</si>
  <si>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</si>
  <si>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</si>
  <si>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</si>
  <si>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</si>
  <si>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</si>
  <si>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</si>
  <si>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</si>
  <si>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</si>
  <si>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</si>
  <si>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</si>
  <si>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</si>
  <si>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</si>
  <si>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</si>
  <si>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</si>
  <si>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</si>
  <si>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</si>
  <si>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</si>
  <si>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</si>
  <si>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</si>
  <si>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</si>
  <si>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</si>
  <si>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</si>
  <si>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</si>
  <si>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</si>
  <si>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</si>
  <si>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</si>
  <si>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</si>
  <si>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</si>
  <si>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</si>
  <si>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</si>
  <si>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</si>
  <si>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</si>
  <si>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</si>
  <si>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</si>
  <si>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</si>
  <si>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</si>
  <si>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</si>
  <si>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</si>
  <si>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</si>
  <si>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</si>
  <si>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</si>
  <si>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</si>
  <si>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</si>
  <si>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</si>
  <si>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</si>
  <si>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</si>
  <si>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</si>
  <si>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</si>
  <si>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</si>
  <si>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</si>
  <si>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</si>
  <si>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</si>
  <si>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</si>
  <si>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</si>
  <si>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</si>
  <si>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</si>
  <si>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</si>
  <si>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</si>
  <si>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</si>
  <si>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</si>
  <si>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</si>
  <si>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</si>
  <si>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</si>
  <si>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</si>
  <si>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</si>
  <si>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</si>
  <si>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</si>
  <si>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</si>
  <si>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</si>
  <si>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</si>
  <si>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</si>
  <si>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</si>
  <si>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</si>
  <si>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</si>
  <si>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</si>
  <si>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</si>
  <si>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</si>
  <si>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</si>
  <si>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</si>
  <si>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</si>
  <si>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</si>
  <si>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</si>
  <si>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</si>
  <si>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</si>
  <si>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</si>
  <si>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</si>
  <si>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</si>
  <si>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</si>
  <si>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</si>
  <si>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</si>
  <si>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</si>
  <si>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</si>
  <si>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</si>
  <si>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</si>
  <si>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</si>
  <si>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</si>
  <si>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</si>
  <si>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</si>
  <si>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</si>
  <si>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</si>
  <si>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</si>
  <si>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</si>
  <si>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</si>
  <si>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</si>
  <si>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</si>
  <si>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</si>
  <si>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</si>
  <si>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</si>
  <si>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</si>
  <si>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</si>
  <si>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</si>
  <si>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</si>
  <si>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</si>
  <si>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</si>
  <si>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</si>
  <si>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</si>
  <si>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</si>
  <si>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</si>
  <si>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</si>
  <si>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</si>
  <si>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</si>
  <si>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</si>
  <si>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</si>
  <si>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</si>
  <si>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</si>
  <si>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</si>
  <si>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</si>
  <si>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</si>
  <si>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</si>
  <si>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</si>
  <si>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</si>
  <si>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</si>
  <si>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</si>
  <si>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</si>
  <si>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</si>
  <si>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</si>
  <si>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</si>
  <si>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</si>
  <si>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</si>
  <si>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</si>
  <si>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</si>
  <si>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</si>
  <si>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</si>
  <si>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</si>
  <si>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</si>
  <si>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</si>
  <si>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</si>
  <si>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</si>
  <si>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</si>
  <si>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</si>
  <si>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</si>
  <si>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</si>
  <si>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</si>
  <si>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</si>
  <si>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</si>
  <si>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</si>
  <si>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</si>
  <si>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</si>
  <si>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</si>
  <si>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</si>
  <si>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</si>
  <si>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</si>
  <si>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</si>
  <si>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</si>
  <si>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</si>
  <si>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</si>
  <si>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</si>
  <si>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</si>
  <si>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</si>
  <si>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</si>
  <si>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</si>
  <si>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</si>
  <si>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</si>
  <si>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</si>
  <si>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</si>
  <si>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</si>
  <si>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</si>
  <si>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</si>
  <si>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</si>
  <si>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</si>
  <si>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</si>
  <si>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</si>
  <si>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</si>
  <si>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</si>
  <si>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</si>
  <si>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</si>
  <si>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</si>
  <si>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</si>
  <si>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</si>
  <si>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</si>
  <si>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</si>
  <si>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</si>
  <si>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</si>
  <si>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</si>
  <si>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</si>
  <si>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</si>
  <si>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</si>
  <si>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</si>
  <si>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</si>
  <si>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</si>
  <si>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</si>
  <si>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</si>
  <si>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</si>
  <si>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</si>
  <si>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</si>
  <si>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</si>
  <si>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</si>
  <si>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</si>
  <si>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</si>
  <si>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</si>
  <si>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</si>
  <si>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</si>
  <si>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</si>
  <si>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</si>
  <si>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</si>
  <si>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</si>
  <si>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</si>
  <si>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</si>
  <si>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</si>
  <si>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</si>
  <si>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</si>
  <si>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</si>
  <si>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</si>
  <si>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</si>
  <si>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</si>
  <si>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</si>
  <si>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</si>
  <si>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</si>
  <si>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</si>
  <si>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</si>
  <si>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</si>
  <si>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</si>
  <si>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</si>
  <si>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</si>
  <si>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</si>
  <si>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</si>
  <si>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</si>
  <si>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</si>
  <si>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</si>
  <si>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</si>
  <si>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</si>
  <si>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</si>
  <si>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</si>
  <si>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</si>
  <si>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</si>
  <si>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</si>
  <si>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</si>
  <si>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</si>
  <si>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</si>
  <si>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</si>
  <si>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</si>
  <si>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</si>
  <si>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</si>
  <si>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</si>
  <si>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</si>
  <si>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</si>
  <si>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</si>
  <si>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</si>
  <si>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</si>
  <si>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</si>
  <si>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</si>
  <si>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</si>
  <si>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</si>
  <si>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</si>
  <si>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</si>
  <si>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</si>
  <si>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</si>
  <si>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</si>
  <si>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</si>
  <si>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</si>
  <si>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</si>
  <si>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</si>
  <si>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</si>
  <si>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</si>
  <si>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</si>
  <si>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</si>
  <si>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</si>
  <si>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</si>
  <si>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</si>
  <si>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</si>
  <si>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</si>
  <si>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</si>
  <si>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</si>
  <si>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</si>
  <si>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</si>
  <si>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</si>
  <si>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</si>
  <si>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</si>
  <si>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</si>
  <si>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</si>
  <si>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</si>
  <si>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</si>
  <si>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</si>
  <si>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</si>
  <si>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</si>
  <si>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</si>
  <si>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</si>
  <si>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</si>
  <si>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</si>
  <si>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</si>
  <si>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</si>
  <si>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</si>
  <si>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</si>
  <si>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</si>
  <si>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</si>
  <si>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</si>
  <si>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</si>
  <si>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</si>
  <si>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</si>
  <si>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</si>
  <si>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</si>
  <si>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</si>
  <si>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</si>
  <si>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</si>
  <si>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</si>
  <si>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</si>
  <si>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</si>
  <si>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</si>
  <si>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</si>
  <si>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</si>
  <si>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</si>
  <si>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</si>
  <si>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</si>
  <si>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</si>
  <si>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</si>
  <si>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</si>
  <si>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</si>
  <si>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</si>
  <si>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</si>
  <si>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</si>
  <si>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</si>
  <si>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</si>
  <si>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</si>
  <si>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</si>
  <si>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</si>
  <si>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</si>
  <si>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</si>
  <si>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</si>
  <si>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</si>
  <si>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</si>
  <si>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</si>
  <si>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</si>
  <si>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</si>
  <si>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</si>
  <si>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</si>
  <si>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</si>
  <si>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</si>
  <si>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</si>
  <si>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</si>
  <si>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</si>
  <si>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</si>
  <si>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</si>
  <si>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</si>
  <si>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</si>
  <si>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</si>
  <si>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</si>
  <si>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</si>
  <si>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</si>
  <si>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</si>
  <si>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</si>
  <si>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</si>
  <si>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</si>
  <si>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</si>
  <si>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</si>
  <si>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</si>
  <si>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</si>
  <si>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</si>
  <si>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</si>
  <si>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</si>
  <si>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</si>
  <si>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</si>
  <si>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</si>
  <si>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</si>
  <si>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</si>
  <si>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</si>
  <si>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</si>
  <si>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</si>
  <si>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</si>
  <si>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</si>
  <si>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</si>
  <si>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</si>
  <si>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</si>
  <si>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</si>
  <si>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</si>
  <si>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</si>
  <si>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</si>
  <si>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</si>
  <si>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</si>
  <si>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</si>
  <si>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</si>
  <si>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</si>
  <si>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</si>
  <si>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</si>
  <si>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</si>
  <si>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</si>
  <si>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</si>
  <si>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</si>
  <si>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</si>
  <si>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</si>
  <si>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</si>
  <si>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</si>
  <si>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</si>
  <si>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</si>
  <si>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</si>
  <si>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</si>
  <si>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</si>
  <si>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</si>
  <si>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</si>
  <si>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</si>
  <si>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</si>
  <si>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</si>
  <si>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</si>
  <si>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</si>
  <si>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</si>
  <si>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</si>
  <si>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</si>
  <si>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</si>
  <si>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</si>
  <si>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</si>
  <si>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</si>
  <si>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</si>
  <si>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</si>
  <si>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</si>
  <si>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</si>
  <si>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</si>
  <si>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</si>
  <si>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</si>
  <si>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</si>
  <si>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</si>
  <si>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</si>
  <si>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</si>
  <si>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</si>
  <si>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</si>
  <si>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</si>
  <si>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</si>
  <si>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</si>
  <si>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</si>
  <si>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</si>
  <si>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</si>
  <si>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</si>
  <si>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</si>
  <si>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</si>
  <si>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</si>
  <si>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</si>
  <si>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</si>
  <si>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</si>
  <si>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</si>
  <si>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</si>
  <si>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</si>
  <si>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</si>
  <si>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</si>
  <si>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</si>
  <si>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</si>
  <si>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</si>
  <si>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</si>
  <si>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</si>
  <si>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</si>
  <si>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</si>
  <si>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</si>
  <si>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</si>
  <si>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</si>
  <si>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</si>
  <si>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</si>
  <si>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</si>
  <si>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</si>
  <si>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</si>
  <si>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</si>
  <si>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</si>
  <si>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</si>
  <si>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</si>
  <si>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</si>
  <si>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</si>
  <si>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</si>
  <si>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</si>
  <si>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</si>
  <si>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</si>
  <si>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</si>
  <si>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</si>
  <si>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</si>
  <si>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</si>
  <si>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</si>
  <si>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</si>
  <si>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</si>
  <si>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</si>
  <si>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</si>
  <si>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</si>
  <si>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</si>
  <si>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</si>
  <si>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</si>
  <si>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</si>
  <si>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</si>
  <si>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</si>
  <si>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</si>
  <si>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</si>
  <si>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</si>
  <si>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</si>
  <si>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</si>
  <si>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</si>
  <si>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</si>
  <si>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</si>
  <si>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</si>
  <si>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</si>
  <si>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</si>
  <si>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</si>
  <si>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</si>
  <si>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</si>
  <si>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</si>
  <si>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</si>
  <si>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</si>
  <si>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</si>
  <si>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</si>
  <si>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</si>
  <si>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</si>
  <si>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</si>
  <si>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</si>
  <si>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</si>
  <si>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</si>
  <si>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</si>
  <si>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</si>
  <si>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</si>
  <si>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</si>
  <si>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</si>
  <si>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</si>
  <si>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</si>
  <si>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</si>
  <si>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</si>
  <si>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</si>
  <si>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</si>
  <si>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</si>
  <si>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</si>
  <si>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</si>
  <si>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</si>
  <si>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</si>
  <si>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</si>
  <si>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</si>
  <si>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</si>
  <si>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</si>
  <si>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</si>
  <si>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</si>
  <si>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</si>
  <si>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</si>
  <si>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</si>
  <si>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</si>
  <si>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</si>
  <si>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</si>
  <si>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</si>
  <si>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</si>
  <si>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</si>
  <si>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</si>
  <si>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</si>
  <si>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</si>
  <si>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</si>
  <si>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</si>
  <si>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</si>
  <si>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</si>
  <si>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</si>
  <si>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</si>
  <si>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</si>
  <si>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</si>
  <si>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</si>
  <si>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</si>
  <si>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</si>
  <si>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</si>
  <si>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</si>
  <si>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</si>
  <si>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</si>
  <si>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</si>
  <si>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</si>
  <si>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</si>
  <si>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</si>
  <si>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</si>
  <si>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</si>
  <si>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</si>
  <si>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</si>
  <si>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</si>
  <si>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</si>
  <si>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</si>
  <si>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</si>
  <si>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</si>
  <si>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</si>
  <si>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</si>
  <si>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</si>
  <si>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</si>
  <si>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</si>
  <si>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</si>
  <si>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</si>
  <si>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</si>
  <si>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</si>
  <si>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</si>
  <si>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</si>
  <si>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</si>
  <si>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</si>
  <si>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</si>
  <si>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</si>
  <si>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</si>
  <si>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</si>
  <si>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</si>
  <si>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</si>
  <si>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</si>
  <si>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</si>
  <si>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</si>
  <si>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</si>
  <si>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</si>
  <si>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</si>
  <si>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</si>
  <si>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</si>
  <si>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</si>
  <si>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</si>
  <si>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</si>
  <si>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</si>
  <si>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</si>
  <si>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</si>
  <si>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</si>
  <si>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</si>
  <si>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</si>
  <si>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</si>
  <si>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</si>
  <si>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</si>
  <si>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</si>
  <si>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</si>
  <si>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</si>
  <si>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</si>
  <si>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</si>
  <si>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</si>
  <si>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</si>
  <si>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</si>
  <si>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</si>
  <si>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</si>
  <si>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</si>
  <si>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</si>
  <si>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</si>
  <si>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</si>
  <si>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</si>
  <si>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</si>
  <si>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</si>
  <si>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</si>
  <si>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</si>
  <si>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</si>
  <si>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</si>
  <si>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</si>
  <si>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</si>
  <si>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</si>
  <si>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</si>
  <si>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</si>
  <si>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</si>
  <si>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</si>
  <si>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</si>
  <si>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</si>
  <si>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</si>
  <si>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</si>
  <si>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</si>
  <si>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</si>
  <si>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</si>
  <si>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</si>
  <si>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</si>
  <si>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</si>
  <si>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</si>
  <si>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</si>
  <si>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</si>
  <si>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</si>
  <si>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</si>
  <si>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</si>
  <si>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</si>
  <si>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</si>
  <si>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</si>
  <si>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</si>
  <si>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</si>
  <si>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</si>
  <si>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</si>
  <si>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</si>
  <si>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</si>
  <si>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</si>
  <si>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</si>
  <si>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</si>
  <si>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</si>
  <si>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</si>
  <si>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</si>
  <si>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</si>
  <si>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</si>
  <si>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</si>
  <si>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</si>
  <si>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</si>
  <si>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</si>
  <si>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</si>
  <si>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</si>
  <si>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</si>
  <si>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</si>
  <si>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</si>
  <si>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</si>
  <si>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</si>
  <si>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</si>
  <si>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</si>
  <si>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</si>
  <si>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</si>
  <si>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</si>
  <si>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</si>
  <si>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</si>
  <si>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</si>
  <si>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</si>
  <si>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</si>
  <si>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</si>
  <si>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</si>
  <si>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</si>
  <si>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</si>
  <si>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</si>
  <si>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</si>
  <si>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</si>
  <si>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</si>
  <si>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</si>
  <si>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</si>
  <si>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</si>
  <si>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</si>
  <si>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</si>
  <si>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</si>
  <si>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</si>
  <si>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</si>
  <si>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</si>
  <si>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</si>
  <si>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</si>
  <si>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</si>
  <si>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</si>
  <si>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</si>
  <si>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</si>
  <si>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</si>
  <si>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</si>
  <si>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</si>
  <si>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</si>
  <si>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</si>
  <si>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</si>
  <si>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</si>
  <si>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</si>
  <si>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</si>
  <si>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</si>
  <si>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</si>
  <si>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</si>
  <si>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</si>
  <si>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</si>
  <si>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</si>
  <si>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</si>
  <si>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</si>
  <si>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</si>
  <si>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</si>
  <si>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</si>
  <si>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</si>
  <si>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</si>
  <si>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</si>
  <si>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</si>
  <si>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</si>
  <si>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</si>
  <si>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</si>
  <si>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</si>
  <si>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</si>
  <si>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</si>
  <si>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</si>
  <si>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</si>
  <si>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</si>
  <si>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</si>
  <si>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</si>
  <si>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</si>
  <si>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</si>
  <si>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</si>
  <si>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</si>
  <si>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</si>
  <si>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</si>
  <si>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</si>
  <si>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</si>
  <si>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</si>
  <si>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</si>
  <si>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</si>
  <si>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</si>
  <si>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</si>
  <si>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</si>
  <si>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</si>
  <si>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</si>
  <si>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</si>
  <si>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</si>
  <si>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</si>
  <si>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</si>
  <si>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</si>
  <si>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</si>
  <si>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</si>
  <si>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</si>
  <si>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</si>
  <si>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</si>
  <si>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</si>
  <si>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</si>
  <si>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</si>
  <si>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</si>
  <si>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</si>
  <si>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</si>
  <si>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</si>
  <si>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</si>
  <si>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</si>
  <si>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</si>
  <si>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</si>
  <si>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</si>
  <si>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</si>
  <si>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</si>
  <si>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</si>
  <si>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</si>
  <si>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</si>
  <si>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</si>
  <si>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</si>
  <si>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</si>
  <si>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</si>
  <si>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</si>
  <si>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</si>
  <si>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</si>
  <si>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</si>
  <si>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</si>
  <si>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</si>
  <si>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</si>
  <si>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</si>
  <si>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</si>
  <si>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</si>
  <si>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</si>
  <si>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</si>
  <si>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</si>
  <si>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</si>
  <si>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</si>
  <si>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</si>
  <si>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</si>
  <si>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</si>
  <si>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</si>
  <si>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</si>
  <si>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</si>
  <si>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</si>
  <si>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</si>
  <si>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</si>
  <si>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</si>
  <si>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</si>
  <si>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</si>
  <si>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</si>
  <si>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</si>
  <si>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</si>
  <si>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</si>
  <si>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</si>
  <si>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</si>
  <si>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</si>
  <si>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</si>
  <si>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</si>
  <si>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</si>
  <si>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</si>
  <si>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</si>
  <si>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</si>
  <si>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</si>
  <si>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</si>
  <si>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</si>
  <si>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</si>
  <si>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</si>
  <si>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</si>
  <si>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</si>
  <si>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</si>
  <si>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</si>
  <si>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</si>
  <si>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</si>
  <si>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</si>
  <si>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</si>
  <si>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</si>
  <si>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</si>
  <si>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</si>
  <si>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</si>
  <si>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</si>
  <si>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</si>
  <si>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</si>
  <si>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</si>
  <si>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</si>
  <si>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</si>
  <si>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</si>
  <si>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</si>
  <si>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</si>
  <si>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</si>
  <si>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</si>
  <si>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</si>
  <si>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</si>
  <si>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</si>
  <si>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</si>
  <si>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</si>
  <si>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</si>
  <si>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</si>
  <si>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</si>
  <si>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</si>
  <si>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</si>
  <si>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</si>
  <si>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</si>
  <si>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</si>
  <si>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</si>
  <si>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</si>
  <si>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</si>
  <si>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</si>
  <si>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</si>
  <si>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</si>
  <si>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</si>
  <si>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</si>
  <si>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</si>
  <si>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</si>
  <si>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</si>
  <si>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</si>
  <si>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</si>
  <si>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</si>
  <si>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</si>
  <si>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</si>
  <si>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</si>
  <si>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</si>
  <si>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</si>
  <si>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</si>
  <si>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</si>
  <si>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</si>
  <si>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</si>
  <si>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</si>
  <si>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</si>
  <si>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</si>
  <si>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</si>
  <si>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</si>
  <si>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</si>
  <si>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</si>
  <si>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</si>
  <si>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</si>
  <si>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</si>
  <si>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</si>
  <si>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</si>
  <si>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</si>
  <si>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</si>
  <si>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</si>
  <si>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</si>
  <si>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</si>
  <si>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</si>
  <si>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</si>
  <si>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</si>
  <si>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</si>
  <si>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</si>
  <si>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</si>
  <si>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</si>
  <si>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</si>
  <si>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</si>
  <si>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</si>
  <si>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</si>
  <si>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</si>
  <si>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</si>
  <si>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</si>
  <si>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</si>
  <si>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</si>
  <si>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</si>
  <si>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</si>
  <si>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</si>
  <si>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</si>
  <si>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</si>
  <si>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</si>
  <si>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</si>
  <si>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</si>
  <si>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</si>
  <si>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</si>
  <si>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</si>
  <si>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</si>
  <si>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</si>
  <si>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</si>
  <si>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</si>
  <si>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</si>
  <si>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</si>
  <si>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</si>
  <si>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</si>
  <si>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</si>
  <si>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</si>
  <si>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</si>
  <si>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</si>
  <si>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</si>
  <si>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</si>
  <si>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</si>
  <si>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</si>
  <si>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</si>
  <si>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</si>
  <si>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</si>
  <si>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</si>
  <si>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</si>
  <si>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</si>
  <si>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</si>
  <si>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</si>
  <si>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</si>
  <si>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</si>
  <si>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</si>
  <si>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</si>
  <si>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</si>
  <si>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</si>
  <si>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</si>
  <si>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</si>
  <si>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</si>
  <si>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</si>
  <si>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</si>
  <si>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</si>
  <si>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</si>
  <si>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</si>
  <si>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</si>
  <si>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</si>
  <si>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</si>
  <si>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</si>
  <si>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</si>
  <si>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</si>
  <si>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</si>
  <si>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</si>
  <si>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</si>
  <si>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</si>
  <si>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</si>
  <si>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</si>
  <si>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</si>
  <si>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</si>
  <si>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</si>
  <si>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</si>
  <si>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</si>
  <si>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</si>
  <si>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</si>
  <si>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</si>
  <si>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</si>
  <si>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</si>
  <si>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</si>
  <si>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</si>
  <si>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</si>
  <si>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</si>
  <si>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</si>
  <si>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</si>
  <si>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</si>
  <si>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</si>
  <si>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</si>
  <si>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</si>
  <si>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</si>
  <si>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</si>
  <si>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</si>
  <si>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</si>
  <si>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</si>
  <si>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</si>
  <si>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</si>
  <si>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</si>
  <si>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</si>
  <si>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</si>
  <si>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</si>
  <si>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</si>
  <si>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</si>
  <si>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</si>
  <si>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</si>
  <si>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</si>
  <si>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</si>
  <si>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</si>
  <si>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</si>
  <si>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</si>
  <si>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</si>
  <si>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</si>
  <si>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</si>
  <si>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</si>
  <si>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</si>
  <si>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</si>
  <si>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</si>
  <si>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</si>
  <si>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</si>
  <si>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</si>
  <si>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</si>
  <si>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</si>
  <si>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</si>
  <si>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</si>
  <si>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</si>
  <si>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</si>
  <si>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</si>
  <si>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</si>
  <si>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</si>
  <si>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</si>
  <si>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</si>
  <si>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</si>
  <si>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</si>
  <si>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</si>
  <si>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</si>
  <si>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</si>
  <si>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</si>
  <si>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</si>
  <si>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</si>
  <si>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</si>
  <si>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</si>
  <si>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</si>
  <si>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</si>
  <si>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</si>
  <si>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</si>
  <si>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</si>
  <si>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</si>
  <si>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</si>
  <si>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</si>
  <si>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</si>
  <si>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</si>
  <si>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</si>
  <si>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</si>
  <si>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</si>
  <si>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</si>
  <si>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</si>
  <si>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</si>
  <si>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</si>
  <si>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</si>
  <si>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</si>
  <si>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</si>
  <si>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</si>
  <si>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</si>
  <si>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</si>
  <si>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</si>
  <si>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</si>
  <si>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</si>
  <si>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</si>
  <si>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</si>
  <si>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</si>
  <si>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</si>
  <si>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</si>
  <si>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</si>
  <si>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</si>
  <si>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</si>
  <si>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</si>
  <si>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</si>
  <si>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</si>
  <si>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</si>
  <si>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</si>
  <si>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</si>
  <si>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</si>
  <si>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</si>
  <si>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</si>
  <si>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</si>
  <si>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</si>
  <si>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</si>
  <si>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</si>
  <si>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</si>
  <si>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</si>
  <si>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</si>
  <si>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</si>
  <si>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</si>
  <si>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</si>
  <si>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</si>
  <si>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</si>
  <si>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</si>
  <si>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</si>
  <si>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</si>
  <si>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</si>
  <si>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</si>
  <si>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</si>
  <si>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</si>
  <si>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</si>
  <si>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</si>
  <si>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</si>
  <si>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</si>
  <si>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</si>
  <si>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</si>
  <si>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</si>
  <si>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</si>
  <si>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</si>
  <si>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</si>
  <si>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</si>
  <si>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</si>
  <si>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</si>
  <si>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</si>
  <si>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</si>
  <si>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</si>
  <si>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</si>
  <si>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</si>
  <si>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</si>
  <si>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</si>
  <si>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</si>
  <si>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</si>
  <si>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</si>
  <si>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</si>
  <si>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</si>
  <si>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</si>
  <si>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</si>
  <si>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</si>
  <si>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</si>
  <si>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</si>
  <si>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</si>
  <si>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</si>
  <si>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</si>
  <si>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</si>
  <si>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</si>
  <si>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</si>
  <si>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</si>
  <si>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</si>
  <si>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</si>
  <si>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</si>
  <si>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</si>
  <si>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</si>
  <si>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</si>
  <si>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</si>
  <si>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</si>
  <si>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</si>
  <si>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</si>
  <si>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</si>
  <si>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</si>
  <si>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</si>
  <si>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</si>
  <si>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</si>
  <si>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</si>
  <si>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</si>
  <si>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</si>
  <si>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</si>
  <si>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</si>
  <si>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</si>
  <si>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</si>
  <si>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</si>
  <si>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</si>
  <si>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</si>
  <si>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</si>
  <si>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</si>
  <si>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</si>
  <si>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</si>
  <si>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</si>
  <si>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</si>
  <si>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</si>
  <si>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</si>
  <si>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</si>
  <si>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</si>
  <si>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</si>
  <si>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</si>
  <si>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</si>
  <si>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</si>
  <si>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</si>
  <si>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</si>
  <si>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</si>
  <si>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</si>
  <si>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</si>
  <si>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</si>
  <si>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</si>
  <si>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</si>
  <si>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</si>
  <si>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</si>
  <si>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</si>
  <si>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</si>
  <si>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</si>
  <si>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</si>
  <si>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</si>
  <si>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</si>
  <si>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</si>
  <si>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</si>
  <si>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</si>
  <si>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</si>
  <si>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</si>
  <si>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</si>
  <si>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</si>
  <si>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</si>
  <si>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</si>
  <si>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</si>
  <si>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</si>
  <si>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</si>
  <si>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</si>
  <si>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</si>
  <si>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</si>
  <si>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</si>
  <si>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</si>
  <si>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</si>
  <si>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</si>
  <si>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</si>
  <si>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</si>
  <si>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</si>
  <si>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</si>
  <si>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</si>
  <si>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</si>
  <si>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</si>
  <si>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</si>
  <si>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</si>
  <si>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</si>
  <si>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</si>
  <si>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</si>
  <si>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</si>
  <si>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</si>
  <si>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</si>
  <si>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</si>
  <si>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</si>
  <si>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</si>
  <si>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</si>
  <si>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</si>
  <si>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</si>
  <si>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</si>
  <si>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</si>
  <si>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</si>
  <si>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</si>
  <si>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</si>
  <si>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</si>
  <si>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</si>
  <si>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</si>
  <si>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</si>
  <si>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</si>
  <si>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</si>
  <si>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</si>
  <si>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</si>
  <si>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</si>
  <si>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</si>
  <si>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</si>
  <si>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</si>
  <si>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</si>
  <si>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</si>
  <si>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</si>
  <si>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</si>
  <si>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</si>
  <si>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</si>
  <si>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</si>
  <si>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</si>
  <si>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</si>
  <si>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</si>
  <si>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</si>
  <si>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</si>
  <si>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</si>
  <si>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</si>
  <si>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</si>
  <si>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</si>
  <si>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</si>
  <si>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</si>
  <si>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</si>
  <si>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</si>
  <si>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</si>
  <si>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</si>
  <si>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</si>
  <si>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</si>
  <si>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</si>
  <si>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</si>
  <si>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</si>
  <si>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</si>
  <si>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</si>
  <si>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</si>
  <si>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</si>
  <si>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</si>
  <si>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</si>
  <si>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</si>
  <si>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</si>
  <si>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</si>
  <si>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</si>
  <si>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</si>
  <si>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</si>
  <si>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</si>
  <si>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</si>
  <si>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</si>
  <si>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</si>
  <si>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</si>
  <si>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</si>
  <si>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</si>
  <si>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</si>
  <si>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</si>
  <si>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</si>
  <si>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</si>
  <si>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</si>
  <si>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</si>
  <si>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</si>
  <si>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</si>
  <si>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</si>
  <si>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</si>
  <si>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</si>
  <si>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</si>
  <si>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</si>
  <si>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</si>
  <si>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</si>
  <si>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</si>
  <si>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</si>
  <si>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</si>
  <si>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</si>
  <si>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</si>
  <si>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</si>
  <si>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</si>
  <si>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</si>
  <si>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</si>
  <si>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</si>
  <si>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</si>
  <si>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</si>
  <si>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</si>
  <si>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</si>
  <si>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</si>
  <si>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</si>
  <si>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</si>
  <si>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</si>
  <si>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</si>
  <si>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</si>
  <si>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</si>
  <si>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</si>
  <si>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</si>
  <si>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</si>
  <si>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</si>
  <si>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</si>
  <si>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</si>
  <si>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</si>
  <si>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</si>
  <si>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</si>
  <si>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</si>
  <si>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</si>
  <si>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</si>
  <si>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</si>
  <si>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</si>
  <si>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</si>
  <si>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</si>
  <si>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</si>
  <si>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</si>
  <si>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</si>
  <si>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</si>
  <si>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</si>
  <si>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</si>
  <si>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</si>
  <si>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</si>
  <si>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</si>
  <si>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</si>
  <si>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</si>
  <si>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</si>
  <si>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</si>
  <si>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</si>
  <si>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</si>
  <si>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</si>
  <si>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</si>
  <si>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</si>
  <si>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</si>
  <si>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</si>
  <si>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</si>
  <si>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</si>
  <si>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</si>
  <si>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</si>
  <si>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</si>
  <si>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</si>
  <si>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</si>
  <si>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</si>
  <si>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</si>
  <si>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</si>
  <si>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</si>
  <si>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</si>
  <si>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</si>
  <si>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</si>
  <si>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</si>
  <si>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</si>
  <si>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</si>
  <si>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</si>
  <si>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</si>
  <si>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</si>
  <si>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</si>
  <si>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</si>
  <si>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</si>
  <si>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</si>
  <si>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</si>
  <si>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</si>
  <si>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</si>
  <si>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</si>
  <si>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</si>
  <si>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</si>
  <si>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</si>
  <si>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</si>
  <si>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</si>
  <si>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</si>
  <si>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</si>
  <si>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</si>
  <si>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</si>
  <si>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</si>
  <si>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</si>
  <si>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</si>
  <si>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</si>
  <si>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</si>
  <si>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</si>
  <si>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</si>
  <si>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</si>
  <si>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</si>
  <si>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</si>
  <si>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</si>
  <si>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</si>
  <si>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</si>
  <si>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</si>
  <si>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</si>
  <si>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</si>
  <si>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</si>
  <si>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</si>
  <si>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</si>
  <si>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</si>
  <si>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</si>
  <si>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</si>
  <si>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</si>
  <si>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</si>
  <si>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</si>
  <si>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</si>
  <si>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</si>
  <si>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</si>
  <si>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</si>
  <si>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</si>
  <si>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</si>
  <si>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</si>
  <si>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</si>
  <si>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</si>
  <si>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</si>
  <si>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</si>
  <si>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</si>
  <si>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</si>
  <si>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</si>
  <si>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</si>
  <si>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</si>
  <si>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</si>
  <si>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</si>
  <si>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</si>
  <si>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</si>
  <si>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</si>
  <si>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</si>
  <si>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</si>
  <si>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</si>
  <si>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</si>
  <si>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</si>
  <si>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</si>
  <si>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</si>
  <si>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</si>
  <si>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</si>
  <si>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</si>
  <si>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</si>
  <si>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</si>
  <si>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</si>
  <si>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</si>
  <si>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</si>
  <si>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</si>
  <si>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</si>
  <si>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</si>
  <si>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</si>
  <si>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</si>
  <si>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</si>
  <si>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</si>
  <si>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</si>
  <si>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</si>
  <si>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</si>
  <si>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</si>
  <si>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</si>
  <si>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</si>
  <si>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</si>
  <si>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</si>
  <si>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</si>
  <si>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</si>
  <si>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</si>
  <si>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</si>
  <si>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</si>
  <si>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</si>
  <si>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</si>
  <si>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</si>
  <si>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</si>
  <si>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</si>
  <si>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</si>
  <si>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</si>
  <si>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</si>
  <si>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</si>
  <si>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</si>
  <si>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</si>
  <si>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</si>
  <si>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</si>
  <si>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</si>
  <si>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</si>
  <si>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</si>
  <si>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</si>
  <si>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</si>
  <si>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</si>
  <si>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</si>
  <si>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</si>
  <si>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</si>
  <si>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</si>
  <si>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</si>
  <si>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</si>
  <si>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</si>
  <si>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</si>
  <si>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</si>
  <si>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</si>
  <si>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</si>
  <si>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</si>
  <si>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</si>
  <si>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</si>
  <si>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</si>
  <si>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</si>
  <si>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</si>
  <si>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</si>
  <si>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</si>
  <si>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</si>
  <si>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</si>
  <si>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</si>
  <si>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</si>
  <si>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</si>
  <si>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</si>
  <si>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</si>
  <si>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</si>
  <si>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</si>
  <si>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</si>
  <si>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</si>
  <si>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</si>
  <si>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</si>
  <si>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</si>
  <si>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</si>
  <si>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</si>
  <si>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</si>
  <si>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</si>
  <si>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</si>
  <si>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</si>
  <si>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</si>
  <si>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</si>
  <si>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</si>
  <si>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</si>
  <si>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</si>
  <si>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</si>
  <si>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</si>
  <si>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</si>
  <si>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</si>
  <si>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</si>
  <si>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</si>
  <si>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</si>
  <si>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</si>
  <si>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</si>
  <si>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</si>
  <si>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</si>
  <si>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</si>
  <si>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</si>
  <si>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</si>
  <si>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</si>
  <si>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</si>
  <si>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</si>
  <si>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</si>
  <si>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</si>
  <si>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</si>
  <si>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</si>
  <si>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</si>
  <si>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</si>
  <si>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</si>
  <si>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</si>
  <si>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</si>
  <si>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</si>
  <si>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</si>
  <si>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</si>
  <si>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</si>
  <si>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</si>
  <si>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</si>
  <si>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</si>
  <si>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</si>
  <si>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</si>
  <si>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</si>
  <si>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</si>
  <si>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</si>
  <si>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</si>
  <si>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</si>
  <si>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</si>
  <si>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</si>
  <si>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</si>
  <si>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</si>
  <si>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</si>
  <si>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</si>
  <si>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</si>
  <si>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</si>
  <si>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</si>
  <si>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</si>
  <si>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</si>
  <si>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</si>
  <si>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</si>
  <si>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</si>
  <si>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</si>
  <si>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</si>
  <si>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</si>
  <si>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</si>
  <si>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</si>
  <si>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</si>
  <si>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</si>
  <si>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</si>
  <si>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</si>
  <si>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</si>
  <si>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</si>
  <si>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</si>
  <si>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</si>
  <si>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</si>
  <si>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</si>
  <si>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</si>
  <si>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</si>
  <si>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</si>
  <si>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</si>
  <si>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</si>
  <si>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</si>
  <si>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</si>
  <si>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</si>
  <si>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</si>
  <si>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</si>
  <si>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</si>
  <si>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</si>
  <si>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</si>
  <si>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</si>
  <si>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</si>
  <si>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</si>
  <si>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</si>
  <si>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</si>
  <si>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</si>
  <si>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</si>
  <si>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</si>
  <si>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</si>
  <si>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</si>
  <si>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</si>
  <si>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</si>
  <si>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</si>
  <si>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</si>
  <si>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</si>
  <si>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</si>
  <si>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</si>
  <si>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</si>
  <si>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</si>
  <si>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</si>
  <si>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</si>
  <si>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</si>
  <si>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</si>
  <si>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</si>
  <si>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</si>
  <si>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</si>
  <si>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</si>
  <si>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</si>
  <si>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</si>
  <si>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</si>
  <si>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</si>
  <si>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</si>
  <si>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</si>
  <si>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</si>
  <si>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</si>
  <si>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</si>
  <si>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</si>
  <si>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</si>
  <si>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</si>
  <si>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</si>
  <si>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</si>
  <si>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</si>
  <si>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</si>
  <si>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</si>
  <si>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</si>
  <si>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</si>
  <si>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</si>
  <si>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</si>
  <si>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</si>
  <si>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</si>
  <si>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</si>
  <si>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</si>
  <si>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</si>
  <si>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</si>
  <si>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</si>
  <si>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</si>
  <si>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</si>
  <si>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</si>
  <si>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</si>
  <si>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</si>
  <si>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</si>
  <si>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</si>
  <si>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</si>
  <si>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</si>
  <si>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</si>
  <si>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</si>
  <si>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</si>
  <si>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</si>
  <si>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</si>
  <si>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</si>
  <si>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</si>
  <si>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</si>
  <si>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</si>
  <si>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</si>
  <si>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</si>
  <si>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</si>
  <si>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</si>
  <si>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</si>
  <si>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</si>
  <si>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</si>
  <si>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</si>
  <si>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</si>
  <si>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</si>
  <si>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</si>
  <si>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</si>
  <si>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</si>
  <si>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</si>
  <si>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</si>
  <si>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</si>
  <si>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</si>
  <si>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</si>
  <si>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</si>
  <si>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</si>
  <si>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</si>
  <si>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</si>
  <si>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</si>
  <si>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</si>
  <si>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</si>
  <si>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</si>
  <si>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</si>
  <si>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</si>
  <si>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</si>
  <si>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</si>
  <si>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</si>
  <si>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</si>
  <si>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</si>
  <si>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</si>
  <si>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</si>
  <si>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</si>
  <si>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</si>
  <si>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</si>
  <si>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</si>
  <si>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</si>
  <si>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</si>
  <si>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</si>
  <si>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</si>
  <si>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</si>
  <si>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</si>
  <si>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</si>
  <si>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</si>
  <si>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</si>
  <si>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</si>
  <si>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</si>
  <si>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</si>
  <si>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</si>
  <si>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</si>
  <si>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</si>
  <si>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</si>
  <si>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</si>
  <si>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</si>
  <si>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</si>
  <si>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</si>
  <si>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</si>
  <si>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</si>
  <si>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</si>
  <si>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</si>
  <si>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</si>
  <si>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</si>
  <si>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</si>
  <si>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</si>
  <si>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</si>
  <si>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</si>
  <si>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</si>
  <si>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</si>
  <si>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</si>
  <si>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</si>
  <si>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</si>
  <si>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</si>
  <si>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</si>
  <si>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</si>
  <si>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</si>
  <si>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</si>
  <si>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</si>
  <si>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</si>
  <si>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</si>
  <si>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</si>
  <si>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</si>
  <si>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</si>
  <si>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</si>
  <si>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</si>
  <si>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</si>
  <si>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</si>
  <si>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</si>
  <si>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</si>
  <si>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</si>
  <si>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</si>
  <si>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</si>
  <si>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</si>
  <si>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</si>
  <si>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</si>
  <si>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</si>
  <si>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</si>
  <si>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</si>
  <si>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</si>
  <si>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</si>
  <si>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</si>
  <si>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</si>
  <si>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</si>
  <si>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</si>
  <si>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</si>
  <si>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</si>
  <si>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</si>
  <si>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</si>
  <si>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</si>
  <si>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</si>
  <si>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</si>
  <si>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</si>
  <si>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</si>
  <si>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</si>
  <si>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</si>
  <si>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</si>
  <si>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</si>
  <si>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</si>
  <si>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</si>
  <si>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</si>
  <si>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</si>
  <si>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</si>
  <si>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</si>
  <si>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</si>
  <si>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</si>
  <si>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</si>
  <si>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</si>
  <si>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</si>
  <si>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</si>
  <si>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</si>
  <si>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</si>
  <si>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</si>
  <si>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</si>
  <si>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</si>
  <si>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</si>
  <si>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</si>
  <si>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</si>
  <si>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</si>
  <si>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</si>
  <si>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</si>
  <si>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</si>
  <si>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</si>
  <si>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</si>
  <si>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</si>
  <si>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</si>
  <si>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</si>
  <si>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</si>
  <si>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</si>
  <si>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</si>
  <si>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</si>
  <si>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</si>
  <si>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</si>
  <si>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</si>
  <si>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</si>
  <si>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</si>
  <si>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</si>
  <si>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</si>
  <si>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</si>
  <si>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</si>
  <si>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</si>
  <si>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</si>
  <si>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</si>
  <si>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</si>
  <si>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</si>
  <si>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</si>
  <si>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</si>
  <si>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</si>
  <si>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</si>
  <si>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</si>
  <si>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</si>
  <si>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</si>
  <si>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</si>
  <si>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</si>
  <si>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</si>
  <si>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</si>
  <si>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</si>
  <si>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</si>
  <si>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</si>
  <si>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</si>
  <si>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</si>
  <si>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</si>
  <si>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</si>
  <si>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</si>
  <si>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</si>
  <si>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</si>
  <si>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</si>
  <si>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</si>
  <si>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</si>
  <si>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</si>
  <si>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</si>
  <si>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</si>
  <si>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</si>
  <si>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</si>
  <si>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</si>
  <si>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</si>
  <si>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</si>
  <si>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</si>
  <si>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</si>
  <si>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</si>
  <si>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</si>
  <si>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</si>
  <si>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</si>
  <si>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</si>
  <si>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</si>
  <si>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</si>
  <si>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</si>
  <si>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</si>
  <si>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</si>
  <si>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</si>
  <si>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</si>
  <si>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</si>
  <si>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</si>
  <si>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</si>
  <si>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</si>
  <si>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</si>
  <si>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</si>
  <si>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</si>
  <si>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</si>
  <si>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</si>
  <si>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</si>
  <si>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</si>
  <si>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</si>
  <si>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</si>
  <si>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</si>
  <si>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</si>
  <si>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</si>
  <si>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</si>
  <si>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</si>
  <si>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</si>
  <si>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</si>
  <si>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</si>
  <si>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</si>
  <si>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</si>
  <si>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</si>
  <si>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</si>
  <si>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</si>
  <si>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</si>
  <si>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</si>
  <si>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</si>
  <si>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</si>
  <si>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</si>
  <si>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</si>
  <si>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</si>
  <si>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</si>
  <si>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</si>
  <si>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</si>
  <si>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</si>
  <si>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</si>
  <si>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</si>
  <si>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</si>
  <si>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</si>
  <si>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</si>
  <si>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</si>
  <si>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</si>
  <si>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</si>
  <si>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</si>
  <si>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</si>
  <si>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</si>
  <si>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</si>
  <si>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</si>
  <si>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</si>
  <si>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</si>
  <si>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</si>
  <si>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</si>
  <si>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</si>
  <si>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</si>
  <si>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</si>
  <si>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</si>
  <si>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</si>
  <si>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</si>
  <si>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</si>
  <si>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</si>
  <si>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</si>
  <si>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</si>
  <si>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</si>
  <si>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</si>
  <si>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</si>
  <si>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</si>
  <si>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</si>
  <si>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</si>
  <si>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</si>
  <si>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</si>
  <si>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</si>
  <si>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</si>
  <si>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</si>
  <si>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</si>
  <si>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</si>
  <si>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</si>
  <si>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</si>
  <si>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</si>
  <si>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</si>
  <si>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</si>
  <si>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</si>
  <si>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</si>
  <si>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</si>
  <si>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</si>
  <si>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</si>
  <si>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</si>
  <si>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</si>
  <si>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</si>
  <si>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</si>
  <si>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</si>
  <si>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</si>
  <si>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</si>
  <si>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</si>
  <si>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</si>
  <si>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</si>
  <si>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</si>
  <si>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</si>
  <si>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</si>
  <si>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</si>
  <si>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</si>
  <si>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</si>
  <si>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</si>
  <si>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</si>
  <si>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</si>
  <si>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</si>
  <si>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</si>
  <si>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</si>
  <si>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</si>
  <si>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</si>
  <si>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</si>
  <si>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</si>
  <si>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</si>
  <si>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</si>
  <si>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</si>
  <si>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</si>
  <si>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</si>
  <si>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</si>
  <si>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</si>
  <si>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</si>
  <si>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</si>
  <si>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</si>
  <si>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</si>
  <si>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</si>
  <si>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</si>
  <si>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</si>
  <si>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</si>
  <si>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</si>
  <si>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</si>
  <si>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</si>
  <si>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</si>
  <si>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</si>
  <si>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</si>
  <si>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</si>
  <si>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</si>
  <si>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</si>
  <si>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</si>
  <si>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</si>
  <si>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</si>
  <si>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</si>
  <si>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</si>
  <si>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</si>
  <si>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</si>
  <si>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</si>
  <si>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</si>
  <si>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</si>
  <si>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</si>
  <si>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</si>
  <si>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</si>
  <si>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</si>
  <si>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</si>
  <si>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</si>
  <si>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</si>
  <si>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</si>
  <si>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</si>
  <si>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</si>
  <si>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</si>
  <si>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</si>
  <si>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</si>
  <si>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</si>
  <si>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</si>
  <si>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</si>
  <si>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</si>
  <si>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</si>
  <si>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</si>
  <si>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</si>
  <si>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</si>
  <si>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</si>
  <si>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</si>
  <si>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</si>
  <si>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</si>
  <si>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</si>
  <si>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</si>
  <si>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</si>
  <si>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</si>
  <si>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</si>
  <si>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</si>
  <si>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</si>
  <si>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</si>
  <si>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</si>
  <si>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</si>
  <si>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</si>
  <si>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</si>
  <si>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</si>
  <si>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</si>
  <si>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</si>
  <si>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</si>
  <si>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</si>
  <si>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</si>
  <si>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</si>
  <si>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</si>
  <si>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</si>
  <si>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</si>
  <si>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</si>
  <si>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</si>
  <si>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</si>
  <si>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</si>
  <si>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</si>
  <si>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</si>
  <si>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</si>
  <si>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</si>
  <si>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</si>
  <si>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</si>
  <si>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</si>
  <si>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</si>
  <si>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</si>
  <si>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</si>
  <si>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</si>
  <si>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</si>
  <si>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</si>
  <si>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</si>
  <si>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</si>
  <si>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</si>
  <si>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</si>
  <si>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</si>
  <si>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</si>
  <si>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</si>
  <si>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</si>
  <si>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</si>
  <si>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</si>
  <si>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</si>
  <si>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</si>
  <si>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</si>
  <si>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</si>
  <si>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</si>
  <si>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</si>
  <si>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</si>
  <si>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</si>
  <si>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</si>
  <si>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</si>
  <si>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</si>
  <si>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</si>
  <si>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</si>
  <si>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</si>
  <si>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</si>
  <si>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</si>
  <si>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</si>
  <si>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</si>
  <si>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</si>
  <si>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</si>
  <si>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</si>
  <si>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</si>
  <si>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</si>
  <si>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</si>
  <si>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</si>
  <si>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</si>
  <si>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</si>
  <si>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</si>
  <si>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</si>
  <si>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</si>
  <si>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</si>
  <si>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</si>
  <si>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</si>
  <si>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</si>
  <si>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</si>
  <si>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</si>
  <si>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</si>
  <si>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</si>
  <si>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</si>
  <si>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</si>
  <si>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</si>
  <si>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</si>
  <si>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</si>
  <si>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</si>
  <si>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</si>
  <si>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</si>
  <si>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</si>
  <si>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</si>
  <si>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</si>
  <si>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</si>
  <si>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</si>
  <si>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</si>
  <si>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</si>
  <si>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</si>
  <si>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</si>
  <si>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</si>
  <si>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</si>
  <si>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</si>
  <si>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</si>
  <si>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</si>
  <si>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</si>
  <si>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</si>
  <si>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</si>
  <si>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</si>
  <si>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</si>
  <si>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</si>
  <si>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</si>
  <si>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</si>
  <si>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</si>
  <si>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</si>
  <si>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</si>
  <si>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</si>
  <si>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</si>
  <si>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</si>
  <si>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</si>
  <si>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</si>
  <si>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</si>
  <si>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</si>
  <si>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</si>
  <si>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</si>
  <si>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</si>
  <si>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</si>
  <si>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</si>
  <si>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</si>
  <si>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</si>
  <si>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</si>
  <si>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</si>
  <si>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</si>
  <si>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</si>
  <si>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</si>
  <si>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</si>
  <si>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</si>
  <si>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</si>
  <si>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</si>
  <si>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</si>
  <si>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</si>
  <si>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</si>
  <si>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</si>
  <si>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</si>
  <si>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</si>
  <si>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</si>
  <si>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</si>
  <si>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</si>
  <si>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</si>
  <si>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</si>
  <si>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</si>
  <si>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</si>
  <si>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</si>
  <si>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</si>
  <si>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</si>
  <si>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</si>
  <si>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</si>
  <si>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</si>
  <si>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</si>
  <si>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</si>
  <si>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</si>
  <si>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</si>
  <si>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</si>
  <si>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</si>
  <si>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</si>
  <si>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</si>
  <si>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</si>
  <si>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</si>
  <si>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</si>
  <si>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</si>
  <si>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</si>
  <si>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</si>
  <si>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</si>
  <si>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</si>
  <si>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</si>
  <si>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</si>
  <si>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</si>
  <si>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</si>
  <si>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</si>
  <si>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</si>
  <si>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</si>
  <si>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</si>
  <si>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</si>
  <si>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</si>
  <si>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</si>
  <si>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</si>
  <si>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</si>
  <si>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</si>
  <si>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</si>
  <si>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</si>
  <si>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</si>
  <si>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</si>
  <si>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</si>
  <si>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</si>
  <si>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</si>
  <si>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</si>
  <si>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</si>
  <si>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</si>
  <si>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</si>
  <si>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</si>
  <si>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</si>
  <si>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</si>
  <si>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</si>
  <si>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</si>
  <si>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</si>
  <si>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</si>
  <si>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</si>
  <si>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</si>
  <si>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</si>
  <si>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</si>
  <si>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</si>
  <si>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</si>
  <si>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</si>
  <si>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</si>
  <si>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</si>
  <si>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</si>
  <si>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</si>
  <si>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</si>
  <si>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</si>
  <si>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</si>
  <si>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</si>
  <si>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</si>
  <si>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</si>
  <si>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</si>
  <si>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</si>
  <si>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</si>
  <si>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</si>
  <si>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</si>
  <si>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</si>
  <si>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</si>
  <si>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</si>
  <si>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</si>
  <si>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</si>
  <si>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</si>
  <si>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</si>
  <si>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</si>
  <si>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</si>
  <si>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</si>
  <si>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</si>
  <si>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</si>
  <si>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</si>
  <si>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</si>
  <si>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</si>
  <si>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</si>
  <si>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</si>
  <si>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</si>
  <si>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</si>
  <si>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</si>
  <si>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</si>
  <si>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</si>
  <si>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</si>
  <si>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</si>
  <si>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</si>
  <si>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</si>
  <si>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</si>
  <si>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</si>
  <si>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</si>
  <si>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</si>
  <si>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</si>
  <si>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</si>
  <si>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</si>
  <si>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</si>
  <si>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</si>
  <si>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</si>
  <si>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</si>
  <si>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</si>
  <si>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</si>
  <si>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</si>
  <si>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</si>
  <si>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</si>
  <si>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</si>
  <si>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</si>
  <si>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</si>
  <si>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</si>
  <si>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</si>
  <si>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</si>
  <si>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</si>
  <si>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</si>
  <si>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</si>
  <si>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</si>
  <si>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</si>
  <si>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</si>
  <si>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</si>
  <si>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</si>
  <si>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</si>
  <si>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</si>
  <si>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</si>
  <si>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</si>
  <si>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</si>
  <si>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</si>
  <si>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</si>
  <si>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</si>
  <si>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</si>
  <si>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</si>
  <si>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</si>
  <si>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</si>
  <si>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</si>
  <si>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</si>
  <si>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</si>
  <si>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</si>
  <si>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</si>
  <si>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</si>
  <si>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</si>
  <si>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</si>
  <si>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</si>
  <si>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</si>
  <si>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</si>
  <si>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</si>
  <si>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</si>
  <si>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</si>
  <si>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</si>
  <si>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</si>
  <si>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</si>
  <si>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</si>
  <si>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</si>
  <si>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</si>
  <si>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</si>
  <si>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</si>
  <si>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</si>
  <si>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</si>
  <si>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</si>
  <si>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</si>
  <si>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</si>
  <si>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</si>
  <si>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</si>
  <si>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</si>
  <si>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</si>
  <si>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</si>
  <si>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</si>
  <si>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</si>
  <si>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</si>
  <si>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</si>
  <si>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</si>
  <si>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</si>
  <si>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</si>
  <si>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</si>
  <si>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</si>
  <si>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</si>
  <si>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</si>
  <si>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</si>
  <si>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</si>
  <si>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</si>
  <si>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</si>
  <si>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</si>
  <si>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</si>
  <si>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</si>
  <si>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</si>
  <si>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</si>
  <si>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</si>
  <si>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</si>
  <si>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</si>
  <si>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</si>
  <si>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</si>
  <si>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</si>
  <si>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</si>
  <si>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</si>
  <si>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</si>
  <si>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</si>
  <si>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</si>
  <si>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</si>
  <si>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</si>
  <si>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</si>
  <si>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</si>
  <si>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</si>
  <si>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</si>
  <si>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</si>
  <si>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</si>
  <si>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</si>
  <si>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</si>
  <si>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</si>
  <si>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</si>
  <si>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</si>
  <si>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</si>
  <si>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</si>
  <si>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</si>
  <si>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</si>
  <si>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</si>
  <si>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</si>
  <si>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</si>
  <si>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</si>
  <si>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</si>
  <si>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</si>
  <si>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</si>
  <si>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</si>
  <si>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</si>
  <si>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</si>
  <si>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</si>
  <si>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</si>
  <si>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</si>
  <si>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</si>
  <si>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</si>
  <si>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</si>
  <si>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</si>
  <si>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</si>
  <si>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</si>
  <si>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</si>
  <si>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</si>
  <si>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</si>
  <si>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</si>
  <si>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</si>
  <si>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</si>
  <si>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</si>
  <si>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</si>
  <si>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</si>
  <si>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</si>
  <si>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</si>
  <si>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</si>
  <si>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</si>
  <si>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</si>
  <si>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</si>
  <si>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</si>
  <si>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</si>
  <si>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</si>
  <si>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</si>
  <si>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</si>
  <si>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</si>
  <si>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</si>
  <si>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</si>
  <si>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</si>
  <si>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</si>
  <si>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</si>
  <si>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</si>
  <si>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</si>
  <si>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</si>
  <si>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</si>
  <si>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</si>
  <si>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</si>
  <si>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</si>
  <si>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</si>
  <si>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</si>
  <si>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</si>
  <si>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</si>
  <si>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</si>
  <si>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</si>
  <si>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</si>
  <si>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</si>
  <si>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</si>
  <si>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</si>
  <si>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</si>
  <si>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</si>
  <si>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</si>
  <si>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</si>
  <si>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</si>
  <si>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</si>
  <si>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</si>
  <si>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</si>
  <si>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</si>
  <si>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</si>
  <si>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</si>
  <si>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</si>
  <si>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</si>
  <si>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</si>
  <si>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</si>
  <si>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</si>
  <si>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</si>
  <si>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</si>
  <si>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</si>
  <si>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</si>
  <si>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</si>
  <si>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</si>
  <si>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</si>
  <si>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</si>
  <si>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</si>
  <si>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</si>
  <si>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</si>
  <si>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</si>
  <si>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</si>
  <si>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</si>
  <si>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</si>
  <si>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</si>
  <si>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</si>
  <si>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</si>
  <si>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</si>
  <si>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</si>
  <si>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</si>
  <si>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</si>
  <si>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</si>
  <si>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</si>
  <si>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</si>
  <si>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</si>
  <si>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</si>
  <si>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</si>
  <si>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</si>
  <si>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</si>
  <si>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</si>
  <si>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</si>
  <si>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</si>
  <si>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</si>
  <si>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</si>
  <si>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</si>
  <si>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</si>
  <si>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</si>
  <si>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</si>
  <si>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</si>
  <si>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</si>
  <si>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</si>
  <si>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</si>
  <si>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</si>
  <si>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</si>
  <si>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</si>
  <si>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</si>
  <si>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</si>
  <si>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</si>
  <si>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</si>
  <si>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</si>
  <si>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</si>
  <si>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</si>
  <si>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</si>
  <si>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</si>
  <si>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</si>
  <si>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</si>
  <si>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</si>
  <si>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</si>
  <si>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</si>
  <si>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</si>
  <si>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</si>
  <si>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</si>
  <si>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</si>
  <si>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</si>
  <si>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</si>
  <si>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</si>
  <si>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</si>
  <si>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</si>
  <si>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</si>
  <si>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</si>
  <si>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</si>
  <si>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</si>
  <si>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</si>
  <si>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</si>
  <si>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</si>
  <si>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</si>
  <si>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</si>
  <si>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</si>
  <si>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</si>
  <si>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</si>
  <si>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</si>
  <si>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</si>
  <si>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</si>
  <si>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</si>
  <si>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</si>
  <si>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</si>
  <si>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</si>
  <si>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</si>
  <si>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</si>
  <si>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</si>
  <si>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</si>
  <si>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</si>
  <si>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</si>
  <si>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</si>
  <si>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</si>
  <si>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</si>
  <si>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</si>
  <si>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</si>
  <si>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</si>
  <si>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</si>
  <si>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</si>
  <si>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</si>
  <si>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</si>
  <si>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</si>
  <si>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</si>
  <si>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</si>
  <si>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</si>
  <si>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</si>
  <si>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</si>
  <si>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</si>
  <si>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</si>
  <si>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</si>
  <si>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</si>
  <si>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</si>
  <si>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</si>
  <si>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</si>
  <si>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</si>
  <si>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</si>
  <si>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</si>
  <si>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</si>
  <si>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</si>
  <si>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</si>
  <si>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</si>
  <si>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</si>
  <si>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</si>
  <si>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</si>
  <si>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</si>
  <si>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</si>
  <si>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</si>
  <si>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</si>
  <si>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</si>
  <si>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</si>
  <si>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</si>
  <si>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</si>
  <si>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</si>
  <si>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</si>
  <si>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</si>
  <si>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</si>
  <si>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</si>
  <si>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</si>
  <si>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</si>
  <si>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</si>
  <si>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</si>
  <si>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</si>
  <si>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</si>
  <si>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</si>
  <si>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</si>
  <si>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</si>
  <si>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</si>
  <si>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</si>
  <si>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</si>
  <si>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</si>
  <si>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</si>
  <si>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</si>
  <si>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</si>
  <si>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</si>
  <si>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</si>
  <si>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</si>
  <si>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</si>
  <si>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</si>
  <si>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</si>
  <si>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</si>
  <si>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</si>
  <si>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</si>
  <si>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</si>
  <si>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</si>
  <si>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</si>
  <si>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</si>
  <si>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</si>
  <si>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</si>
  <si>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</si>
  <si>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</si>
  <si>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</si>
  <si>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</si>
  <si>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</si>
  <si>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</si>
  <si>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</si>
  <si>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</si>
  <si>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</si>
  <si>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</si>
  <si>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</si>
  <si>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</si>
  <si>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</si>
  <si>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</si>
  <si>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</si>
  <si>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</si>
  <si>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</si>
  <si>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</si>
  <si>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</si>
  <si>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</si>
  <si>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</si>
  <si>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</si>
  <si>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</si>
  <si>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</si>
  <si>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</si>
  <si>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</si>
  <si>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</si>
  <si>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</si>
  <si>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</si>
  <si>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</si>
  <si>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</si>
  <si>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</si>
  <si>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</si>
  <si>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</si>
  <si>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</si>
  <si>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</si>
  <si>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</si>
  <si>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</si>
  <si>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</si>
  <si>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</si>
  <si>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</si>
  <si>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</si>
  <si>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</si>
  <si>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</si>
  <si>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</si>
  <si>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</si>
  <si>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</si>
  <si>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</si>
  <si>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</si>
  <si>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</si>
  <si>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</si>
  <si>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</si>
  <si>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</si>
  <si>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</si>
  <si>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</si>
  <si>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</si>
  <si>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</si>
  <si>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</si>
  <si>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</si>
  <si>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</si>
  <si>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</si>
  <si>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</si>
  <si>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</si>
  <si>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</si>
  <si>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</si>
  <si>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</si>
  <si>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</si>
  <si>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</si>
  <si>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</si>
  <si>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</si>
  <si>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</si>
  <si>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</si>
  <si>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</si>
  <si>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</si>
  <si>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</si>
  <si>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</si>
  <si>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</si>
  <si>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</si>
  <si>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</si>
  <si>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</si>
  <si>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</si>
  <si>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</si>
  <si>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</si>
  <si>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</si>
  <si>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</si>
  <si>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</si>
  <si>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</si>
  <si>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</si>
  <si>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</si>
  <si>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</si>
  <si>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</si>
  <si>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</si>
  <si>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</si>
  <si>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</si>
  <si>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</si>
  <si>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</si>
  <si>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</si>
  <si>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</si>
  <si>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</si>
  <si>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</si>
  <si>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</si>
  <si>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</si>
  <si>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</si>
  <si>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</si>
  <si>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</si>
  <si>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</si>
  <si>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</si>
  <si>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</si>
  <si>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</si>
  <si>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</si>
  <si>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</si>
  <si>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</si>
  <si>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</si>
  <si>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</si>
  <si>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</si>
  <si>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</si>
  <si>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</si>
  <si>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</si>
  <si>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</si>
  <si>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</si>
  <si>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</si>
  <si>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</si>
  <si>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</si>
  <si>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</si>
  <si>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</si>
  <si>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</si>
  <si>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</si>
  <si>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</si>
  <si>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</si>
  <si>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</si>
  <si>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</si>
  <si>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</si>
  <si>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</si>
  <si>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</si>
  <si>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</si>
  <si>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</si>
  <si>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</si>
  <si>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</si>
  <si>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</si>
  <si>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</si>
  <si>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</si>
  <si>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</si>
  <si>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</si>
  <si>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</si>
  <si>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</si>
  <si>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</si>
  <si>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</si>
  <si>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</si>
  <si>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</si>
  <si>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</si>
  <si>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</si>
  <si>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Every tax figure the calculators and the plan use,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</si>
  <si>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Parameter</t>
  </si>
  <si>
    <t xml:space="preserve">2026 value</t>
  </si>
  <si>
    <t xml:space="preserve">Note</t>
  </si>
  <si>
    <t xml:space="preserve">Used in</t>
  </si>
  <si>
    <t xml:space="preserve">it.band</t>
  </si>
  <si>
    <t xml:space="preserve">Standard-rate band, single (40% starts above)</t>
  </si>
  <si>
    <t xml:space="preserve">Requires Verification</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</si>
  <si>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</si>
  <si>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</si>
  <si>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</si>
  <si>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</si>
  <si>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</si>
  <si>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</si>
  <si>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</si>
  <si>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</si>
  <si>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</si>
  <si>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</si>
  <si>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</si>
  <si>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</si>
  <si>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</si>
  <si>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</si>
  <si>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</si>
  <si>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</si>
  <si>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</si>
  <si>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</si>
  <si>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</si>
  <si>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</si>
  <si>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</si>
  <si>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</si>
  <si>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</si>
  <si>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</si>
  <si>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</si>
  <si>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</si>
  <si>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</si>
  <si>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</si>
  <si>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</si>
  <si>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</si>
  <si>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</si>
  <si>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</si>
  <si>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it.rent</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</si>
  <si>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</si>
  <si>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</si>
  <si>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</si>
  <si>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</si>
  <si>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</si>
  <si>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</si>
  <si>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extended to end-2028</t>
  </si>
  <si>
    <t xml:space="preserve">https://www.noonecasey.ie/irish-budget-2026/</t>
  </si>
  <si>
    <t xml:space="preserve">it.spccc</t>
  </si>
  <si>
    <t xml:space="preserve">Single Person Child Carer credit</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</si>
  <si>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</si>
  <si>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</si>
  <si>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</si>
  <si>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</si>
  <si>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</si>
  <si>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</si>
  <si>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</si>
  <si>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</si>
  <si>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</si>
  <si>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</si>
  <si>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</si>
  <si>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</si>
  <si>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</si>
  <si>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</si>
  <si>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</si>
  <si>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</si>
  <si>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</si>
  <si>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</si>
  <si>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</si>
  <si>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</si>
  <si>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</si>
  <si>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</si>
  <si>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</si>
  <si>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</si>
  <si>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</si>
  <si>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</si>
  <si>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</si>
  <si>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</si>
  <si>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</si>
  <si>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</si>
  <si>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</si>
  <si>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</si>
  <si>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</si>
  <si>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</si>
  <si>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</si>
  <si>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</si>
  <si>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</si>
  <si>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</si>
  <si>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</si>
  <si>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</si>
  <si>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</si>
  <si>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</si>
  <si>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</si>
  <si>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</si>
  <si>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</si>
  <si>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</si>
  <si>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</si>
  <si>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</si>
  <si>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</si>
  <si>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</si>
  <si>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</si>
  <si>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</si>
  <si>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</si>
  <si>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</si>
  <si>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</si>
  <si>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</si>
  <si>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</si>
  <si>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</si>
  <si>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</si>
  <si>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</si>
  <si>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</si>
  <si>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</si>
  <si>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</si>
  <si>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</si>
  <si>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</si>
  <si>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</si>
  <si>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</si>
  <si>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</si>
  <si>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 tax relief limits by age</t>
  </si>
  <si>
    <t xml:space="preserve">[[30, 0.15], [40, 0.2], [50, 0.25], [55, 0.3], [60, 0.35], [null, 0.4]]</t>
  </si>
  <si>
    <t xml:space="preserve">https://www.irishtaxhub.ie/blog/pension-contributions-income-tax-maximize-your-relief</t>
  </si>
  <si>
    <t xml:space="preserve">pen.earnCap</t>
  </si>
  <si>
    <t xml:space="preserve">pen.lsMaxPct</t>
  </si>
  <si>
    <t xml:space="preserve">Retirement lump sum: share of the fund</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</si>
  <si>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</si>
  <si>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</si>
  <si>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</si>
  <si>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</si>
  <si>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</si>
  <si>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</si>
  <si>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</si>
  <si>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</si>
  <si>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</si>
  <si>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</si>
  <si>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</si>
  <si>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</si>
  <si>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</si>
  <si>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</si>
  <si>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</si>
  <si>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</si>
  <si>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</si>
  <si>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</si>
  <si>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</si>
  <si>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</si>
  <si>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</si>
  <si>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</si>
  <si>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</si>
  <si>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</si>
  <si>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</si>
  <si>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</si>
  <si>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</si>
  <si>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</si>
  <si>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</si>
  <si>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</si>
  <si>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</si>
  <si>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</si>
  <si>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</si>
  <si>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</si>
  <si>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</si>
  <si>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</si>
  <si>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</si>
  <si>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</si>
  <si>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</si>
  <si>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</si>
  <si>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</si>
  <si>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</si>
  <si>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</si>
  <si>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</si>
  <si>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</si>
  <si>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</si>
  <si>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</si>
  <si>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</si>
  <si>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</si>
  <si>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</si>
  <si>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</si>
  <si>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</si>
  <si>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</si>
  <si>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Age</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</si>
  <si>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</si>
  <si>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</si>
  <si>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</si>
  <si>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</si>
  <si>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</si>
  <si>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</si>
  <si>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</si>
  <si>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</si>
  <si>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</si>
  <si>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</si>
  <si>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</si>
  <si>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</si>
  <si>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</si>
  <si>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</si>
  <si>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</si>
  <si>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</si>
  <si>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</si>
  <si>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</si>
  <si>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</si>
  <si>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</si>
  <si>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</si>
  <si>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</si>
  <si>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</si>
  <si>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</si>
  <si>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</si>
  <si>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</si>
  <si>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</si>
  <si>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</si>
  <si>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</si>
  <si>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</si>
  <si>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</si>
  <si>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</si>
  <si>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</si>
  <si>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</si>
  <si>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</si>
  <si>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</si>
  <si>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</si>
  <si>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</si>
  <si>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</si>
  <si>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</si>
  <si>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</si>
  <si>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</si>
  <si>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</si>
  <si>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</si>
  <si>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</si>
  <si>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</si>
  <si>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</si>
  <si>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</si>
  <si>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C29, C30, plan</t>
  </si>
  <si>
    <t xml:space="preserve">sav.deemed</t>
  </si>
  <si>
    <t xml:space="preserve">Deemed disposal period (years)</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</si>
  <si>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</si>
  <si>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</si>
  <si>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</si>
  <si>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</si>
  <si>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</si>
  <si>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</si>
  <si>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</si>
  <si>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</si>
  <si>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</si>
  <si>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</si>
  <si>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</si>
  <si>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</si>
  <si>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</si>
  <si>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</si>
  <si>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</si>
  <si>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</si>
  <si>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</si>
  <si>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</si>
  <si>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</si>
  <si>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</si>
  <si>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</si>
  <si>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</si>
  <si>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</si>
  <si>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Lti F T B</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</si>
  <si>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</si>
  <si>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</si>
  <si>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</si>
  <si>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</si>
  <si>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</si>
  <si>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</si>
  <si>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</si>
  <si>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home.htbMax</t>
  </si>
  <si>
    <t xml:space="preserve">Help to Buy: maximum relief</t>
  </si>
  <si>
    <t xml:space="preserve">immediate effect, Budget 2027 (scheme to 31 Dec 2029)</t>
  </si>
  <si>
    <t xml:space="preserve">infl.ie</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</si>
  <si>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</si>
  <si>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</si>
  <si>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</si>
  <si>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</si>
  <si>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</si>
  <si>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https://www.cso.ie</t>
  </si>
  <si>
    <t xml:space="preserve">guide.cardCap</t>
  </si>
  <si>
    <t xml:space="preserve">Guidance</t>
  </si>
  <si>
    <t xml:space="preserve">Card Cap</t>
  </si>
  <si>
    <t xml:space="preserve">2022</t>
  </si>
  <si>
    <t xml:space="preserve">guide.schemeEarliest</t>
  </si>
  <si>
    <t xml:space="preserve">Scheme Earliest</t>
  </si>
  <si>
    <t xml:space="preserve">cat.a.before</t>
  </si>
  <si>
    <t xml:space="preserve">Gift and inheritance tax (CAT)</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</si>
  <si>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</si>
  <si>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</si>
  <si>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</si>
  <si>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</si>
  <si>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C30</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</si>
  <si>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</si>
  <si>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</si>
  <si>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</si>
  <si>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</si>
  <si>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</si>
  <si>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</si>
  <si>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</si>
  <si>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</si>
  <si>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</si>
  <si>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</si>
  <si>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</si>
  <si>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</si>
  <si>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</si>
  <si>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</si>
  <si>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</si>
  <si>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</si>
  <si>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</si>
  <si>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</si>
  <si>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</si>
  <si>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</si>
  <si>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</si>
  <si>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</si>
  <si>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"Tax assumptions 2026".</t>
  </si>
  <si>
    <t xml:space="preserve">Input</t>
  </si>
  <si>
    <t xml:space="preserve">What it means</t>
  </si>
  <si>
    <t xml:space="preserve">Amount invested today (€)</t>
  </si>
  <si>
    <t xml:space="preserve">Current value of the holding</t>
  </si>
  <si>
    <t xml:space="preserve">What you paid in total, incl. fees (€)</t>
  </si>
  <si>
    <t xml:space="preserve">Your cost. Equal to the amount if you bought it today</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</si>
  <si>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</si>
  <si>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</si>
  <si>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</si>
  <si>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</si>
  <si>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</si>
  <si>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</si>
  <si>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</si>
  <si>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t>
  </si>
  <si>
    <t xml:space="preserve">Fund or ETF = exit tax; Shares held directly = CGT</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</si>
  <si>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</si>
  <si>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</si>
  <si>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</si>
  <si>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</si>
  <si>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</si>
  <si>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</si>
  <si>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</si>
  <si>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</si>
  <si>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Tax assumptions 2026)</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</si>
  <si>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</si>
  <si>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</si>
  <si>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</si>
  <si>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</si>
  <si>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</si>
  <si>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</si>
  <si>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</si>
  <si>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</si>
  <si>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</si>
  <si>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</si>
  <si>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</si>
  <si>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</si>
  <si>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</si>
  <si>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</si>
  <si>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</si>
  <si>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</si>
  <si>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</si>
  <si>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</si>
  <si>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</si>
  <si>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</si>
  <si>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</si>
  <si>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</si>
  <si>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</si>
  <si>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</si>
  <si>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</si>
  <si>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</si>
  <si>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</si>
  <si>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</si>
  <si>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</si>
  <si>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</si>
  <si>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</si>
  <si>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</si>
  <si>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</si>
  <si>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</si>
  <si>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</si>
  <si>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</si>
  <si>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</si>
  <si>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</si>
  <si>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</si>
  <si>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</si>
  <si>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</si>
  <si>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</si>
  <si>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</si>
  <si>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</si>
  <si>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</si>
  <si>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</si>
  <si>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"Tax assumptions 2026". Requires Verification items are marked there.</t>
  </si>
  <si>
    <t xml:space="preserve">A. You SELL an asset</t>
  </si>
  <si>
    <t xml:space="preserve">Type of asset</t>
  </si>
  <si>
    <t xml:space="preserve">Other property or land</t>
  </si>
  <si>
    <t xml:space="preserve">Choose the type: the tax is different for each</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</si>
  <si>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</si>
  <si>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</si>
  <si>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</si>
  <si>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</si>
  <si>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</si>
  <si>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</si>
  <si>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</si>
  <si>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</si>
  <si>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</si>
  <si>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</si>
  <si>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</si>
  <si>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</si>
  <si>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</si>
  <si>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Sale price less cost less allowable costs</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</si>
  <si>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</si>
  <si>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</si>
  <si>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</si>
  <si>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</si>
  <si>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</si>
  <si>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</si>
  <si>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</si>
  <si>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</si>
  <si>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</si>
  <si>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</si>
  <si>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</si>
  <si>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</si>
  <si>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</si>
  <si>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</si>
  <si>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</si>
  <si>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</si>
  <si>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</si>
  <si>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</si>
  <si>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</si>
  <si>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</si>
  <si>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</si>
  <si>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</si>
  <si>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Group A: child receiving from a parent</t>
  </si>
  <si>
    <t xml:space="preserve">Spouse or civil partner: exempt. Group A: child from parent. Group B: parent, brother, sister, niece, nephew, grandchild. Group C: everyone else</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</si>
  <si>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</si>
  <si>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</si>
  <si>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</si>
  <si>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</si>
  <si>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</si>
  <si>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</si>
  <si>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</si>
  <si>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</si>
  <si>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</si>
  <si>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Tax assumptions 2026.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</si>
  <si>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</si>
  <si>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</si>
  <si>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</si>
  <si>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</si>
  <si>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</si>
  <si>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</si>
  <si>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</si>
  <si>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</si>
  <si>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</si>
  <si>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</si>
  <si>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</si>
  <si>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</si>
  <si>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</si>
  <si>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Tax guide 2026: which tax, on what, when</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</si>
  <si>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</si>
  <si>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</si>
  <si>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</si>
  <si>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</si>
  <si>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</si>
  <si>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</si>
  <si>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</si>
  <si>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</si>
  <si>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</si>
  <si>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</si>
  <si>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</si>
  <si>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</si>
  <si>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</si>
  <si>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</si>
  <si>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</si>
  <si>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</si>
  <si>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</si>
  <si>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</si>
  <si>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</si>
  <si>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</si>
  <si>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</si>
  <si>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</si>
  <si>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</si>
  <si>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</si>
  <si>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</si>
  <si>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</si>
  <si>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</si>
  <si>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</si>
  <si>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</si>
  <si>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</si>
  <si>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</si>
  <si>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</si>
  <si>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</si>
  <si>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</si>
  <si>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</si>
  <si>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</si>
  <si>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</si>
  <si>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</si>
  <si>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</si>
  <si>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</si>
  <si>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</si>
  <si>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</si>
  <si>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</si>
  <si>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</si>
  <si>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</si>
  <si>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</si>
  <si>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</si>
  <si>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</si>
  <si>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</si>
  <si>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</si>
  <si>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</si>
  <si>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</si>
  <si>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</si>
  <si>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</si>
  <si>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</si>
  <si>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</si>
  <si>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</si>
  <si>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</si>
  <si>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</si>
  <si>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</si>
  <si>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</si>
  <si>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</si>
  <si>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</si>
  <si>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</si>
  <si>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</si>
  <si>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</si>
  <si>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</si>
  <si>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</si>
  <si>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</si>
  <si>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</si>
  <si>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</si>
  <si>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</si>
  <si>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</si>
  <si>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</si>
  <si>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</si>
  <si>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</si>
  <si>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</si>
  <si>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</si>
  <si>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</si>
  <si>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</si>
  <si>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</si>
  <si>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</si>
  <si>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</si>
  <si>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</si>
  <si>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</si>
  <si>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</si>
  <si>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</si>
  <si>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</si>
  <si>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</si>
  <si>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</si>
  <si>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</si>
  <si>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</si>
  <si>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</si>
  <si>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</si>
  <si>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</si>
  <si>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</si>
  <si>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</si>
  <si>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</si>
  <si>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</si>
  <si>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</si>
  <si>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</si>
  <si>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</si>
  <si>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</si>
  <si>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</si>
  <si>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</si>
  <si>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</si>
  <si>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</si>
  <si>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</si>
  <si>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</si>
  <si>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</si>
  <si>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</si>
  <si>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</si>
  <si>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</si>
  <si>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</si>
  <si>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</si>
  <si>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</si>
  <si>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</si>
  <si>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</si>
  <si>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</si>
  <si>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</si>
  <si>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</si>
  <si>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</si>
  <si>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</si>
  <si>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</si>
  <si>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</si>
  <si>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</si>
  <si>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</si>
  <si>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</si>
  <si>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</si>
  <si>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</si>
  <si>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</si>
  <si>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</si>
  <si>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</si>
  <si>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</si>
  <si>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</si>
  <si>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</si>
  <si>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</si>
  <si>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</si>
  <si>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</si>
  <si>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</si>
  <si>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</si>
  <si>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</si>
  <si>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</si>
  <si>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</si>
  <si>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</si>
  <si>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</si>
  <si>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</si>
  <si>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</si>
  <si>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</si>
  <si>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</si>
  <si>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</si>
  <si>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</si>
  <si>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</si>
  <si>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</si>
  <si>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</si>
  <si>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</si>
  <si>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</si>
  <si>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</si>
  <si>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</si>
  <si>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</si>
  <si>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</si>
  <si>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</si>
  <si>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</si>
  <si>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</si>
  <si>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</si>
  <si>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</si>
  <si>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</si>
  <si>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</si>
  <si>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</si>
  <si>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</si>
  <si>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</si>
  <si>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</si>
  <si>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</si>
  <si>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</si>
  <si>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</si>
  <si>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</si>
  <si>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</si>
  <si>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</si>
  <si>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</si>
  <si>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</si>
  <si>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</si>
  <si>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</si>
  <si>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</si>
  <si>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</si>
  <si>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</si>
  <si>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</si>
  <si>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</si>
  <si>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</si>
  <si>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</si>
  <si>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</si>
  <si>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</si>
  <si>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</si>
  <si>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</si>
  <si>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</si>
  <si>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</si>
  <si>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</si>
  <si>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</si>
  <si>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</si>
  <si>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</si>
  <si>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</si>
  <si>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</si>
  <si>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</si>
  <si>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</si>
  <si>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</si>
  <si>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Cash flow: where every euro comes from and goes (2026 rules)</t>
  </si>
  <si>
    <t xml:space="preserve">Sample customer from the prototype (age 37, retires at 63, income €58,000, living costs €3,600 a month). Each year is one row. Read left to right: INCOME by source, less TAX by type, less own pension contributions = NET INCOME; less LIVING COSTS and DEBT PAYMENTS = SURPLUS or SHORTFALL. Then what happens to the money: saved, spent, goals paid. Then the MONEY SOLD from each pot (after any tax) and the CLOSING BALANCE of each pot. Grey totals are formulas you can trace. Figures are values produced by the prototype engine (v3.0 with 2026 tax rules); change the customer in the app and re-export to refresh.</t>
  </si>
  <si>
    <t xml:space="preserve">WHEN</t>
  </si>
  <si>
    <t xml:space="preserve">INCOME BY SOURCE</t>
  </si>
  <si>
    <t xml:space="preserve">TAX</t>
  </si>
  <si>
    <t xml:space="preserve">NET INCOME</t>
  </si>
  <si>
    <t xml:space="preserve">SPENDING AND SURPLUS</t>
  </si>
  <si>
    <t xml:space="preserve">WHAT HAPPENS TO THE SURPLUS / SHORTFALL</t>
  </si>
  <si>
    <t xml:space="preserve">MONEY SOLD THIS YEAR (received after tax)</t>
  </si>
  <si>
    <t xml:space="preserve">TAX ON SALES AND 8-YEAR EVENTS</t>
  </si>
  <si>
    <t xml:space="preserve">CLOSING BALANCES</t>
  </si>
  <si>
    <t xml:space="preserve">CHECKS</t>
  </si>
  <si>
    <t xml:space="preserve">Phase</t>
  </si>
  <si>
    <t xml:space="preserve">Your pay</t>
  </si>
  <si>
    <t xml:space="preserve">Partner pay</t>
  </si>
  <si>
    <t xml:space="preserve">Pension / ARF withdrawals</t>
  </si>
  <si>
    <t xml:space="preserve">Other income (rent, policy, other)</t>
  </si>
  <si>
    <t xml:space="preserve">Total gross income</t>
  </si>
  <si>
    <t xml:space="preserve">Total tax</t>
  </si>
  <si>
    <t xml:space="preserve">Own pension contributions (from pay)</t>
  </si>
  <si>
    <t xml:space="preserve">Net income</t>
  </si>
  <si>
    <t xml:space="preserve">Net income check (engine)</t>
  </si>
  <si>
    <t xml:space="preserve">Living costs</t>
  </si>
  <si>
    <t xml:space="preserve">Debt payments</t>
  </si>
  <si>
    <t xml:space="preserve">Surplus / (shortfall)</t>
  </si>
  <si>
    <t xml:space="preserve">Saved towards goals</t>
  </si>
  <si>
    <t xml:space="preserve">Spent (not saved)</t>
  </si>
  <si>
    <t xml:space="preserve">Goal payments due this year</t>
  </si>
  <si>
    <t xml:space="preserve">Goal shortfall (not funded)</t>
  </si>
  <si>
    <t xml:space="preserve">From cash</t>
  </si>
  <si>
    <t xml:space="preserve">From savings accounts</t>
  </si>
  <si>
    <t xml:space="preserve">From investments</t>
  </si>
  <si>
    <t xml:space="preserve">From other assets</t>
  </si>
  <si>
    <t xml:space="preserve">From alternative investments</t>
  </si>
  <si>
    <t xml:space="preserve">Capital gains / exit tax on sales</t>
  </si>
  <si>
    <t xml:space="preserve">Exit tax at 8-year events (taken from funds)</t>
  </si>
  <si>
    <t xml:space="preserve">Savings accounts</t>
  </si>
  <si>
    <t xml:space="preserve">Investments (funds, shares)</t>
  </si>
  <si>
    <t xml:space="preserve">Other assets</t>
  </si>
  <si>
    <t xml:space="preserve">Alternative investments</t>
  </si>
  <si>
    <t xml:space="preserve">Emergency fund (ring-fenced)</t>
  </si>
  <si>
    <t xml:space="preserve">Goal pots</t>
  </si>
  <si>
    <t xml:space="preserve">Total liquid</t>
  </si>
  <si>
    <t xml:space="preserve">Total liquid check (engine)</t>
  </si>
  <si>
    <t xml:space="preserve">Pension fund</t>
  </si>
  <si>
    <t xml:space="preserve">Net income difference</t>
  </si>
  <si>
    <t xml:space="preserve">Working</t>
  </si>
  <si>
    <t xml:space="preserve">Retired</t>
  </si>
  <si>
    <t xml:space="preserve">How to read the sources: income is split by who or what pays it. A shortfall in living costs is met by selling assets in this order: cash, savings accounts, investments, other assets, alternative investments (the "MONEY SOLD" columns). Goals are paid from their own pot first, then the same order. The emergency fund is ring-fenced: only used for a shortfall in living costs. Investments in funds pay exit tax when sold and at each 8-year event; other assets and alternative investments pay CGT on the gain when sold (after losses and the €1,270 exemption).</t>
  </si>
  <si>
    <t xml:space="preserve">Tax events over the whole plan: exit tax at 8-year events €48,903; tax on sales €29,355.</t>
  </si>
  <si>
    <t xml:space="preserve">Everything the plan assumes, with its type. Law = set by Government (tax figures are in "Tax assumptions 2026"). Standard = LifeMap's suggested figure that the customer can change. Your choice = what the customer entered. Assumed = a planning figure we use because nothing better is known.</t>
  </si>
  <si>
    <t xml:space="preserve">What the plan assumes</t>
  </si>
  <si>
    <t xml:space="preserve">Type</t>
  </si>
  <si>
    <t xml:space="preserve">Rules</t>
  </si>
  <si>
    <t xml:space="preserve">Irish rules 2026 · checked 2 Oct 2026, with Budget 2027 changes applied from their dates</t>
  </si>
  <si>
    <t xml:space="preserve">Set by Government · 2026</t>
  </si>
  <si>
    <t xml:space="preserve">20% up to €44,000 (single; €53,000 married, plus up to €35,000 for a second income), 40% above. Personal credit €2,000 (€4,000 married), employee credit €2,000</t>
  </si>
  <si>
    <t xml:space="preserve">0.5% / 2% / 3% / 8% in bands; none if your income is €13,000 or less. The State Pension is exempt</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</si>
  <si>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</si>
  <si>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</si>
  <si>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</si>
  <si>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</si>
  <si>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</si>
  <si>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</si>
  <si>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</si>
  <si>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</si>
  <si>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</si>
  <si>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</si>
  <si>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</si>
  <si>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</si>
  <si>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</si>
  <si>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</si>
  <si>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</si>
  <si>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</si>
  <si>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</si>
  <si>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</si>
  <si>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</si>
  <si>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</si>
  <si>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</si>
  <si>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</si>
  <si>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</si>
  <si>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</si>
  <si>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</si>
  <si>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</si>
  <si>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</si>
  <si>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</si>
  <si>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</si>
  <si>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</si>
  <si>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</si>
  <si>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</si>
  <si>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</si>
  <si>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</si>
  <si>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</si>
  <si>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</si>
  <si>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</si>
  <si>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</si>
  <si>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</si>
  <si>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</si>
  <si>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</si>
  <si>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</si>
  <si>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€15,564 a year from 66 (you expect the full rate); taxable, no USC</t>
  </si>
  <si>
    <t xml:space="preserve">Usually €0–€299.30 a week</t>
  </si>
  <si>
    <t xml:space="preserve">Your partner's State Pension</t>
  </si>
  <si>
    <t xml:space="preserve">€239.44 a week (your figure)</t>
  </si>
  <si>
    <t xml:space="preserve">Rises with prices</t>
  </si>
  <si>
    <t xml:space="preserve">it has broadly kept pace with prices over time. Source: Department of Social Protection weekly State Pension rate history (2026).</t>
  </si>
  <si>
    <t xml:space="preserve">Rise with prices</t>
  </si>
  <si>
    <t xml:space="preserve">Budgets have broadly kept pace over time. Source: Department of Finance Budget history (tax bands and credits, 2015 to 2026) (2026).</t>
  </si>
  <si>
    <t xml:space="preserve">Age 63</t>
  </si>
  <si>
    <t xml:space="preserve">Age 95</t>
  </si>
  <si>
    <t xml:space="preserve">Plan starts</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</si>
  <si>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</si>
  <si>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</si>
  <si>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</si>
  <si>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</si>
  <si>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</si>
  <si>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</si>
  <si>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</si>
  <si>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</si>
  <si>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</si>
  <si>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</si>
  <si>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</si>
  <si>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</si>
  <si>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</si>
  <si>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</si>
  <si>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</si>
  <si>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</si>
  <si>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</si>
  <si>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</si>
  <si>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</si>
  <si>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</si>
  <si>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</si>
  <si>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</si>
  <si>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</si>
  <si>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</si>
  <si>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</si>
  <si>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</si>
  <si>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</si>
  <si>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</si>
  <si>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</si>
  <si>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</si>
  <si>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</si>
  <si>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</si>
  <si>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</si>
  <si>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</si>
  <si>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</si>
  <si>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</si>
  <si>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</si>
  <si>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</si>
  <si>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</si>
  <si>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</si>
  <si>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</si>
  <si>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</si>
  <si>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</si>
  <si>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</si>
  <si>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</si>
  <si>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(editable by the customer; the Settings sheet holds the same list)</t>
  </si>
  <si>
    <t xml:space="preserve">Group</t>
  </si>
  <si>
    <t xml:space="preserve">Basis</t>
  </si>
  <si>
    <t xml:space="preserve">Inflation: prices rise (a year)</t>
  </si>
  <si>
    <t xml:space="preserve">Cash savings earn (a year, after DIRT)</t>
  </si>
  <si>
    <t xml:space="preserve">Investments grow (a year, after charges and tax)</t>
  </si>
  <si>
    <t xml:space="preserve">a planning assumption, not a prediction: 5% before fees and tax, less about 1% charges, less 38% exit tax taken every 8 years</t>
  </si>
  <si>
    <t xml:space="preserve">Investments grow before fees and tax (a year; growth and fees tools)</t>
  </si>
  <si>
    <t xml:space="preserve">Pension grows while you work (a year, after charges)</t>
  </si>
  <si>
    <t xml:space="preserve">Pension grows once retired (a year, after charges)</t>
  </si>
  <si>
    <t xml:space="preserve">Rent vs buy: rent rises (a year)</t>
  </si>
  <si>
    <t xml:space="preserve">Rent vs buy: house prices rise (a year)</t>
  </si>
  <si>
    <t xml:space="preserve">Rent vs buy: upkeep a year (share of home value)</t>
  </si>
  <si>
    <t xml:space="preserve">Share of pension contributions you pay yourself</t>
  </si>
  <si>
    <t xml:space="preserve">Retirement savings target: times the yearly income needed</t>
  </si>
  <si>
    <t xml:space="preserve">Retirement spending if no goal (share of today's spending)</t>
  </si>
  <si>
    <t xml:space="preserve">Revenue Commissioners: pension benefits can usually be taken from age 60 (PRSAs and personal pensions); some occupational schemes allow retirement from 50 (see the law register)</t>
  </si>
  <si>
    <t xml:space="preserve">Tax-free lump sum to take (share of pension; law limit 25%)</t>
  </si>
  <si>
    <t xml:space="preserve">Emergency fund: months with two secure incomes</t>
  </si>
  <si>
    <t xml:space="preserve">How your investments are held</t>
  </si>
  <si>
    <t xml:space="preserve">fund</t>
  </si>
  <si>
    <t xml:space="preserve">most people hold funds or ETFs</t>
  </si>
  <si>
    <t xml:space="preserve">LifeMap planning standard. Funds and ETFs pay exit tax (with the 8-year rule); shares held directly pay capital gains tax when sold.</t>
  </si>
  <si>
    <t xml:space="preserve">Other assets and alternative investments: share of the value that is a gain</t>
  </si>
  <si>
    <t xml:space="preserve">a planning figure, because we do not know what you paid</t>
  </si>
  <si>
    <t xml:space="preserve">LifeMap planning standard. Capital gains tax applies to the gain only, not the whole value.</t>
  </si>
  <si>
    <t xml:space="preserve">Monthly saving if not answered</t>
  </si>
  <si>
    <t xml:space="preserve">Life cover: share of income the family needs</t>
  </si>
  <si>
    <t xml:space="preserve">Life cover: years of support</t>
  </si>
  <si>
    <t xml:space="preserve">Risk and return: growth a year, Cautious / Balanced / Growth</t>
  </si>
  <si>
    <t xml:space="preserve">[0.02,0.04,0.06]</t>
  </si>
  <si>
    <t xml:space="preserve">Risk and return: ups and downs (volatility), Cautious / Balanced / Growth</t>
  </si>
  <si>
    <t xml:space="preserve">[0.05,0.1,0.16]</t>
  </si>
  <si>
    <t xml:space="preserve">Budget split: needs / wants / savings and debt</t>
  </si>
  <si>
    <t xml:space="preserve">[0.5,0.3,0.2]</t>
  </si>
  <si>
    <t xml:space="preserve">How you draw your pension</t>
  </si>
  <si>
    <t xml:space="preserve">Drawdown tools: withdrawals taken at the</t>
  </si>
  <si>
    <t xml:space="preserve">Lump sum tool: years you might wait before investing</t>
  </si>
  <si>
    <t xml:space="preserve">Risk and return tool: investment style (1 Cautious, 2 Balanced, 3 Growth)</t>
  </si>
  <si>
    <t xml:space="preserve">Suggested mortgage rate</t>
  </si>
  <si>
    <t xml:space="preserve">Suggested personal and car loan rate (APR)</t>
  </si>
  <si>
    <t xml:space="preserve">Suggested credit card rate (APR)</t>
  </si>
  <si>
    <t xml:space="preserve">null</t>
  </si>
  <si>
    <t xml:space="preserve">Suggested deposit rate (fixed term, before 33% DIRT)</t>
  </si>
  <si>
    <t xml:space="preserve">Suggested buying fees (legal and survey)</t>
  </si>
  <si>
    <t xml:space="preserve">Suggested fund and pension charges (a year)</t>
  </si>
</sst>
</file>

<file path=xl/styles.xml><?xml version="1.0" encoding="utf-8"?>
<styleSheet xmlns="http://schemas.openxmlformats.org/spreadsheetml/2006/main">
  <numFmts count="20">
    <numFmt numFmtId="164" formatCode="General"/>
    <numFmt numFmtId="165" formatCode="\€#,##0"/>
    <numFmt numFmtId="166" formatCode="0.00%"/>
    <numFmt numFmtId="167" formatCode="General"/>
    <numFmt numFmtId="168" formatCode="0"/>
    <numFmt numFmtId="169" formatCode="0.0\×"/>
    <numFmt numFmtId="170" formatCode="dd\ mmm\ yyyy"/>
    <numFmt numFmtId="171" formatCode="0.0000%"/>
    <numFmt numFmtId="172" formatCode="0.0"/>
    <numFmt numFmtId="173" formatCode="0%"/>
    <numFmt numFmtId="174" formatCode="0.0%"/>
    <numFmt numFmtId="175" formatCode="\€#,##0.00"/>
    <numFmt numFmtId="176" formatCode="dd/mm/yyyy"/>
    <numFmt numFmtId="177" formatCode="#,##0"/>
    <numFmt numFmtId="178" formatCode="0.0000"/>
    <numFmt numFmtId="179" formatCode="0.00"/>
    <numFmt numFmtId="180" formatCode="0.000"/>
    <numFmt numFmtId="181" formatCode="#,##0.00"/>
    <numFmt numFmtId="182" formatCode="#,##0;[RED]\-#,##0"/>
    <numFmt numFmtId="183" formatCode="@"/>
  </numFmts>
  <fonts count="52">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0B2545"/>
      <name val="Cambria"/>
      <family val="0"/>
      <charset val="1"/>
    </font>
    <font>
      <b val="true"/>
      <sz val="11"/>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4">
    <fill>
      <patternFill patternType="none"/>
    </fill>
    <fill>
      <patternFill patternType="gray125"/>
    </fill>
    <fill>
      <patternFill patternType="solid">
        <fgColor rgb="FFFFF2CC"/>
        <bgColor rgb="FFFDE9D9"/>
      </patternFill>
    </fill>
    <fill>
      <patternFill patternType="solid">
        <fgColor rgb="FF1F3864"/>
        <bgColor rgb="FF1F4E79"/>
      </patternFill>
    </fill>
    <fill>
      <patternFill patternType="solid">
        <fgColor rgb="FFF2F2F2"/>
        <bgColor rgb="FFEEF2F6"/>
      </patternFill>
    </fill>
    <fill>
      <patternFill patternType="solid">
        <fgColor rgb="FFD9F2EE"/>
        <bgColor rgb="FFDDEBF7"/>
      </patternFill>
    </fill>
    <fill>
      <patternFill patternType="solid">
        <fgColor rgb="FFE2EFDA"/>
        <bgColor rgb="FFD9F2EE"/>
      </patternFill>
    </fill>
    <fill>
      <patternFill patternType="solid">
        <fgColor rgb="FFDDEBF7"/>
        <bgColor rgb="FFD9F2EE"/>
      </patternFill>
    </fill>
    <fill>
      <patternFill patternType="solid">
        <fgColor rgb="FFFCE4D6"/>
        <bgColor rgb="FFFDE9D9"/>
      </patternFill>
    </fill>
    <fill>
      <patternFill patternType="solid">
        <fgColor rgb="FF1F4E79"/>
        <bgColor rgb="FF1F3864"/>
      </patternFill>
    </fill>
    <fill>
      <patternFill patternType="solid">
        <fgColor rgb="FFEDEDED"/>
        <bgColor rgb="FFEEF2F6"/>
      </patternFill>
    </fill>
    <fill>
      <patternFill patternType="solid">
        <fgColor rgb="FF0B2545"/>
        <bgColor rgb="FF1F3864"/>
      </patternFill>
    </fill>
    <fill>
      <patternFill patternType="solid">
        <fgColor rgb="FFFDE9D9"/>
        <bgColor rgb="FFFCE4D6"/>
      </patternFill>
    </fill>
    <fill>
      <patternFill patternType="solid">
        <fgColor rgb="FFEEF2F6"/>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C9D3DD"/>
      </left>
      <right style="thin">
        <color rgb="FFC9D3DD"/>
      </right>
      <top style="thin">
        <color rgb="FFC9D3DD"/>
      </top>
      <bottom style="thin">
        <color rgb="FFC9D3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5" borderId="2"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false" indent="0" shrinkToFit="false"/>
      <protection locked="true" hidden="false"/>
    </xf>
    <xf numFmtId="165" fontId="27" fillId="2" borderId="1" xfId="0" applyFont="true" applyBorder="tru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5" fontId="30"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7" fillId="2" borderId="1" xfId="0" applyFont="true" applyBorder="true" applyAlignment="true" applyProtection="false">
      <alignment horizontal="right" vertical="bottom" textRotation="0" wrapText="false" indent="0" shrinkToFit="false"/>
      <protection locked="true" hidden="false"/>
    </xf>
    <xf numFmtId="164" fontId="30"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7" fillId="2" borderId="1" xfId="0" applyFont="true" applyBorder="true" applyAlignment="true" applyProtection="false">
      <alignment horizontal="right" vertical="bottom" textRotation="0" wrapText="false" indent="0" shrinkToFit="false"/>
      <protection locked="true" hidden="false"/>
    </xf>
    <xf numFmtId="167" fontId="31" fillId="0" borderId="0" xfId="0" applyFont="true" applyBorder="false" applyAlignment="true" applyProtection="false">
      <alignment horizontal="general" vertical="top" textRotation="0" wrapText="true" indent="0" shrinkToFit="false"/>
      <protection locked="true" hidden="false"/>
    </xf>
    <xf numFmtId="166" fontId="30"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8" fontId="27" fillId="2" borderId="1" xfId="0" applyFont="true" applyBorder="true" applyAlignment="true" applyProtection="false">
      <alignment horizontal="right" vertical="bottom" textRotation="0" wrapText="false" indent="0" shrinkToFit="false"/>
      <protection locked="true" hidden="false"/>
    </xf>
    <xf numFmtId="168" fontId="30" fillId="4" borderId="0" xfId="0" applyFont="true" applyBorder="false" applyAlignment="true" applyProtection="false">
      <alignment horizontal="right" vertical="bottom" textRotation="0" wrapText="false" indent="0" shrinkToFit="false"/>
      <protection locked="true" hidden="false"/>
    </xf>
    <xf numFmtId="168" fontId="14" fillId="0" borderId="0" xfId="0" applyFont="true" applyBorder="false" applyAlignment="true" applyProtection="false">
      <alignment horizontal="right" vertical="bottom" textRotation="0" wrapText="false" indent="0" shrinkToFit="false"/>
      <protection locked="true" hidden="false"/>
    </xf>
    <xf numFmtId="165" fontId="32" fillId="6" borderId="1" xfId="0" applyFont="true" applyBorder="true" applyAlignment="true" applyProtection="false">
      <alignment horizontal="right" vertical="bottom" textRotation="0" wrapText="false" indent="0" shrinkToFit="tru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9"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7"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8" fontId="12" fillId="4"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true" applyAlignment="true" applyProtection="false">
      <alignment horizontal="general" vertical="top" textRotation="0" wrapText="true" indent="0" shrinkToFit="false"/>
      <protection locked="true" hidden="false"/>
    </xf>
    <xf numFmtId="165" fontId="27" fillId="7" borderId="1" xfId="0" applyFont="true" applyBorder="true" applyAlignment="true" applyProtection="false">
      <alignment horizontal="right" vertical="bottom" textRotation="0" wrapText="false" indent="0" shrinkToFit="false"/>
      <protection locked="true" hidden="false"/>
    </xf>
    <xf numFmtId="166" fontId="27" fillId="7" borderId="1" xfId="0" applyFont="true" applyBorder="true" applyAlignment="true" applyProtection="false">
      <alignment horizontal="right" vertical="bottom" textRotation="0" wrapText="false" indent="0" shrinkToFit="false"/>
      <protection locked="true" hidden="false"/>
    </xf>
    <xf numFmtId="168" fontId="27" fillId="7" borderId="1" xfId="0" applyFont="true" applyBorder="true" applyAlignment="true" applyProtection="false">
      <alignment horizontal="right" vertical="bottom" textRotation="0" wrapText="false" indent="0" shrinkToFit="false"/>
      <protection locked="true" hidden="false"/>
    </xf>
    <xf numFmtId="170" fontId="27" fillId="7"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8" fontId="12" fillId="4" borderId="1" xfId="0" applyFont="true" applyBorder="true" applyAlignment="true" applyProtection="false">
      <alignment horizontal="right" vertical="bottom" textRotation="0" wrapText="false" indent="0" shrinkToFit="false"/>
      <protection locked="true" hidden="false"/>
    </xf>
    <xf numFmtId="168" fontId="32" fillId="6" borderId="1" xfId="0" applyFont="true" applyBorder="true" applyAlignment="true" applyProtection="false">
      <alignment horizontal="right" vertical="bottom" textRotation="0" wrapText="false" indent="0" shrinkToFit="true"/>
      <protection locked="true" hidden="false"/>
    </xf>
    <xf numFmtId="167" fontId="12" fillId="0" borderId="0" xfId="0" applyFont="true" applyBorder="false" applyAlignment="true" applyProtection="false">
      <alignment horizontal="general" vertical="bottom" textRotation="0" wrapText="tru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7" fontId="10"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2" fontId="32" fillId="6" borderId="1" xfId="0" applyFont="true" applyBorder="true" applyAlignment="true" applyProtection="false">
      <alignment horizontal="right" vertical="bottom" textRotation="0" wrapText="false" indent="0" shrinkToFit="true"/>
      <protection locked="true" hidden="false"/>
    </xf>
    <xf numFmtId="164" fontId="27" fillId="7" borderId="1" xfId="0" applyFont="true" applyBorder="tru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7" fillId="8" borderId="0" xfId="0" applyFont="true" applyBorder="true" applyAlignment="true" applyProtection="false">
      <alignment horizontal="general" vertical="bottom" textRotation="0" wrapText="false" indent="0" shrinkToFit="false"/>
      <protection locked="true" hidden="false"/>
    </xf>
    <xf numFmtId="173" fontId="27" fillId="2" borderId="1" xfId="0" applyFont="true" applyBorder="true" applyAlignment="true" applyProtection="false">
      <alignment horizontal="right" vertical="bottom" textRotation="0" wrapText="false" indent="0" shrinkToFit="false"/>
      <protection locked="true" hidden="false"/>
    </xf>
    <xf numFmtId="173" fontId="30" fillId="4" borderId="0" xfId="0" applyFont="true" applyBorder="false" applyAlignment="true" applyProtection="false">
      <alignment horizontal="right" vertical="bottom" textRotation="0" wrapText="false" indent="0" shrinkToFit="false"/>
      <protection locked="true" hidden="false"/>
    </xf>
    <xf numFmtId="173" fontId="14" fillId="0" borderId="0" xfId="0" applyFont="true" applyBorder="false" applyAlignment="true" applyProtection="false">
      <alignment horizontal="right" vertical="bottom" textRotation="0" wrapText="false" indent="0" shrinkToFit="false"/>
      <protection locked="true" hidden="false"/>
    </xf>
    <xf numFmtId="174"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8"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1" fontId="32" fillId="6" borderId="1" xfId="0" applyFont="true" applyBorder="true" applyAlignment="true" applyProtection="false">
      <alignment horizontal="right" vertical="bottom" textRotation="0" wrapText="false" indent="0" shrinkToFit="true"/>
      <protection locked="true" hidden="false"/>
    </xf>
    <xf numFmtId="175" fontId="27" fillId="2" borderId="1" xfId="0" applyFont="true" applyBorder="true" applyAlignment="true" applyProtection="false">
      <alignment horizontal="right" vertical="bottom" textRotation="0" wrapText="false" indent="0" shrinkToFit="false"/>
      <protection locked="true" hidden="false"/>
    </xf>
    <xf numFmtId="175" fontId="30" fillId="4" borderId="0" xfId="0" applyFont="true" applyBorder="false" applyAlignment="true" applyProtection="false">
      <alignment horizontal="right" vertical="bottom" textRotation="0" wrapText="false" indent="0" shrinkToFit="false"/>
      <protection locked="true" hidden="false"/>
    </xf>
    <xf numFmtId="175" fontId="14" fillId="0" borderId="0" xfId="0" applyFont="true" applyBorder="false" applyAlignment="true" applyProtection="false">
      <alignment horizontal="right" vertical="bottom" textRotation="0" wrapText="false" indent="0" shrinkToFit="false"/>
      <protection locked="true" hidden="false"/>
    </xf>
    <xf numFmtId="172" fontId="10" fillId="4" borderId="1" xfId="0" applyFont="true" applyBorder="true" applyAlignment="true" applyProtection="false">
      <alignment horizontal="right" vertical="bottom" textRotation="0" wrapText="false" indent="0" shrinkToFit="tru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7" fontId="39" fillId="0" borderId="0" xfId="0" applyFont="true" applyBorder="true" applyAlignment="true" applyProtection="false">
      <alignment horizontal="general" vertical="top" textRotation="0" wrapText="true" indent="0" shrinkToFit="false"/>
      <protection locked="true" hidden="false"/>
    </xf>
    <xf numFmtId="164" fontId="40" fillId="9" borderId="0" xfId="0" applyFont="true" applyBorder="false" applyAlignment="true" applyProtection="false">
      <alignment horizontal="general" vertical="bottom" textRotation="0" wrapText="false" indent="0" shrinkToFit="false"/>
      <protection locked="true" hidden="false"/>
    </xf>
    <xf numFmtId="164" fontId="41" fillId="2"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6" fontId="41" fillId="2"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4" fontId="18" fillId="0" borderId="0" xfId="0" applyFont="true" applyBorder="false" applyAlignment="true" applyProtection="false">
      <alignment horizontal="general" vertical="bottom" textRotation="0" wrapText="false" indent="0" shrinkToFit="false"/>
      <protection locked="true" hidden="false"/>
    </xf>
    <xf numFmtId="177" fontId="18" fillId="0" borderId="0" xfId="0" applyFont="true" applyBorder="false" applyAlignment="true" applyProtection="false">
      <alignment horizontal="general" vertical="bottom" textRotation="0" wrapText="false" indent="0" shrinkToFit="false"/>
      <protection locked="true" hidden="false"/>
    </xf>
    <xf numFmtId="164" fontId="40" fillId="9" borderId="0" xfId="0" applyFont="true" applyBorder="false" applyAlignment="true" applyProtection="false">
      <alignment horizontal="general" vertical="top" textRotation="0" wrapText="true" indent="0" shrinkToFit="false"/>
      <protection locked="true" hidden="false"/>
    </xf>
    <xf numFmtId="165" fontId="0" fillId="7" borderId="0" xfId="0" applyFont="false" applyBorder="false" applyAlignment="true" applyProtection="false">
      <alignment horizontal="general" vertical="bottom" textRotation="0" wrapText="false" indent="0" shrinkToFit="false"/>
      <protection locked="true" hidden="false"/>
    </xf>
    <xf numFmtId="173" fontId="0" fillId="7" borderId="0" xfId="0" applyFont="fals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74" fontId="0" fillId="7" borderId="0" xfId="0" applyFont="false" applyBorder="false" applyAlignment="true" applyProtection="false">
      <alignment horizontal="general" vertical="bottom" textRotation="0" wrapText="false" indent="0" shrinkToFit="false"/>
      <protection locked="true" hidden="false"/>
    </xf>
    <xf numFmtId="168" fontId="0" fillId="7" borderId="0" xfId="0" applyFont="false" applyBorder="false" applyAlignment="true" applyProtection="false">
      <alignment horizontal="general" vertical="bottom" textRotation="0" wrapText="false" indent="0" shrinkToFit="false"/>
      <protection locked="true" hidden="false"/>
    </xf>
    <xf numFmtId="175" fontId="0" fillId="7" borderId="0" xfId="0" applyFont="false" applyBorder="false" applyAlignment="true" applyProtection="false">
      <alignment horizontal="general" vertical="bottom" textRotation="0" wrapText="false" indent="0" shrinkToFit="false"/>
      <protection locked="true" hidden="false"/>
    </xf>
    <xf numFmtId="176" fontId="0" fillId="7" borderId="0" xfId="0" applyFont="false" applyBorder="false" applyAlignment="true" applyProtection="false">
      <alignment horizontal="general" vertical="bottom" textRotation="0" wrapText="false" indent="0" shrinkToFit="false"/>
      <protection locked="true" hidden="false"/>
    </xf>
    <xf numFmtId="177" fontId="0" fillId="7" borderId="0" xfId="0" applyFont="false" applyBorder="false" applyAlignment="true" applyProtection="false">
      <alignment horizontal="general" vertical="bottom" textRotation="0" wrapText="false" indent="0" shrinkToFit="false"/>
      <protection locked="true" hidden="false"/>
    </xf>
    <xf numFmtId="166" fontId="0" fillId="7" borderId="0" xfId="0" applyFont="false" applyBorder="false" applyAlignment="true" applyProtection="false">
      <alignment horizontal="general" vertical="bottom" textRotation="0" wrapText="false" indent="0" shrinkToFit="false"/>
      <protection locked="true" hidden="false"/>
    </xf>
    <xf numFmtId="167" fontId="0" fillId="10" borderId="0" xfId="0" applyFont="fals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4" fontId="41" fillId="10"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8"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1" fontId="10" fillId="4" borderId="1" xfId="0" applyFont="true" applyBorder="tru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5" fontId="10" fillId="4" borderId="1" xfId="0" applyFont="true" applyBorder="true" applyAlignment="true" applyProtection="false">
      <alignment horizontal="general" vertical="bottom" textRotation="0" wrapText="false" indent="0" shrinkToFit="false"/>
      <protection locked="true" hidden="false"/>
    </xf>
    <xf numFmtId="175" fontId="6" fillId="6" borderId="1" xfId="0" applyFont="true" applyBorder="true" applyAlignment="true" applyProtection="false">
      <alignment horizontal="general" vertical="bottom" textRotation="0" wrapText="false" indent="0" shrinkToFit="false"/>
      <protection locked="true" hidden="false"/>
    </xf>
    <xf numFmtId="173" fontId="6" fillId="6"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43" fillId="4" borderId="0" xfId="0" applyFont="true" applyBorder="false" applyAlignment="true" applyProtection="false">
      <alignment horizontal="general" vertical="bottom" textRotation="0" wrapText="true" indent="0" shrinkToFit="false"/>
      <protection locked="true" hidden="false"/>
    </xf>
    <xf numFmtId="175" fontId="14"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0" fillId="9" borderId="0" xfId="0" applyFont="true" applyBorder="false" applyAlignment="true" applyProtection="false">
      <alignment horizontal="general" vertical="bottom" textRotation="0" wrapText="true" indent="0" shrinkToFit="false"/>
      <protection locked="true" hidden="false"/>
    </xf>
    <xf numFmtId="177" fontId="41" fillId="2" borderId="0" xfId="0" applyFont="true" applyBorder="false" applyAlignment="true" applyProtection="false">
      <alignment horizontal="general" vertical="bottom" textRotation="0" wrapText="false" indent="0" shrinkToFit="false"/>
      <protection locked="true" hidden="false"/>
    </xf>
    <xf numFmtId="174" fontId="41" fillId="2" borderId="0" xfId="0" applyFont="true" applyBorder="false" applyAlignment="true" applyProtection="false">
      <alignment horizontal="general" vertical="bottom" textRotation="0" wrapText="false" indent="0" shrinkToFit="false"/>
      <protection locked="true" hidden="false"/>
    </xf>
    <xf numFmtId="177" fontId="0" fillId="6" borderId="0" xfId="0" applyFont="false" applyBorder="false" applyAlignment="true" applyProtection="false">
      <alignment horizontal="general" vertical="bottom" textRotation="0" wrapText="false" indent="0" shrinkToFit="false"/>
      <protection locked="true" hidden="false"/>
    </xf>
    <xf numFmtId="174" fontId="0" fillId="6" borderId="0" xfId="0" applyFont="false" applyBorder="false" applyAlignment="true" applyProtection="false">
      <alignment horizontal="general" vertical="bottom" textRotation="0" wrapText="false" indent="0" shrinkToFit="false"/>
      <protection locked="true" hidden="false"/>
    </xf>
    <xf numFmtId="177" fontId="0" fillId="10" borderId="0" xfId="0" applyFont="false" applyBorder="false" applyAlignment="true" applyProtection="false">
      <alignment horizontal="general" vertical="bottom" textRotation="0" wrapText="false" indent="0" shrinkToFit="false"/>
      <protection locked="true" hidden="false"/>
    </xf>
    <xf numFmtId="174" fontId="0" fillId="10" borderId="0" xfId="0" applyFont="false" applyBorder="false" applyAlignment="true" applyProtection="false">
      <alignment horizontal="general" vertical="bottom" textRotation="0" wrapText="false" indent="0" shrinkToFit="false"/>
      <protection locked="true" hidden="false"/>
    </xf>
    <xf numFmtId="166" fontId="0" fillId="6" borderId="0" xfId="0" applyFont="false" applyBorder="false" applyAlignment="true" applyProtection="false">
      <alignment horizontal="general" vertical="bottom" textRotation="0" wrapText="false" indent="0" shrinkToFit="false"/>
      <protection locked="true" hidden="false"/>
    </xf>
    <xf numFmtId="164" fontId="20" fillId="10" borderId="0" xfId="0" applyFont="true" applyBorder="false" applyAlignment="true" applyProtection="false">
      <alignment horizontal="general" vertical="bottom" textRotation="0" wrapText="false" indent="0" shrinkToFit="false"/>
      <protection locked="true" hidden="false"/>
    </xf>
    <xf numFmtId="174" fontId="48" fillId="10" borderId="0" xfId="0" applyFont="true" applyBorder="false" applyAlignment="true" applyProtection="false">
      <alignment horizontal="general" vertical="bottom" textRotation="0" wrapText="false" indent="0" shrinkToFit="false"/>
      <protection locked="true" hidden="false"/>
    </xf>
    <xf numFmtId="173" fontId="41" fillId="2"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7" fontId="16" fillId="0" borderId="0" xfId="0" applyFont="true" applyBorder="true" applyAlignment="true" applyProtection="false">
      <alignment horizontal="general" vertical="top" textRotation="0" wrapText="tru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top" textRotation="0" wrapText="tru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1"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5" fontId="12" fillId="4" borderId="1" xfId="0" applyFont="true" applyBorder="true" applyAlignment="true" applyProtection="false">
      <alignment horizontal="general" vertical="bottom" textRotation="0" wrapText="false" indent="0" shrinkToFit="false"/>
      <protection locked="true" hidden="false"/>
    </xf>
    <xf numFmtId="169" fontId="12" fillId="4" borderId="1" xfId="0" applyFont="true" applyBorder="true" applyAlignment="true" applyProtection="false">
      <alignment horizontal="general" vertical="bottom" textRotation="0" wrapText="false" indent="0" shrinkToFit="false"/>
      <protection locked="true" hidden="false"/>
    </xf>
    <xf numFmtId="180" fontId="12" fillId="4" borderId="1" xfId="0" applyFont="true" applyBorder="true" applyAlignment="true" applyProtection="false">
      <alignment horizontal="general" vertical="bottom" textRotation="0" wrapText="false" indent="0" shrinkToFit="false"/>
      <protection locked="true" hidden="false"/>
    </xf>
    <xf numFmtId="177" fontId="12" fillId="4" borderId="1" xfId="0" applyFont="true" applyBorder="tru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0" fillId="11" borderId="2" xfId="0" applyFont="true" applyBorder="true" applyAlignment="true" applyProtection="false">
      <alignment horizontal="general" vertical="center" textRotation="0" wrapText="true" indent="0" shrinkToFit="false"/>
      <protection locked="true" hidden="false"/>
    </xf>
    <xf numFmtId="177" fontId="0" fillId="0" borderId="2" xfId="0" applyFont="false" applyBorder="true" applyAlignment="true" applyProtection="false">
      <alignment horizontal="general" vertical="top" textRotation="0" wrapText="true" indent="0" shrinkToFit="false"/>
      <protection locked="true" hidden="false"/>
    </xf>
    <xf numFmtId="164" fontId="0" fillId="12" borderId="2" xfId="0" applyFont="true" applyBorder="true" applyAlignment="true" applyProtection="false">
      <alignment horizontal="general" vertical="top" textRotation="0" wrapText="true" indent="0" shrinkToFit="false"/>
      <protection locked="true" hidden="false"/>
    </xf>
    <xf numFmtId="166" fontId="0" fillId="0" borderId="2" xfId="0" applyFont="false" applyBorder="true" applyAlignment="true" applyProtection="false">
      <alignment horizontal="general" vertical="top" textRotation="0" wrapText="true" indent="0" shrinkToFit="false"/>
      <protection locked="true" hidden="false"/>
    </xf>
    <xf numFmtId="181" fontId="0" fillId="0" borderId="2" xfId="0" applyFont="false" applyBorder="true" applyAlignment="true" applyProtection="false">
      <alignment horizontal="general" vertical="top" textRotation="0" wrapText="true" indent="0" shrinkToFit="false"/>
      <protection locked="true" hidden="false"/>
    </xf>
    <xf numFmtId="164" fontId="20" fillId="0" borderId="2" xfId="0" applyFont="true" applyBorder="true" applyAlignment="true" applyProtection="false">
      <alignment horizontal="general" vertical="top" textRotation="0" wrapText="true" indent="0" shrinkToFit="false"/>
      <protection locked="true" hidden="false"/>
    </xf>
    <xf numFmtId="182" fontId="0" fillId="2" borderId="2" xfId="0" applyFont="false" applyBorder="true" applyAlignment="false" applyProtection="false">
      <alignment horizontal="general" vertical="bottom" textRotation="0" wrapText="false" indent="0" shrinkToFit="false"/>
      <protection locked="true" hidden="false"/>
    </xf>
    <xf numFmtId="174" fontId="0" fillId="2" borderId="2" xfId="0" applyFont="false" applyBorder="true" applyAlignment="false" applyProtection="false">
      <alignment horizontal="general" vertical="bottom" textRotation="0" wrapText="false" indent="0" shrinkToFit="false"/>
      <protection locked="true" hidden="false"/>
    </xf>
    <xf numFmtId="168" fontId="0" fillId="2" borderId="2" xfId="0" applyFont="false" applyBorder="true" applyAlignment="false" applyProtection="false">
      <alignment horizontal="general" vertical="bottom" textRotation="0" wrapText="false" indent="0" shrinkToFit="false"/>
      <protection locked="true" hidden="false"/>
    </xf>
    <xf numFmtId="183" fontId="0" fillId="2" borderId="2" xfId="0" applyFont="true" applyBorder="true" applyAlignment="false" applyProtection="false">
      <alignment horizontal="general" vertical="bottom" textRotation="0" wrapText="false" indent="0" shrinkToFit="false"/>
      <protection locked="true" hidden="false"/>
    </xf>
    <xf numFmtId="170" fontId="0" fillId="2" borderId="2" xfId="0" applyFont="false" applyBorder="true" applyAlignment="false" applyProtection="false">
      <alignment horizontal="general" vertical="bottom" textRotation="0" wrapText="false" indent="0" shrinkToFit="false"/>
      <protection locked="true" hidden="false"/>
    </xf>
    <xf numFmtId="174" fontId="0" fillId="0" borderId="2" xfId="0" applyFont="false" applyBorder="true" applyAlignment="false" applyProtection="false">
      <alignment horizontal="general" vertical="bottom" textRotation="0" wrapText="false" indent="0" shrinkToFit="false"/>
      <protection locked="true" hidden="false"/>
    </xf>
    <xf numFmtId="168" fontId="0" fillId="0" borderId="2" xfId="0" applyFont="false" applyBorder="true" applyAlignment="false" applyProtection="false">
      <alignment horizontal="general" vertical="bottom" textRotation="0" wrapText="false" indent="0" shrinkToFit="false"/>
      <protection locked="true" hidden="false"/>
    </xf>
    <xf numFmtId="182" fontId="0" fillId="0" borderId="2" xfId="0" applyFont="false" applyBorder="true" applyAlignment="false" applyProtection="false">
      <alignment horizontal="general" vertical="bottom" textRotation="0" wrapText="fals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0" fillId="11" borderId="2" xfId="0" applyFont="true" applyBorder="true" applyAlignment="true" applyProtection="false">
      <alignment horizontal="general" vertical="top" textRotation="0" wrapText="true" indent="0" shrinkToFit="false"/>
      <protection locked="true" hidden="false"/>
    </xf>
    <xf numFmtId="182" fontId="0" fillId="13" borderId="2" xfId="0" applyFont="false" applyBorder="true" applyAlignment="false" applyProtection="false">
      <alignment horizontal="general" vertical="bottom" textRotation="0" wrapText="false" indent="0" shrinkToFit="false"/>
      <protection locked="true" hidden="false"/>
    </xf>
    <xf numFmtId="174" fontId="0" fillId="13" borderId="2" xfId="0" applyFont="false" applyBorder="true" applyAlignment="fals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0" fillId="2" borderId="2" xfId="0" applyFont="true" applyBorder="true" applyAlignment="false" applyProtection="false">
      <alignment horizontal="general" vertical="bottom" textRotation="0" wrapText="false" indent="0" shrinkToFit="false"/>
      <protection locked="true" hidden="false"/>
    </xf>
    <xf numFmtId="182" fontId="20" fillId="13" borderId="2"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0" fillId="5"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008080"/>
      <rgbColor rgb="FF0000FF"/>
      <rgbColor rgb="FF00CCFF"/>
      <rgbColor rgb="FFDDEBF7"/>
      <rgbColor rgb="FFE2EFDA"/>
      <rgbColor rgb="FFFDE9D9"/>
      <rgbColor rgb="FFEDEDED"/>
      <rgbColor rgb="FFFCE4D6"/>
      <rgbColor rgb="FFEEF2F6"/>
      <rgbColor rgb="FFFFC7CE"/>
      <rgbColor rgb="FF2E75B6"/>
      <rgbColor rgb="FF33CCCC"/>
      <rgbColor rgb="FF99CC00"/>
      <rgbColor rgb="FFFFCC00"/>
      <rgbColor rgb="FFFF9900"/>
      <rgbColor rgb="FFFF6600"/>
      <rgbColor rgb="FF595959"/>
      <rgbColor rgb="FF7F7F7F"/>
      <rgbColor rgb="FF0B2545"/>
      <rgbColor rgb="FF339966"/>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8.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9.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0.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1.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2.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3.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4.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5.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6.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7.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8.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9.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0.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1.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2.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3.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4.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5.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6.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7.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8.vml"/>
</Relationships>
</file>

<file path=xl/worksheets/_rels/sheet39.xml.rels><?xml version="1.0" encoding="UTF-8"?>
<Relationships xmlns="http://schemas.openxmlformats.org/package/2006/relationships"><Relationship Id="rId1" Type="http://schemas.openxmlformats.org/officeDocument/2006/relationships/drawing" Target="../drawings/drawing1.xml"/>
</Relationships>
</file>

<file path=xl/worksheets/_rels/sheet40.xml.rels><?xml version="1.0" encoding="UTF-8"?>
<Relationships xmlns="http://schemas.openxmlformats.org/package/2006/relationships"><Relationship Id="rId1" Type="http://schemas.openxmlformats.org/officeDocument/2006/relationships/comments" Target="../comments40.xml"/><Relationship Id="rId2" Type="http://schemas.openxmlformats.org/officeDocument/2006/relationships/vmlDrawing" Target="../drawings/vmlDrawing29.vml"/>
</Relationships>
</file>

<file path=xl/worksheets/_rels/sheet4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19.7" hidden="false" customHeight="false" outlineLevel="0" collapsed="false">
      <c r="A1" s="24" t="s">
        <v>218</v>
      </c>
    </row>
    <row r="3" customFormat="false" ht="31.5" hidden="false" customHeight="true" outlineLevel="0" collapsed="false">
      <c r="A3" s="25" t="s">
        <v>219</v>
      </c>
      <c r="B3" s="26" t="s">
        <v>220</v>
      </c>
    </row>
    <row r="4" customFormat="false" ht="31.5" hidden="false" customHeight="true" outlineLevel="0" collapsed="false">
      <c r="A4" s="25" t="s">
        <v>221</v>
      </c>
      <c r="B4" s="26" t="s">
        <v>222</v>
      </c>
    </row>
    <row r="5" customFormat="false" ht="31.5" hidden="false" customHeight="true" outlineLevel="0" collapsed="false">
      <c r="A5" s="25" t="s">
        <v>223</v>
      </c>
      <c r="B5" s="26" t="s">
        <v>224</v>
      </c>
    </row>
    <row r="6" customFormat="false" ht="31.5" hidden="false" customHeight="true" outlineLevel="0" collapsed="false">
      <c r="A6" s="25" t="s">
        <v>225</v>
      </c>
      <c r="B6" s="26" t="s">
        <v>226</v>
      </c>
    </row>
    <row r="7" customFormat="false" ht="31.5" hidden="false" customHeight="true" outlineLevel="0" collapsed="false">
      <c r="A7" s="25" t="s">
        <v>227</v>
      </c>
      <c r="B7" s="26" t="s">
        <v>228</v>
      </c>
    </row>
    <row r="8" customFormat="false" ht="48" hidden="false" customHeight="true" outlineLevel="0" collapsed="false">
      <c r="A8" s="25" t="s">
        <v>229</v>
      </c>
      <c r="B8" s="26" t="s">
        <v>230</v>
      </c>
    </row>
    <row r="9" customFormat="false" ht="31.5" hidden="false" customHeight="true" outlineLevel="0" collapsed="false">
      <c r="A9" s="25" t="s">
        <v>231</v>
      </c>
      <c r="B9" s="26" t="s">
        <v>232</v>
      </c>
    </row>
    <row r="10" customFormat="false" ht="48" hidden="false" customHeight="true" outlineLevel="0" collapsed="false">
      <c r="A10" s="25" t="s">
        <v>233</v>
      </c>
      <c r="B10" s="26" t="s">
        <v>234</v>
      </c>
    </row>
    <row r="11" customFormat="false" ht="127.5" hidden="false" customHeight="true" outlineLevel="0" collapsed="false">
      <c r="A11" s="25" t="s">
        <v>235</v>
      </c>
      <c r="B11" s="26" t="s">
        <v>236</v>
      </c>
    </row>
    <row r="12" customFormat="false" ht="48" hidden="false" customHeight="true" outlineLevel="0" collapsed="false">
      <c r="A12" s="25" t="s">
        <v>237</v>
      </c>
      <c r="B12" s="26" t="s">
        <v>238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239</v>
      </c>
      <c r="E1" s="3" t="s">
        <v>240</v>
      </c>
    </row>
    <row r="2" customFormat="false" ht="15" hidden="false" customHeight="true" outlineLevel="0" collapsed="false">
      <c r="B2" s="28" t="s">
        <v>241</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242</v>
      </c>
      <c r="C5" s="31" t="s">
        <v>243</v>
      </c>
      <c r="D5" s="31" t="s">
        <v>244</v>
      </c>
      <c r="E5" s="31" t="s">
        <v>245</v>
      </c>
      <c r="F5" s="32" t="s">
        <v>246</v>
      </c>
      <c r="G5" s="16"/>
    </row>
    <row r="6" customFormat="false" ht="21.75" hidden="false" customHeight="true" outlineLevel="0" collapsed="false">
      <c r="B6" s="9" t="s">
        <v>247</v>
      </c>
      <c r="C6" s="33"/>
      <c r="D6" s="34" t="s">
        <v>248</v>
      </c>
      <c r="E6" s="35" t="s">
        <v>249</v>
      </c>
      <c r="F6" s="36" t="n">
        <v>60000</v>
      </c>
      <c r="G6" s="37" t="str">
        <f aca="false">IF(ISBLANK(C6),IF(Fill_Example="Yes",F6,""),C6)</f>
        <v/>
      </c>
    </row>
    <row r="7" customFormat="false" ht="21.75" hidden="false" customHeight="true" outlineLevel="0" collapsed="false">
      <c r="B7" s="9" t="s">
        <v>250</v>
      </c>
      <c r="C7" s="33"/>
      <c r="D7" s="34" t="s">
        <v>248</v>
      </c>
      <c r="E7" s="35" t="s">
        <v>251</v>
      </c>
      <c r="F7" s="36" t="n">
        <v>0</v>
      </c>
      <c r="G7" s="37" t="str">
        <f aca="false">IF(ISBLANK(C7),IF(Fill_Example="Yes",F7,""),C7)</f>
        <v/>
      </c>
    </row>
    <row r="8" customFormat="false" ht="21.75" hidden="false" customHeight="true" outlineLevel="0" collapsed="false">
      <c r="B8" s="9" t="s">
        <v>252</v>
      </c>
      <c r="C8" s="33"/>
      <c r="D8" s="34" t="s">
        <v>248</v>
      </c>
      <c r="E8" s="35" t="s">
        <v>253</v>
      </c>
      <c r="F8" s="36" t="n">
        <v>25000</v>
      </c>
      <c r="G8" s="37" t="str">
        <f aca="false">IF(ISBLANK(C8),IF(Fill_Example="Yes",F8,""),C8)</f>
        <v/>
      </c>
    </row>
    <row r="9" customFormat="false" ht="21.75" hidden="false" customHeight="true" outlineLevel="0" collapsed="false">
      <c r="B9" s="9" t="s">
        <v>254</v>
      </c>
      <c r="C9" s="38"/>
      <c r="D9" s="34" t="s">
        <v>255</v>
      </c>
      <c r="E9" s="35" t="s">
        <v>256</v>
      </c>
      <c r="F9" s="39" t="s">
        <v>257</v>
      </c>
      <c r="G9" s="40" t="str">
        <f aca="false">IF(ISBLANK(C9),IF(Fill_Example="Yes",F9,""),C9)</f>
        <v/>
      </c>
    </row>
    <row r="10" customFormat="false" ht="21.75" hidden="false" customHeight="true" outlineLevel="0" collapsed="false">
      <c r="B10" s="9" t="s">
        <v>258</v>
      </c>
      <c r="C10" s="41"/>
      <c r="D10" s="34" t="s">
        <v>259</v>
      </c>
      <c r="E10" s="42"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3" t="n">
        <f aca="false">IF(ISNUMBER(Suggest_Mortgage_Rate),Suggest_Mortgage_Rate,"")</f>
        <v>0.0348</v>
      </c>
      <c r="G10" s="44" t="str">
        <f aca="false">IF(ISBLANK(C10),IF(Fill_Example="Yes",F10,""),C10)</f>
        <v/>
      </c>
    </row>
    <row r="11" customFormat="false" ht="15" hidden="false" customHeight="true" outlineLevel="0" collapsed="false">
      <c r="B11" s="9" t="s">
        <v>260</v>
      </c>
      <c r="C11" s="45"/>
      <c r="D11" s="34" t="s">
        <v>261</v>
      </c>
      <c r="E11" s="35" t="s">
        <v>262</v>
      </c>
      <c r="F11" s="46" t="n">
        <v>30</v>
      </c>
      <c r="G11" s="47" t="str">
        <f aca="false">IF(AND(ISNUMBER(C11),N(C11)&lt;10),"",IF(ISBLANK(C11),IF(Fill_Example="Yes",F11,""),C11))</f>
        <v/>
      </c>
    </row>
    <row r="12" customFormat="false" ht="21.75" hidden="false" customHeight="true" outlineLevel="0" collapsed="false">
      <c r="B12" s="9" t="s">
        <v>263</v>
      </c>
      <c r="C12" s="33"/>
      <c r="D12" s="34" t="s">
        <v>248</v>
      </c>
      <c r="E12" s="42"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6" t="str">
        <f aca="false">IF(ISNUMBER(Suggest_Buying_Fees),Suggest_Buying_Fees,"")</f>
        <v/>
      </c>
      <c r="G12" s="37" t="n">
        <f aca="false">IF(ISBLANK(C12),IF(AND(Fill_Example="Yes",ISNUMBER(F12)),F12,0),C12)</f>
        <v>0</v>
      </c>
    </row>
    <row r="13" customFormat="false" ht="15" hidden="false" customHeight="true" outlineLevel="0" collapsed="false">
      <c r="B13" s="9" t="s">
        <v>264</v>
      </c>
      <c r="C13" s="45"/>
      <c r="D13" s="34" t="s">
        <v>261</v>
      </c>
      <c r="E13" s="35" t="s">
        <v>265</v>
      </c>
      <c r="F13" s="46" t="n">
        <v>3</v>
      </c>
      <c r="G13" s="47" t="str">
        <f aca="false">IF(ISBLANK(C13),IF(Fill_Example="Yes",F13,""),C13)</f>
        <v/>
      </c>
    </row>
    <row r="14" customFormat="false" ht="15" hidden="false" customHeight="true" outlineLevel="0" collapsed="false">
      <c r="B14" s="9" t="s">
        <v>266</v>
      </c>
      <c r="C14" s="33"/>
      <c r="D14" s="34" t="s">
        <v>248</v>
      </c>
      <c r="E14" s="35" t="s">
        <v>267</v>
      </c>
      <c r="F14" s="36" t="n">
        <v>0</v>
      </c>
      <c r="G14" s="37" t="n">
        <f aca="false">IF(ISBLANK(C14),F14,C14)</f>
        <v>0</v>
      </c>
    </row>
    <row r="16" customFormat="false" ht="15" hidden="false" customHeight="true" outlineLevel="0" collapsed="false">
      <c r="B16" s="15" t="s">
        <v>268</v>
      </c>
      <c r="C16" s="31" t="s">
        <v>269</v>
      </c>
      <c r="D16" s="31" t="s">
        <v>270</v>
      </c>
      <c r="E16" s="31" t="s">
        <v>271</v>
      </c>
      <c r="F16" s="16"/>
      <c r="G16" s="16"/>
    </row>
    <row r="17" customFormat="false" ht="17.25" hidden="false" customHeight="true" outlineLevel="0" collapsed="false">
      <c r="B17" s="28" t="s">
        <v>272</v>
      </c>
      <c r="C17" s="48" t="str">
        <f aca="false">IF(Need_1&lt;&gt;"",Need_1,MIN(Price_By_Deposit,Price_By_Income))</f>
        <v>Choose your gross yearly income to see this</v>
      </c>
      <c r="D17" s="34" t="s">
        <v>248</v>
      </c>
      <c r="E17" s="49" t="s">
        <v>273</v>
      </c>
    </row>
    <row r="18" customFormat="false" ht="17.25" hidden="false" customHeight="true" outlineLevel="0" collapsed="false">
      <c r="B18" s="28" t="s">
        <v>274</v>
      </c>
      <c r="C18" s="48" t="str">
        <f aca="false">IF(Need_1&lt;&gt;"",Need_1,MIN(Borrow_By_Income,LTV_Max*Home_Price))</f>
        <v>Choose your gross yearly income to see this</v>
      </c>
      <c r="D18" s="34" t="s">
        <v>248</v>
      </c>
      <c r="E18" s="49" t="s">
        <v>275</v>
      </c>
    </row>
    <row r="19" customFormat="false" ht="17.25" hidden="false" customHeight="true" outlineLevel="0" collapsed="false">
      <c r="B19" s="28" t="s">
        <v>276</v>
      </c>
      <c r="C19" s="48" t="str">
        <f aca="false">IF(Need_2&lt;&gt;"",Need_2,PMT(Interest_Rate/12,Term_Years*12,-Max_Loan))</f>
        <v>Choose your gross yearly income to see this</v>
      </c>
      <c r="D19" s="34" t="s">
        <v>248</v>
      </c>
      <c r="E19" s="49" t="s">
        <v>277</v>
      </c>
    </row>
    <row r="20" customFormat="false" ht="21.75" hidden="false" customHeight="true" outlineLevel="0" collapsed="false">
      <c r="B20" s="28" t="s">
        <v>278</v>
      </c>
      <c r="C20" s="48" t="str">
        <f aca="false">IF(Need_1&lt;&gt;"",Need_1,SD_Rate_1*MIN(Home_Price,SD_Band_1)+SD_Rate_2*MAX(0,MIN(Home_Price,SD_Band_2)-SD_Band_1)+SD_Rate_3*MAX(0,Home_Price-SD_Band_2))</f>
        <v>Choose your gross yearly income to see this</v>
      </c>
      <c r="D20" s="34" t="s">
        <v>248</v>
      </c>
      <c r="E20" s="49" t="s">
        <v>279</v>
      </c>
    </row>
    <row r="21" customFormat="false" ht="15" hidden="false" customHeight="true" outlineLevel="0" collapsed="false">
      <c r="B21" s="9" t="s">
        <v>280</v>
      </c>
      <c r="C21" s="50" t="str">
        <f aca="false">IF(Need_3&lt;&gt;"",Need_3,(Income+Partner_Income)*Income_Multiple)</f>
        <v>Choose your gross yearly income to see this</v>
      </c>
      <c r="D21" s="34" t="s">
        <v>248</v>
      </c>
      <c r="E21" s="49" t="s">
        <v>281</v>
      </c>
    </row>
    <row r="22" customFormat="false" ht="15" hidden="false" customHeight="true" outlineLevel="0" collapsed="false">
      <c r="B22" s="9" t="s">
        <v>282</v>
      </c>
      <c r="C22" s="51" t="str">
        <f aca="false">IF(Need_4&lt;&gt;"",Need_4,IF(First_Time_Buyer="Yes",LTI_FTB,LTI_SSB))</f>
        <v>Choose your first-time buyer answer to see this</v>
      </c>
      <c r="D22" s="34" t="s">
        <v>283</v>
      </c>
      <c r="E22" s="49" t="s">
        <v>284</v>
      </c>
    </row>
    <row r="23" customFormat="false" ht="15" hidden="false" customHeight="true" outlineLevel="0" collapsed="false">
      <c r="B23" s="9" t="s">
        <v>285</v>
      </c>
      <c r="C23" s="50" t="str">
        <f aca="false">IF(Need_5&lt;&gt;"",Need_5,Deposit+Extra_Deposit)</f>
        <v>Choose your deposit saved to see this</v>
      </c>
      <c r="D23" s="34" t="s">
        <v>248</v>
      </c>
      <c r="E23" s="49" t="s">
        <v>286</v>
      </c>
    </row>
    <row r="24" customFormat="false" ht="15" hidden="false" customHeight="true" outlineLevel="0" collapsed="false">
      <c r="B24" s="9" t="s">
        <v>287</v>
      </c>
      <c r="C24" s="50" t="str">
        <f aca="false">IF(Need_6&lt;&gt;"",Need_6,MAX(0,Total_Deposit-Buying_Fees))</f>
        <v>Choose your deposit saved to see this</v>
      </c>
      <c r="D24" s="34" t="s">
        <v>248</v>
      </c>
      <c r="E24" s="49" t="s">
        <v>288</v>
      </c>
    </row>
    <row r="25" customFormat="false" ht="15" hidden="false" customHeight="true" outlineLevel="0" collapsed="false">
      <c r="B25" s="9" t="s">
        <v>289</v>
      </c>
      <c r="C25" s="50" t="n">
        <f aca="false">(1-LTV_Max+SD_Rate_1)*SD_Band_1</f>
        <v>110000</v>
      </c>
      <c r="D25" s="34" t="s">
        <v>248</v>
      </c>
      <c r="E25" s="49" t="s">
        <v>290</v>
      </c>
    </row>
    <row r="26" customFormat="false" ht="15" hidden="false" customHeight="true" outlineLevel="0" collapsed="false">
      <c r="B26" s="9" t="s">
        <v>291</v>
      </c>
      <c r="C26" s="50" t="n">
        <f aca="false">Cash_At_Band_1+(1-LTV_Max+SD_Rate_2)*(SD_Band_2-SD_Band_1)</f>
        <v>170000</v>
      </c>
      <c r="D26" s="34" t="s">
        <v>248</v>
      </c>
      <c r="E26" s="49" t="s">
        <v>292</v>
      </c>
    </row>
    <row r="27" customFormat="false" ht="32.25" hidden="false" customHeight="true" outlineLevel="0" collapsed="false">
      <c r="B27" s="9" t="s">
        <v>293</v>
      </c>
      <c r="C27" s="50"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4" t="s">
        <v>248</v>
      </c>
      <c r="E27" s="49" t="s">
        <v>294</v>
      </c>
    </row>
    <row r="28" customFormat="false" ht="15" hidden="false" customHeight="true" outlineLevel="0" collapsed="false">
      <c r="B28" s="9" t="s">
        <v>295</v>
      </c>
      <c r="C28" s="50" t="str">
        <f aca="false">IF(Need_1&lt;&gt;"",Need_1,Borrow_By_Income+Cash_For_Price)</f>
        <v>Choose your gross yearly income to see this</v>
      </c>
      <c r="D28" s="34" t="s">
        <v>248</v>
      </c>
      <c r="E28" s="49" t="s">
        <v>296</v>
      </c>
    </row>
    <row r="29" customFormat="false" ht="42.75" hidden="false" customHeight="true" outlineLevel="0" collapsed="false">
      <c r="B29" s="9" t="s">
        <v>297</v>
      </c>
      <c r="C29" s="50"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4" t="s">
        <v>248</v>
      </c>
      <c r="E29" s="49" t="s">
        <v>298</v>
      </c>
    </row>
    <row r="30" customFormat="false" ht="15" hidden="false" customHeight="true" outlineLevel="0" collapsed="false">
      <c r="B30" s="9" t="s">
        <v>299</v>
      </c>
      <c r="C30" s="52" t="str">
        <f aca="false">IF(Need_1&lt;&gt;"",Need_1,IF(Price_By_Deposit&lt;Price_By_Income,"Your deposit","Your income"))</f>
        <v>Choose your gross yearly income to see this</v>
      </c>
      <c r="D30" s="34"/>
      <c r="E30" s="49" t="s">
        <v>300</v>
      </c>
    </row>
    <row r="32" customFormat="false" ht="15" hidden="false" customHeight="true" outlineLevel="0" collapsed="false">
      <c r="B32" s="15" t="s">
        <v>301</v>
      </c>
      <c r="C32" s="16"/>
      <c r="D32" s="16"/>
      <c r="E32" s="16"/>
      <c r="F32" s="16"/>
      <c r="G32" s="16"/>
    </row>
    <row r="33" customFormat="false" ht="13.5" hidden="false" customHeight="true" outlineLevel="0" collapsed="false">
      <c r="B33" s="53"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3"/>
      <c r="D33" s="53"/>
      <c r="E33" s="53"/>
    </row>
    <row r="34" customFormat="false" ht="27.75" hidden="false" customHeight="true" outlineLevel="0" collapsed="false">
      <c r="B34" s="53" t="s">
        <v>302</v>
      </c>
      <c r="C34" s="53"/>
      <c r="D34" s="53"/>
      <c r="E34" s="53"/>
    </row>
    <row r="35" customFormat="false" ht="13.5" hidden="false" customHeight="true" outlineLevel="0" collapsed="false">
      <c r="B35" s="53" t="s">
        <v>303</v>
      </c>
      <c r="C35" s="53"/>
      <c r="D35" s="53"/>
      <c r="E35" s="53"/>
    </row>
    <row r="36" customFormat="false" ht="13.5" hidden="false" customHeight="true" outlineLevel="0" collapsed="false">
      <c r="B36" s="54" t="s">
        <v>304</v>
      </c>
      <c r="C36" s="54"/>
      <c r="D36" s="54"/>
      <c r="E36" s="54"/>
    </row>
    <row r="37" customFormat="false" ht="13.5" hidden="false" customHeight="true" outlineLevel="0" collapsed="false">
      <c r="B37" s="53" t="s">
        <v>305</v>
      </c>
      <c r="C37" s="53"/>
      <c r="D37" s="53"/>
      <c r="E37" s="53"/>
    </row>
    <row r="38" customFormat="false" ht="13.5" hidden="false" customHeight="true" outlineLevel="0" collapsed="false">
      <c r="B38" s="53" t="s">
        <v>306</v>
      </c>
      <c r="C38" s="53"/>
      <c r="D38" s="53"/>
      <c r="E38" s="53"/>
    </row>
    <row r="39" customFormat="false" ht="13.5" hidden="false" customHeight="true" outlineLevel="0" collapsed="false">
      <c r="B39" s="53" t="s">
        <v>307</v>
      </c>
      <c r="C39" s="53"/>
      <c r="D39" s="53"/>
      <c r="E39" s="53"/>
    </row>
    <row r="40" customFormat="false" ht="13.5" hidden="false" customHeight="true" outlineLevel="0" collapsed="false">
      <c r="B40" s="53" t="s">
        <v>308</v>
      </c>
      <c r="C40" s="53"/>
      <c r="D40" s="53"/>
      <c r="E40" s="53"/>
    </row>
    <row r="42" customFormat="false" ht="15" hidden="false" customHeight="true" outlineLevel="0" collapsed="false">
      <c r="B42" s="15" t="s">
        <v>309</v>
      </c>
      <c r="C42" s="16"/>
      <c r="D42" s="16"/>
      <c r="E42" s="16"/>
      <c r="F42" s="16"/>
      <c r="G42" s="16"/>
    </row>
    <row r="43" customFormat="false" ht="15" hidden="false" customHeight="true" outlineLevel="0" collapsed="false">
      <c r="B43" s="9" t="s">
        <v>310</v>
      </c>
      <c r="C43" s="55" t="str">
        <f aca="false">"Buy a home (deposit goal)"</f>
        <v>Buy a home (deposit goal)</v>
      </c>
      <c r="E43" s="56" t="s">
        <v>311</v>
      </c>
    </row>
    <row r="44" customFormat="false" ht="15" hidden="false" customHeight="true" outlineLevel="0" collapsed="false">
      <c r="B44" s="9" t="s">
        <v>312</v>
      </c>
      <c r="C44" s="57" t="str">
        <f aca="false">IF(Need_1&lt;&gt;"",Need_1,ROUND(Home_Price*Min_Deposit_Pct+Stamp_Duty+Buying_Fees,0))</f>
        <v>Choose your gross yearly income to see this</v>
      </c>
      <c r="E44" s="56" t="s">
        <v>313</v>
      </c>
    </row>
    <row r="45" customFormat="false" ht="15" hidden="false" customHeight="true" outlineLevel="0" collapsed="false">
      <c r="B45" s="9" t="s">
        <v>314</v>
      </c>
      <c r="C45" s="57" t="str">
        <f aca="false">IF(Need_5&lt;&gt;"",Need_5,Total_Deposit)</f>
        <v>Choose your deposit saved to see this</v>
      </c>
      <c r="E45" s="56" t="s">
        <v>315</v>
      </c>
    </row>
    <row r="46" customFormat="false" ht="15" hidden="false" customHeight="true" outlineLevel="0" collapsed="false">
      <c r="B46" s="9" t="s">
        <v>316</v>
      </c>
      <c r="C46" s="58" t="str">
        <f aca="false">IF(Need_7&lt;&gt;"",Need_7,Home_Goal_Years)</f>
        <v>Choose your years until you buy to see this</v>
      </c>
      <c r="E46" s="56" t="s">
        <v>317</v>
      </c>
    </row>
    <row r="48" customFormat="false" ht="15" hidden="false" customHeight="true" outlineLevel="0" collapsed="false">
      <c r="B48" s="15" t="s">
        <v>318</v>
      </c>
      <c r="C48" s="16"/>
      <c r="D48" s="16"/>
      <c r="E48" s="16"/>
      <c r="F48" s="16"/>
      <c r="G48" s="16"/>
    </row>
    <row r="49" customFormat="false" ht="15" hidden="false" customHeight="true" outlineLevel="0" collapsed="false">
      <c r="B49" s="59" t="s">
        <v>319</v>
      </c>
      <c r="C49" s="59"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9" t="s">
        <v>320</v>
      </c>
      <c r="C50" s="59"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9" t="s">
        <v>321</v>
      </c>
      <c r="C51" s="59"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9" t="s">
        <v>322</v>
      </c>
      <c r="C52" s="59"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9" t="s">
        <v>323</v>
      </c>
      <c r="C53" s="59" t="str">
        <f aca="false">IF(Deposit="","Choose your deposit saved to see this",IF(Interest_Rate="","Choose your mortgage rate to see this",""))</f>
        <v>Choose your deposit saved to see this</v>
      </c>
    </row>
    <row r="54" customFormat="false" ht="15" hidden="false" customHeight="true" outlineLevel="0" collapsed="false">
      <c r="B54" s="59" t="s">
        <v>324</v>
      </c>
      <c r="C54" s="59"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9" t="s">
        <v>325</v>
      </c>
      <c r="C55" s="59"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326</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327</v>
      </c>
      <c r="E1" s="3" t="s">
        <v>328</v>
      </c>
    </row>
    <row r="2" customFormat="false" ht="15" hidden="false" customHeight="true" outlineLevel="0" collapsed="false">
      <c r="B2" s="28" t="s">
        <v>329</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330</v>
      </c>
    </row>
    <row r="5" customFormat="false" ht="15" hidden="false" customHeight="true" outlineLevel="0" collapsed="false">
      <c r="B5" s="15" t="s">
        <v>331</v>
      </c>
      <c r="C5" s="16"/>
      <c r="D5" s="16"/>
      <c r="E5" s="16"/>
      <c r="F5" s="16"/>
      <c r="G5" s="16"/>
    </row>
    <row r="6" customFormat="false" ht="27.75" hidden="false" customHeight="true" outlineLevel="0" collapsed="false">
      <c r="B6" s="60" t="s">
        <v>332</v>
      </c>
      <c r="C6" s="60"/>
      <c r="D6" s="60"/>
      <c r="E6" s="60"/>
    </row>
    <row r="7" customFormat="false" ht="15" hidden="false" customHeight="true" outlineLevel="0" collapsed="false">
      <c r="B7" s="9" t="s">
        <v>333</v>
      </c>
      <c r="C7" s="61"/>
      <c r="D7" s="34" t="s">
        <v>248</v>
      </c>
      <c r="E7" s="35" t="s">
        <v>334</v>
      </c>
      <c r="G7" s="59" t="s">
        <v>335</v>
      </c>
    </row>
    <row r="8" customFormat="false" ht="15" hidden="false" customHeight="true" outlineLevel="0" collapsed="false">
      <c r="B8" s="9" t="s">
        <v>336</v>
      </c>
      <c r="C8" s="62"/>
      <c r="D8" s="34" t="s">
        <v>259</v>
      </c>
      <c r="E8" s="35" t="s">
        <v>337</v>
      </c>
      <c r="G8" s="59" t="s">
        <v>335</v>
      </c>
    </row>
    <row r="9" customFormat="false" ht="15" hidden="false" customHeight="true" outlineLevel="0" collapsed="false">
      <c r="B9" s="9" t="s">
        <v>338</v>
      </c>
      <c r="C9" s="63"/>
      <c r="D9" s="34" t="s">
        <v>261</v>
      </c>
      <c r="E9" s="35" t="s">
        <v>339</v>
      </c>
      <c r="G9" s="59" t="s">
        <v>335</v>
      </c>
    </row>
    <row r="10" customFormat="false" ht="15" hidden="false" customHeight="true" outlineLevel="0" collapsed="false">
      <c r="B10" s="9" t="s">
        <v>340</v>
      </c>
      <c r="C10" s="61"/>
      <c r="D10" s="34" t="s">
        <v>248</v>
      </c>
      <c r="E10" s="35" t="s">
        <v>341</v>
      </c>
      <c r="G10" s="59" t="s">
        <v>335</v>
      </c>
    </row>
    <row r="11" customFormat="false" ht="15" hidden="false" customHeight="true" outlineLevel="0" collapsed="false">
      <c r="B11" s="9" t="s">
        <v>342</v>
      </c>
      <c r="C11" s="64"/>
      <c r="D11" s="34" t="s">
        <v>343</v>
      </c>
      <c r="E11" s="35" t="s">
        <v>344</v>
      </c>
      <c r="G11" s="59" t="s">
        <v>335</v>
      </c>
    </row>
    <row r="13" customFormat="false" ht="15" hidden="false" customHeight="true" outlineLevel="0" collapsed="false">
      <c r="B13" s="15" t="s">
        <v>345</v>
      </c>
      <c r="C13" s="31" t="s">
        <v>243</v>
      </c>
      <c r="D13" s="31" t="s">
        <v>244</v>
      </c>
      <c r="E13" s="31" t="s">
        <v>245</v>
      </c>
      <c r="F13" s="32" t="s">
        <v>246</v>
      </c>
      <c r="G13" s="16"/>
    </row>
    <row r="14" customFormat="false" ht="21.75" hidden="false" customHeight="true" outlineLevel="0" collapsed="false">
      <c r="B14" s="9" t="s">
        <v>346</v>
      </c>
      <c r="C14" s="33"/>
      <c r="D14" s="34" t="s">
        <v>248</v>
      </c>
      <c r="E14" s="35" t="s">
        <v>347</v>
      </c>
      <c r="F14" s="36" t="n">
        <v>300000</v>
      </c>
      <c r="G14" s="37" t="str">
        <f aca="false">IF(ISBLANK(C14),IF(Fill_Example="Yes",F14,""),C14)</f>
        <v/>
      </c>
    </row>
    <row r="15" customFormat="false" ht="33" hidden="false" customHeight="true" outlineLevel="0" collapsed="false">
      <c r="B15" s="9" t="s">
        <v>336</v>
      </c>
      <c r="C15" s="41"/>
      <c r="D15" s="34" t="s">
        <v>259</v>
      </c>
      <c r="E15" s="4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3" t="n">
        <f aca="false">IF(ISNUMBER(Suggest_Mortgage_Rate),Suggest_Mortgage_Rate,"")</f>
        <v>0.0348</v>
      </c>
      <c r="G15" s="44" t="str">
        <f aca="false">IF(ISBLANK(C15),IF(Fill_Example="Yes",F15,""),C15)</f>
        <v/>
      </c>
    </row>
    <row r="16" customFormat="false" ht="21.75" hidden="false" customHeight="true" outlineLevel="0" collapsed="false">
      <c r="B16" s="9" t="s">
        <v>348</v>
      </c>
      <c r="C16" s="45"/>
      <c r="D16" s="34" t="s">
        <v>261</v>
      </c>
      <c r="E16" s="35" t="s">
        <v>349</v>
      </c>
      <c r="F16" s="46" t="n">
        <v>30</v>
      </c>
      <c r="G16" s="47" t="str">
        <f aca="false">IF(AND(ISNUMBER(C16),N(C16)&lt;5),"",IF(ISBLANK(C16),IF(Fill_Example="Yes",F16,""),C16))</f>
        <v/>
      </c>
    </row>
    <row r="17" customFormat="false" ht="15" hidden="false" customHeight="true" outlineLevel="0" collapsed="false">
      <c r="B17" s="9" t="s">
        <v>350</v>
      </c>
      <c r="C17" s="33"/>
      <c r="D17" s="34" t="s">
        <v>248</v>
      </c>
      <c r="E17" s="35" t="s">
        <v>351</v>
      </c>
      <c r="F17" s="36" t="n">
        <v>0</v>
      </c>
      <c r="G17" s="37" t="n">
        <f aca="false">IF(ISBLANK(C17),F17,C17)</f>
        <v>0</v>
      </c>
    </row>
    <row r="18" customFormat="false" ht="15" hidden="false" customHeight="true" outlineLevel="0" collapsed="false">
      <c r="B18" s="9" t="s">
        <v>264</v>
      </c>
      <c r="C18" s="45"/>
      <c r="D18" s="34" t="s">
        <v>261</v>
      </c>
      <c r="E18" s="35" t="s">
        <v>265</v>
      </c>
      <c r="F18" s="46" t="n">
        <v>3</v>
      </c>
      <c r="G18" s="47" t="str">
        <f aca="false">IF(ISBLANK(C18),IF(Fill_Example="Yes",F18,""),C18)</f>
        <v/>
      </c>
    </row>
    <row r="19" customFormat="false" ht="15" hidden="false" customHeight="true" outlineLevel="0" collapsed="false">
      <c r="B19" s="9" t="s">
        <v>352</v>
      </c>
      <c r="C19" s="41"/>
      <c r="D19" s="34" t="s">
        <v>259</v>
      </c>
      <c r="E19" s="35" t="s">
        <v>353</v>
      </c>
      <c r="F19" s="43" t="n">
        <v>0</v>
      </c>
      <c r="G19" s="44" t="n">
        <f aca="false">IF(ISBLANK(C19),F19,C19)</f>
        <v>0</v>
      </c>
    </row>
    <row r="21" customFormat="false" ht="15" hidden="false" customHeight="true" outlineLevel="0" collapsed="false">
      <c r="B21" s="15" t="s">
        <v>354</v>
      </c>
      <c r="C21" s="16"/>
      <c r="D21" s="16"/>
      <c r="E21" s="16"/>
      <c r="F21" s="16"/>
      <c r="G21" s="16"/>
    </row>
    <row r="22" customFormat="false" ht="15" hidden="false" customHeight="true" outlineLevel="0" collapsed="false">
      <c r="B22" s="9" t="s">
        <v>346</v>
      </c>
      <c r="C22" s="65" t="str">
        <f aca="false">IF(ISBLANK(Stmt_Balance),Loan_Amount,Stmt_Balance)</f>
        <v/>
      </c>
      <c r="D22" s="66" t="str">
        <f aca="false">IF(ISBLANK(Stmt_Balance),"Your figure","From your statement")</f>
        <v>Your figure</v>
      </c>
      <c r="E22" s="56" t="s">
        <v>355</v>
      </c>
    </row>
    <row r="23" customFormat="false" ht="15" hidden="false" customHeight="true" outlineLevel="0" collapsed="false">
      <c r="B23" s="9" t="s">
        <v>336</v>
      </c>
      <c r="C23" s="67" t="str">
        <f aca="false">IF(ISBLANK(Stmt_Rate),Interest_Rate,Stmt_Rate)</f>
        <v/>
      </c>
      <c r="D23" s="66" t="str">
        <f aca="false">IF(ISBLANK(Stmt_Rate),"Your figure","From your statement")</f>
        <v>Your figure</v>
      </c>
      <c r="E23" s="56" t="s">
        <v>356</v>
      </c>
    </row>
    <row r="24" customFormat="false" ht="15" hidden="false" customHeight="true" outlineLevel="0" collapsed="false">
      <c r="B24" s="9" t="s">
        <v>357</v>
      </c>
      <c r="C24" s="68" t="str">
        <f aca="false">IF(ISBLANK(Stmt_Term),Term_Years,Stmt_Term)</f>
        <v/>
      </c>
      <c r="D24" s="66" t="str">
        <f aca="false">IF(ISBLANK(Stmt_Term),"Your figure","From your statement")</f>
        <v>Your figure</v>
      </c>
      <c r="E24" s="56" t="s">
        <v>358</v>
      </c>
    </row>
    <row r="25" customFormat="false" ht="15" hidden="false" customHeight="true" outlineLevel="0" collapsed="false">
      <c r="B25" s="9" t="s">
        <v>359</v>
      </c>
      <c r="C25" s="65" t="n">
        <f aca="false">IF(ISBLANK(Stmt_Repayment),Actual_Repayment,Stmt_Repayment)</f>
        <v>0</v>
      </c>
      <c r="D25" s="66" t="str">
        <f aca="false">IF(ISBLANK(Stmt_Repayment),"Your figure","From your statement")</f>
        <v>Your figure</v>
      </c>
      <c r="E25" s="56" t="s">
        <v>360</v>
      </c>
    </row>
    <row r="26" customFormat="false" ht="21.75" hidden="false" customHeight="true" outlineLevel="0" collapsed="false">
      <c r="B26" s="9" t="s">
        <v>361</v>
      </c>
      <c r="C26" s="52" t="str">
        <f aca="true">IF(ISBLANK(Stmt_Statement_Date),"",IF(TODAY()-Stmt_Statement_Date&gt;Statement_Max_Age_Days,"Needs a look: statement is more than 12 months old","Up to date"))</f>
        <v/>
      </c>
      <c r="D26" s="34"/>
      <c r="E26" s="49" t="s">
        <v>362</v>
      </c>
    </row>
    <row r="28" customFormat="false" ht="15" hidden="false" customHeight="true" outlineLevel="0" collapsed="false">
      <c r="B28" s="15" t="s">
        <v>268</v>
      </c>
      <c r="C28" s="31" t="s">
        <v>269</v>
      </c>
      <c r="D28" s="31" t="s">
        <v>270</v>
      </c>
      <c r="E28" s="31" t="s">
        <v>271</v>
      </c>
      <c r="F28" s="16"/>
      <c r="G28" s="16"/>
    </row>
    <row r="29" customFormat="false" ht="17.25" hidden="false" customHeight="true" outlineLevel="0" collapsed="false">
      <c r="B29" s="28" t="s">
        <v>340</v>
      </c>
      <c r="C29" s="48" t="str">
        <f aca="false">IF(Need_1&lt;&gt;"",Need_1,IF(Used_Actual_Repayment&gt;0,Used_Actual_Repayment,Formula_Repayment))</f>
        <v>Choose your mortgage amount to see this</v>
      </c>
      <c r="D29" s="34" t="s">
        <v>248</v>
      </c>
      <c r="E29" s="49" t="s">
        <v>363</v>
      </c>
    </row>
    <row r="30" customFormat="false" ht="23.25" hidden="false" customHeight="true" outlineLevel="0" collapsed="false">
      <c r="B30" s="28" t="s">
        <v>364</v>
      </c>
      <c r="C30" s="69" t="str">
        <f aca="false">IF(Need_1&lt;&gt;"",Need_1,IF(Monthly_Repayment&lt;=Used_Loan_Amount*Monthly_Rate,"Never",ROUNDUP(ROUND(NPER(Monthly_Rate,-Monthly_Repayment,Used_Loan_Amount),6),0)))</f>
        <v>Choose your mortgage amount to see this</v>
      </c>
      <c r="D30" s="70"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9" t="s">
        <v>365</v>
      </c>
    </row>
    <row r="31" customFormat="false" ht="17.25" hidden="false" customHeight="true" outlineLevel="0" collapsed="false">
      <c r="B31" s="28" t="s">
        <v>366</v>
      </c>
      <c r="C31" s="48" t="str">
        <f aca="false">IF(Need_1&lt;&gt;"",Need_1,IF(Months_To_Pay="Never","—",Monthly_Repayment*(Months_To_Pay-1)+Final_Payment-Used_Loan_Amount))</f>
        <v>Choose your mortgage amount to see this</v>
      </c>
      <c r="D31" s="34" t="s">
        <v>248</v>
      </c>
      <c r="E31" s="49" t="s">
        <v>367</v>
      </c>
    </row>
    <row r="32" customFormat="false" ht="15" hidden="false" customHeight="true" outlineLevel="0" collapsed="false">
      <c r="B32" s="9" t="s">
        <v>368</v>
      </c>
      <c r="C32" s="50" t="str">
        <f aca="false">IF(Need_1&lt;&gt;"",Need_1,IF(Months_To_Pay="Never","—",Used_Loan_Amount+Total_Interest))</f>
        <v>Choose your mortgage amount to see this</v>
      </c>
      <c r="D32" s="34" t="s">
        <v>248</v>
      </c>
      <c r="E32" s="49" t="s">
        <v>369</v>
      </c>
    </row>
    <row r="33" customFormat="false" ht="15" hidden="false" customHeight="true" outlineLevel="0" collapsed="false">
      <c r="B33" s="9" t="s">
        <v>370</v>
      </c>
      <c r="C33" s="71" t="str">
        <f aca="false">IF(Need_2&lt;&gt;"",Need_2,Used_Interest_Rate/12)</f>
        <v>Choose your mortgage rate to see this</v>
      </c>
      <c r="D33" s="34"/>
      <c r="E33" s="49" t="s">
        <v>371</v>
      </c>
    </row>
    <row r="34" customFormat="false" ht="15" hidden="false" customHeight="true" outlineLevel="0" collapsed="false">
      <c r="B34" s="9" t="s">
        <v>372</v>
      </c>
      <c r="C34" s="50" t="str">
        <f aca="false">IF(Need_3&lt;&gt;"",Need_3,PMT(Monthly_Rate,Used_Term_Years*12,-Used_Loan_Amount))</f>
        <v>Choose your mortgage amount to see this</v>
      </c>
      <c r="D34" s="34" t="s">
        <v>248</v>
      </c>
      <c r="E34" s="49" t="s">
        <v>373</v>
      </c>
    </row>
    <row r="35" customFormat="false" ht="21.75" hidden="false" customHeight="true" outlineLevel="0" collapsed="false">
      <c r="B35" s="9" t="s">
        <v>374</v>
      </c>
      <c r="C35" s="50" t="str">
        <f aca="false">IF(Need_1&lt;&gt;"",Need_1,IF(Months_To_Pay="Never","—",-FV(Monthly_Rate,Months_To_Pay-1,-Monthly_Repayment,Used_Loan_Amount)*(1+Monthly_Rate)))</f>
        <v>Choose your mortgage amount to see this</v>
      </c>
      <c r="D35" s="34" t="s">
        <v>248</v>
      </c>
      <c r="E35" s="49" t="s">
        <v>375</v>
      </c>
    </row>
    <row r="36" customFormat="false" ht="15" hidden="false" customHeight="true" outlineLevel="0" collapsed="false">
      <c r="B36" s="9" t="s">
        <v>376</v>
      </c>
      <c r="C36" s="72" t="str">
        <f aca="false">IF(Need_2&lt;&gt;"",Need_2,MAX(0,Used_Interest_Rate+Rate_Change))</f>
        <v>Choose your mortgage rate to see this</v>
      </c>
      <c r="D36" s="34" t="s">
        <v>259</v>
      </c>
      <c r="E36" s="49" t="s">
        <v>377</v>
      </c>
    </row>
    <row r="37" customFormat="false" ht="17.25" hidden="false" customHeight="true" outlineLevel="0" collapsed="false">
      <c r="B37" s="28" t="s">
        <v>378</v>
      </c>
      <c r="C37" s="48" t="str">
        <f aca="false">IF(Need_1&lt;&gt;"",Need_1,Monthly_Repayment+PMT(New_Rate/12,Used_Term_Years*12,-Used_Loan_Amount)-Formula_Repayment)</f>
        <v>Choose your mortgage amount to see this</v>
      </c>
      <c r="D37" s="34" t="s">
        <v>248</v>
      </c>
      <c r="E37" s="49" t="s">
        <v>379</v>
      </c>
    </row>
    <row r="38" customFormat="false" ht="15" hidden="false" customHeight="true" outlineLevel="0" collapsed="false">
      <c r="B38" s="9" t="s">
        <v>380</v>
      </c>
      <c r="C38" s="50" t="str">
        <f aca="false">IF(Need_1&lt;&gt;"",Need_1,(Repayment_If_Changed-Monthly_Repayment)*12)</f>
        <v>Choose your mortgage amount to see this</v>
      </c>
      <c r="D38" s="34" t="s">
        <v>248</v>
      </c>
      <c r="E38" s="49" t="s">
        <v>381</v>
      </c>
    </row>
    <row r="40" customFormat="false" ht="15" hidden="false" customHeight="true" outlineLevel="0" collapsed="false">
      <c r="B40" s="15" t="s">
        <v>301</v>
      </c>
      <c r="C40" s="16"/>
      <c r="D40" s="16"/>
      <c r="E40" s="16"/>
      <c r="F40" s="16"/>
      <c r="G40" s="16"/>
    </row>
    <row r="41" customFormat="false" ht="13.5" hidden="false" customHeight="true" outlineLevel="0" collapsed="false">
      <c r="B41" s="53" t="s">
        <v>382</v>
      </c>
      <c r="C41" s="53"/>
      <c r="D41" s="53"/>
      <c r="E41" s="53"/>
    </row>
    <row r="42" customFormat="false" ht="27.75" hidden="false" customHeight="true" outlineLevel="0" collapsed="false">
      <c r="B42" s="53" t="s">
        <v>383</v>
      </c>
      <c r="C42" s="53"/>
      <c r="D42" s="53"/>
      <c r="E42" s="53"/>
    </row>
    <row r="43" customFormat="false" ht="27.75" hidden="false" customHeight="true" outlineLevel="0" collapsed="false">
      <c r="B43" s="53" t="s">
        <v>384</v>
      </c>
      <c r="C43" s="53"/>
      <c r="D43" s="53"/>
      <c r="E43" s="53"/>
    </row>
    <row r="44" customFormat="false" ht="13.5" hidden="false" customHeight="true" outlineLevel="0" collapsed="false">
      <c r="B44" s="54" t="s">
        <v>304</v>
      </c>
      <c r="C44" s="54"/>
      <c r="D44" s="54"/>
      <c r="E44" s="54"/>
    </row>
    <row r="45" customFormat="false" ht="27.75" hidden="false" customHeight="true" outlineLevel="0" collapsed="false">
      <c r="B45" s="53" t="s">
        <v>385</v>
      </c>
      <c r="C45" s="53"/>
      <c r="D45" s="53"/>
      <c r="E45" s="53"/>
    </row>
    <row r="46" customFormat="false" ht="13.5" hidden="false" customHeight="true" outlineLevel="0" collapsed="false">
      <c r="B46" s="53" t="s">
        <v>386</v>
      </c>
      <c r="C46" s="53"/>
      <c r="D46" s="53"/>
      <c r="E46" s="53"/>
    </row>
    <row r="47" customFormat="false" ht="27.75" hidden="false" customHeight="true" outlineLevel="0" collapsed="false">
      <c r="B47" s="53" t="s">
        <v>387</v>
      </c>
      <c r="C47" s="53"/>
      <c r="D47" s="53"/>
      <c r="E47" s="53"/>
    </row>
    <row r="48" customFormat="false" ht="13.5" hidden="false" customHeight="true" outlineLevel="0" collapsed="false">
      <c r="B48" s="53" t="s">
        <v>308</v>
      </c>
      <c r="C48" s="53"/>
      <c r="D48" s="53"/>
      <c r="E48" s="53"/>
    </row>
    <row r="50" customFormat="false" ht="15" hidden="false" customHeight="true" outlineLevel="0" collapsed="false">
      <c r="B50" s="15" t="s">
        <v>309</v>
      </c>
      <c r="C50" s="16"/>
      <c r="D50" s="16"/>
      <c r="E50" s="16"/>
      <c r="F50" s="16"/>
      <c r="G50" s="16"/>
    </row>
    <row r="51" customFormat="false" ht="15" hidden="false" customHeight="true" outlineLevel="0" collapsed="false">
      <c r="B51" s="9" t="s">
        <v>310</v>
      </c>
      <c r="C51" s="55" t="str">
        <f aca="false">"Buy a home (deposit goal)"</f>
        <v>Buy a home (deposit goal)</v>
      </c>
      <c r="E51" s="56" t="s">
        <v>311</v>
      </c>
    </row>
    <row r="52" customFormat="false" ht="15" hidden="false" customHeight="true" outlineLevel="0" collapsed="false">
      <c r="B52" s="9" t="s">
        <v>388</v>
      </c>
      <c r="C52" s="57" t="str">
        <f aca="false">IF(Need_4&lt;&gt;"",Need_4,ROUND(Used_Loan_Amount*(1-LTV_Max)/LTV_Max,0))</f>
        <v>Choose your mortgage amount to see this</v>
      </c>
      <c r="E52" s="56" t="s">
        <v>389</v>
      </c>
    </row>
    <row r="53" customFormat="false" ht="15" hidden="false" customHeight="true" outlineLevel="0" collapsed="false">
      <c r="B53" s="9" t="s">
        <v>316</v>
      </c>
      <c r="C53" s="58" t="str">
        <f aca="false">IF(Need_5&lt;&gt;"",Need_5,Home_Goal_Years)</f>
        <v>Choose your years until you buy to see this</v>
      </c>
      <c r="E53" s="56" t="s">
        <v>317</v>
      </c>
    </row>
    <row r="54" customFormat="false" ht="13.5" hidden="false" customHeight="true" outlineLevel="0" collapsed="false">
      <c r="B54" s="60"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60"/>
      <c r="D54" s="60"/>
      <c r="E54" s="60"/>
    </row>
    <row r="56" customFormat="false" ht="15" hidden="false" customHeight="true" outlineLevel="0" collapsed="false">
      <c r="B56" s="15" t="s">
        <v>318</v>
      </c>
      <c r="C56" s="16"/>
      <c r="D56" s="16"/>
      <c r="E56" s="16"/>
      <c r="F56" s="16"/>
      <c r="G56" s="16"/>
    </row>
    <row r="57" customFormat="false" ht="15" hidden="false" customHeight="true" outlineLevel="0" collapsed="false">
      <c r="B57" s="59" t="s">
        <v>390</v>
      </c>
      <c r="C57" s="59"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9" t="s">
        <v>391</v>
      </c>
      <c r="C58" s="59"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9" t="s">
        <v>392</v>
      </c>
      <c r="C59" s="59"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9" t="s">
        <v>393</v>
      </c>
      <c r="C60" s="59"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9" t="s">
        <v>325</v>
      </c>
      <c r="C61" s="59"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394</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395</v>
      </c>
      <c r="E1" s="3" t="s">
        <v>396</v>
      </c>
    </row>
    <row r="2" customFormat="false" ht="15" hidden="false" customHeight="true" outlineLevel="0" collapsed="false">
      <c r="B2" s="28" t="s">
        <v>397</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398</v>
      </c>
    </row>
    <row r="5" customFormat="false" ht="15" hidden="false" customHeight="true" outlineLevel="0" collapsed="false">
      <c r="B5" s="15" t="s">
        <v>242</v>
      </c>
      <c r="C5" s="31" t="s">
        <v>243</v>
      </c>
      <c r="D5" s="31" t="s">
        <v>244</v>
      </c>
      <c r="E5" s="31" t="s">
        <v>245</v>
      </c>
      <c r="F5" s="32" t="s">
        <v>246</v>
      </c>
      <c r="G5" s="16"/>
    </row>
    <row r="6" customFormat="false" ht="15" hidden="false" customHeight="true" outlineLevel="0" collapsed="false">
      <c r="B6" s="9" t="s">
        <v>399</v>
      </c>
      <c r="C6" s="33"/>
      <c r="D6" s="34" t="s">
        <v>248</v>
      </c>
      <c r="E6" s="35" t="s">
        <v>400</v>
      </c>
      <c r="F6" s="36" t="n">
        <v>350000</v>
      </c>
      <c r="G6" s="37" t="str">
        <f aca="false">IF(ISBLANK(C6),IF(Fill_Example="Yes",F6,""),C6)</f>
        <v/>
      </c>
    </row>
    <row r="7" customFormat="false" ht="21.75" hidden="false" customHeight="true" outlineLevel="0" collapsed="false">
      <c r="B7" s="9" t="s">
        <v>401</v>
      </c>
      <c r="C7" s="41"/>
      <c r="D7" s="34" t="s">
        <v>259</v>
      </c>
      <c r="E7" s="35"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3" t="n">
        <v>0.1</v>
      </c>
      <c r="G7" s="44" t="str">
        <f aca="false">IF(ISBLANK(C7),IF(Fill_Example="Yes",F7,""),C7)</f>
        <v/>
      </c>
    </row>
    <row r="8" customFormat="false" ht="21.75" hidden="false" customHeight="true" outlineLevel="0" collapsed="false">
      <c r="B8" s="9" t="s">
        <v>263</v>
      </c>
      <c r="C8" s="33"/>
      <c r="D8" s="34" t="s">
        <v>248</v>
      </c>
      <c r="E8" s="42"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6" t="str">
        <f aca="false">IF(ISNUMBER(Suggest_Buying_Fees),Suggest_Buying_Fees,"")</f>
        <v/>
      </c>
      <c r="G8" s="37" t="n">
        <f aca="false">IF(ISBLANK(C8),IF(AND(Fill_Example="Yes",ISNUMBER(F8)),F8,0),C8)</f>
        <v>0</v>
      </c>
    </row>
    <row r="9" customFormat="false" ht="21.75" hidden="false" customHeight="true" outlineLevel="0" collapsed="false">
      <c r="B9" s="9" t="s">
        <v>402</v>
      </c>
      <c r="C9" s="33"/>
      <c r="D9" s="34" t="s">
        <v>248</v>
      </c>
      <c r="E9" s="35" t="s">
        <v>403</v>
      </c>
      <c r="F9" s="36" t="n">
        <v>12000</v>
      </c>
      <c r="G9" s="37" t="str">
        <f aca="false">IF(ISBLANK(C9),IF(Fill_Example="Yes",F9,""),C9)</f>
        <v/>
      </c>
    </row>
    <row r="10" customFormat="false" ht="15" hidden="false" customHeight="true" outlineLevel="0" collapsed="false">
      <c r="B10" s="9" t="s">
        <v>404</v>
      </c>
      <c r="C10" s="33"/>
      <c r="D10" s="34" t="s">
        <v>248</v>
      </c>
      <c r="E10" s="35" t="s">
        <v>405</v>
      </c>
      <c r="F10" s="36" t="n">
        <v>800</v>
      </c>
      <c r="G10" s="37" t="str">
        <f aca="false">IF(AND(ISNUMBER(C10),N(C10)&lt;50),"",IF(ISBLANK(C10),IF(Fill_Example="Yes",F10,""),C10))</f>
        <v/>
      </c>
    </row>
    <row r="11" customFormat="false" ht="15" hidden="false" customHeight="true" outlineLevel="0" collapsed="false">
      <c r="B11" s="9" t="s">
        <v>406</v>
      </c>
      <c r="C11" s="33"/>
      <c r="D11" s="34" t="s">
        <v>248</v>
      </c>
      <c r="E11" s="35" t="s">
        <v>407</v>
      </c>
      <c r="F11" s="36" t="n">
        <v>0</v>
      </c>
      <c r="G11" s="37" t="n">
        <f aca="false">IF(ISBLANK(C11),F11,C11)</f>
        <v>0</v>
      </c>
    </row>
    <row r="13" customFormat="false" ht="15" hidden="false" customHeight="true" outlineLevel="0" collapsed="false">
      <c r="B13" s="15" t="s">
        <v>268</v>
      </c>
      <c r="C13" s="31" t="s">
        <v>269</v>
      </c>
      <c r="D13" s="31" t="s">
        <v>270</v>
      </c>
      <c r="E13" s="31" t="s">
        <v>271</v>
      </c>
      <c r="F13" s="16"/>
      <c r="G13" s="16"/>
    </row>
    <row r="14" customFormat="false" ht="23.25" hidden="false" customHeight="true" outlineLevel="0" collapsed="false">
      <c r="B14" s="28" t="s">
        <v>408</v>
      </c>
      <c r="C14" s="69" t="str">
        <f aca="false">IF(Need_1&lt;&gt;"",Need_1,IF(Still_To_Save=0,0,ROUNDUP(Still_To_Save/(Monthly_Saving+Extra_Saving),0)))</f>
        <v>Choose your home price to see this</v>
      </c>
      <c r="D14" s="70"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9" t="s">
        <v>409</v>
      </c>
    </row>
    <row r="15" customFormat="false" ht="17.25" hidden="false" customHeight="true" outlineLevel="0" collapsed="false">
      <c r="B15" s="28" t="s">
        <v>410</v>
      </c>
      <c r="C15" s="48" t="str">
        <f aca="false">IF(Need_2&lt;&gt;"",Need_2,Deposit_Needed+Stamp_Duty+Buying_Fees)</f>
        <v>Choose your home price to see this</v>
      </c>
      <c r="D15" s="34" t="s">
        <v>248</v>
      </c>
      <c r="E15" s="49" t="s">
        <v>411</v>
      </c>
    </row>
    <row r="16" customFormat="false" ht="17.25" hidden="false" customHeight="true" outlineLevel="0" collapsed="false">
      <c r="B16" s="28" t="s">
        <v>412</v>
      </c>
      <c r="C16" s="48" t="str">
        <f aca="false">IF(Need_3&lt;&gt;"",Need_3,MAX(0,Total_Needed-Saved))</f>
        <v>Choose your home price to see this</v>
      </c>
      <c r="D16" s="34" t="s">
        <v>248</v>
      </c>
      <c r="E16" s="49" t="s">
        <v>413</v>
      </c>
    </row>
    <row r="17" customFormat="false" ht="15" hidden="false" customHeight="true" outlineLevel="0" collapsed="false">
      <c r="B17" s="9" t="s">
        <v>414</v>
      </c>
      <c r="C17" s="50" t="str">
        <f aca="false">IF(Need_4&lt;&gt;"",Need_4,Home_Price*Deposit_Pct)</f>
        <v>Choose your home price to see this</v>
      </c>
      <c r="D17" s="34" t="s">
        <v>248</v>
      </c>
      <c r="E17" s="49" t="s">
        <v>415</v>
      </c>
    </row>
    <row r="18" customFormat="false" ht="21.75" hidden="false" customHeight="true" outlineLevel="0" collapsed="false">
      <c r="B18" s="9" t="s">
        <v>416</v>
      </c>
      <c r="C18" s="50" t="str">
        <f aca="false">IF(Need_5&lt;&gt;"",Need_5,SD_Rate_1*MIN(Home_Price,SD_Band_1)+SD_Rate_2*MAX(0,MIN(Home_Price,SD_Band_2)-SD_Band_1)+SD_Rate_3*MAX(0,Home_Price-SD_Band_2))</f>
        <v>Choose your home price to see this</v>
      </c>
      <c r="D18" s="34" t="s">
        <v>248</v>
      </c>
      <c r="E18" s="49" t="s">
        <v>279</v>
      </c>
    </row>
    <row r="20" customFormat="false" ht="15" hidden="false" customHeight="true" outlineLevel="0" collapsed="false">
      <c r="B20" s="15" t="s">
        <v>301</v>
      </c>
      <c r="C20" s="16"/>
      <c r="D20" s="16"/>
      <c r="E20" s="16"/>
      <c r="F20" s="16"/>
      <c r="G20" s="16"/>
    </row>
    <row r="21" customFormat="false" ht="13.5" hidden="false" customHeight="true" outlineLevel="0" collapsed="false">
      <c r="B21" s="53" t="s">
        <v>417</v>
      </c>
      <c r="C21" s="53"/>
      <c r="D21" s="53"/>
      <c r="E21" s="53"/>
    </row>
    <row r="22" customFormat="false" ht="13.5" hidden="false" customHeight="true" outlineLevel="0" collapsed="false">
      <c r="B22" s="53" t="s">
        <v>418</v>
      </c>
      <c r="C22" s="53"/>
      <c r="D22" s="53"/>
      <c r="E22" s="53"/>
    </row>
    <row r="23" customFormat="false" ht="13.5" hidden="false" customHeight="true" outlineLevel="0" collapsed="false">
      <c r="B23" s="54" t="s">
        <v>304</v>
      </c>
      <c r="C23" s="54"/>
      <c r="D23" s="54"/>
      <c r="E23" s="54"/>
    </row>
    <row r="24" customFormat="false" ht="13.5" hidden="false" customHeight="true" outlineLevel="0" collapsed="false">
      <c r="B24" s="53" t="str">
        <f aca="false">"• Deposit % "&amp;"starts at "&amp;TEXT(Min_Deposit_Pct,"0%")&amp;", the Central Bank minimum ("&amp;TEXT(LTV_Max,"0%")&amp;" loan-to-value)."</f>
        <v>• Deposit % starts at 10%, the Central Bank minimum (90% loan-to-value).</v>
      </c>
      <c r="C24" s="53"/>
      <c r="D24" s="53"/>
      <c r="E24" s="53"/>
    </row>
    <row r="25" customFormat="false" ht="13.5" hidden="false" customHeight="true" outlineLevel="0" collapsed="false">
      <c r="B25" s="53" t="s">
        <v>419</v>
      </c>
      <c r="C25" s="53"/>
      <c r="D25" s="53"/>
      <c r="E25" s="53"/>
    </row>
    <row r="26" customFormat="false" ht="13.5" hidden="false" customHeight="true" outlineLevel="0" collapsed="false">
      <c r="B26" s="53" t="s">
        <v>420</v>
      </c>
      <c r="C26" s="53"/>
      <c r="D26" s="53"/>
      <c r="E26" s="53"/>
    </row>
    <row r="28" customFormat="false" ht="15" hidden="false" customHeight="true" outlineLevel="0" collapsed="false">
      <c r="B28" s="15" t="s">
        <v>309</v>
      </c>
      <c r="C28" s="16"/>
      <c r="D28" s="16"/>
      <c r="E28" s="16"/>
      <c r="F28" s="16"/>
      <c r="G28" s="16"/>
    </row>
    <row r="29" customFormat="false" ht="15" hidden="false" customHeight="true" outlineLevel="0" collapsed="false">
      <c r="B29" s="9" t="s">
        <v>310</v>
      </c>
      <c r="C29" s="55" t="str">
        <f aca="false">"Home deposit"</f>
        <v>Home deposit</v>
      </c>
      <c r="E29" s="56" t="s">
        <v>421</v>
      </c>
    </row>
    <row r="30" customFormat="false" ht="15" hidden="false" customHeight="true" outlineLevel="0" collapsed="false">
      <c r="B30" s="9" t="s">
        <v>422</v>
      </c>
      <c r="C30" s="57" t="str">
        <f aca="false">IF(Need_2&lt;&gt;"",Need_2,ROUND(Total_Needed,0))</f>
        <v>Choose your home price to see this</v>
      </c>
      <c r="E30" s="56" t="s">
        <v>423</v>
      </c>
    </row>
    <row r="31" customFormat="false" ht="15" hidden="false" customHeight="true" outlineLevel="0" collapsed="false">
      <c r="B31" s="9" t="s">
        <v>314</v>
      </c>
      <c r="C31" s="57" t="str">
        <f aca="false">IF(Need_6&lt;&gt;"",Need_6,Saved)</f>
        <v>Choose your saved so far to see this</v>
      </c>
      <c r="E31" s="56" t="s">
        <v>424</v>
      </c>
    </row>
    <row r="32" customFormat="false" ht="15" hidden="false" customHeight="true" outlineLevel="0" collapsed="false">
      <c r="B32" s="9" t="s">
        <v>316</v>
      </c>
      <c r="C32" s="58" t="str">
        <f aca="false">IF(Need_1&lt;&gt;"",Need_1,MAX(1,ROUNDUP(Months_To_Deposit/12,0)))</f>
        <v>Choose your home price to see this</v>
      </c>
      <c r="E32" s="56" t="s">
        <v>425</v>
      </c>
    </row>
    <row r="34" customFormat="false" ht="15" hidden="false" customHeight="true" outlineLevel="0" collapsed="false">
      <c r="B34" s="15" t="s">
        <v>318</v>
      </c>
      <c r="C34" s="16"/>
      <c r="D34" s="16"/>
      <c r="E34" s="16"/>
      <c r="F34" s="16"/>
      <c r="G34" s="16"/>
    </row>
    <row r="35" customFormat="false" ht="15" hidden="false" customHeight="true" outlineLevel="0" collapsed="false">
      <c r="B35" s="59" t="s">
        <v>426</v>
      </c>
      <c r="C35" s="59"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9" t="s">
        <v>427</v>
      </c>
      <c r="C36" s="59"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9" t="s">
        <v>428</v>
      </c>
      <c r="C37" s="59"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9" t="s">
        <v>429</v>
      </c>
      <c r="C38" s="59" t="str">
        <f aca="false">IF(Home_Price="","Choose your home price to see this",IF(Deposit_Pct="","Choose your deposit % to see this",""))</f>
        <v>Choose your home price to see this</v>
      </c>
    </row>
    <row r="39" customFormat="false" ht="15" hidden="false" customHeight="true" outlineLevel="0" collapsed="false">
      <c r="B39" s="59" t="s">
        <v>430</v>
      </c>
      <c r="C39" s="59" t="str">
        <f aca="false">IF(Home_Price="","Choose your home price to see this","")</f>
        <v>Choose your home price to see this</v>
      </c>
    </row>
    <row r="40" customFormat="false" ht="15" hidden="false" customHeight="true" outlineLevel="0" collapsed="false">
      <c r="B40" s="59" t="s">
        <v>431</v>
      </c>
      <c r="C40" s="59" t="str">
        <f aca="false">IF(Saved="","Choose your saved so far to see this","")</f>
        <v>Choose your saved so far to see this</v>
      </c>
    </row>
    <row r="42" customFormat="false" ht="15" hidden="false" customHeight="true" outlineLevel="0" collapsed="false">
      <c r="B42" s="23" t="s">
        <v>326</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432</v>
      </c>
      <c r="E1" s="3" t="s">
        <v>433</v>
      </c>
    </row>
    <row r="2" customFormat="false" ht="15" hidden="false" customHeight="true" outlineLevel="0" collapsed="false">
      <c r="B2" s="28" t="s">
        <v>434</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435</v>
      </c>
    </row>
    <row r="5" customFormat="false" ht="15" hidden="false" customHeight="true" outlineLevel="0" collapsed="false">
      <c r="B5" s="15" t="s">
        <v>331</v>
      </c>
      <c r="C5" s="16"/>
      <c r="D5" s="16"/>
      <c r="E5" s="16"/>
      <c r="F5" s="16"/>
      <c r="G5" s="16"/>
    </row>
    <row r="6" customFormat="false" ht="27.75" hidden="false" customHeight="true" outlineLevel="0" collapsed="false">
      <c r="B6" s="60" t="s">
        <v>332</v>
      </c>
      <c r="C6" s="60"/>
      <c r="D6" s="60"/>
      <c r="E6" s="60"/>
    </row>
    <row r="7" customFormat="false" ht="15" hidden="false" customHeight="true" outlineLevel="0" collapsed="false">
      <c r="B7" s="9" t="s">
        <v>333</v>
      </c>
      <c r="C7" s="61"/>
      <c r="D7" s="34" t="s">
        <v>248</v>
      </c>
      <c r="E7" s="35" t="s">
        <v>334</v>
      </c>
      <c r="G7" s="59" t="s">
        <v>335</v>
      </c>
    </row>
    <row r="8" customFormat="false" ht="15" hidden="false" customHeight="true" outlineLevel="0" collapsed="false">
      <c r="B8" s="9" t="s">
        <v>336</v>
      </c>
      <c r="C8" s="62"/>
      <c r="D8" s="34" t="s">
        <v>259</v>
      </c>
      <c r="E8" s="35" t="s">
        <v>337</v>
      </c>
      <c r="G8" s="59" t="s">
        <v>335</v>
      </c>
    </row>
    <row r="9" customFormat="false" ht="15" hidden="false" customHeight="true" outlineLevel="0" collapsed="false">
      <c r="B9" s="9" t="s">
        <v>338</v>
      </c>
      <c r="C9" s="63"/>
      <c r="D9" s="34" t="s">
        <v>261</v>
      </c>
      <c r="E9" s="35" t="s">
        <v>339</v>
      </c>
      <c r="G9" s="59" t="s">
        <v>335</v>
      </c>
    </row>
    <row r="10" customFormat="false" ht="15" hidden="false" customHeight="true" outlineLevel="0" collapsed="false">
      <c r="B10" s="9" t="s">
        <v>340</v>
      </c>
      <c r="C10" s="61"/>
      <c r="D10" s="34" t="s">
        <v>248</v>
      </c>
      <c r="E10" s="35" t="s">
        <v>341</v>
      </c>
      <c r="G10" s="59" t="s">
        <v>335</v>
      </c>
    </row>
    <row r="11" customFormat="false" ht="15" hidden="false" customHeight="true" outlineLevel="0" collapsed="false">
      <c r="B11" s="9" t="s">
        <v>342</v>
      </c>
      <c r="C11" s="64"/>
      <c r="D11" s="34" t="s">
        <v>343</v>
      </c>
      <c r="E11" s="35" t="s">
        <v>344</v>
      </c>
      <c r="G11" s="59" t="s">
        <v>335</v>
      </c>
    </row>
    <row r="13" customFormat="false" ht="15" hidden="false" customHeight="true" outlineLevel="0" collapsed="false">
      <c r="B13" s="15" t="s">
        <v>345</v>
      </c>
      <c r="C13" s="31" t="s">
        <v>243</v>
      </c>
      <c r="D13" s="31" t="s">
        <v>244</v>
      </c>
      <c r="E13" s="31" t="s">
        <v>245</v>
      </c>
      <c r="F13" s="32" t="s">
        <v>246</v>
      </c>
      <c r="G13" s="16"/>
    </row>
    <row r="14" customFormat="false" ht="21.75" hidden="false" customHeight="true" outlineLevel="0" collapsed="false">
      <c r="B14" s="9" t="s">
        <v>436</v>
      </c>
      <c r="C14" s="33"/>
      <c r="D14" s="34" t="s">
        <v>248</v>
      </c>
      <c r="E14" s="35" t="s">
        <v>437</v>
      </c>
      <c r="F14" s="36" t="n">
        <v>250000</v>
      </c>
      <c r="G14" s="37" t="str">
        <f aca="false">IF(ISBLANK(C14),IF(Fill_Example="Yes",F14,""),C14)</f>
        <v/>
      </c>
    </row>
    <row r="15" customFormat="false" ht="33" hidden="false" customHeight="true" outlineLevel="0" collapsed="false">
      <c r="B15" s="9" t="s">
        <v>336</v>
      </c>
      <c r="C15" s="41"/>
      <c r="D15" s="34" t="s">
        <v>259</v>
      </c>
      <c r="E15" s="4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3" t="n">
        <f aca="false">IF(ISNUMBER(Suggest_Mortgage_Rate),Suggest_Mortgage_Rate,"")</f>
        <v>0.0348</v>
      </c>
      <c r="G15" s="44" t="str">
        <f aca="false">IF(ISBLANK(C15),IF(Fill_Example="Yes",F15,""),C15)</f>
        <v/>
      </c>
    </row>
    <row r="16" customFormat="false" ht="21.75" hidden="false" customHeight="true" outlineLevel="0" collapsed="false">
      <c r="B16" s="9" t="s">
        <v>438</v>
      </c>
      <c r="C16" s="45"/>
      <c r="D16" s="34" t="s">
        <v>261</v>
      </c>
      <c r="E16" s="35" t="s">
        <v>439</v>
      </c>
      <c r="F16" s="46" t="n">
        <v>25</v>
      </c>
      <c r="G16" s="47" t="str">
        <f aca="false">IF(AND(ISNUMBER(C16),N(C16)&lt;3),"",IF(ISBLANK(C16),IF(Fill_Example="Yes",F16,""),C16))</f>
        <v/>
      </c>
    </row>
    <row r="17" customFormat="false" ht="15" hidden="false" customHeight="true" outlineLevel="0" collapsed="false">
      <c r="B17" s="9" t="s">
        <v>440</v>
      </c>
      <c r="C17" s="33"/>
      <c r="D17" s="34" t="s">
        <v>248</v>
      </c>
      <c r="E17" s="35" t="s">
        <v>441</v>
      </c>
      <c r="F17" s="36" t="n">
        <v>200</v>
      </c>
      <c r="G17" s="37" t="str">
        <f aca="false">IF(ISBLANK(C17),IF(Fill_Example="Yes",F17,""),C17)</f>
        <v/>
      </c>
    </row>
    <row r="18" customFormat="false" ht="15" hidden="false" customHeight="true" outlineLevel="0" collapsed="false">
      <c r="B18" s="9" t="s">
        <v>350</v>
      </c>
      <c r="C18" s="33"/>
      <c r="D18" s="34" t="s">
        <v>248</v>
      </c>
      <c r="E18" s="35" t="s">
        <v>351</v>
      </c>
      <c r="F18" s="36" t="n">
        <v>0</v>
      </c>
      <c r="G18" s="37" t="n">
        <f aca="false">IF(ISBLANK(C18),F18,C18)</f>
        <v>0</v>
      </c>
    </row>
    <row r="20" customFormat="false" ht="15" hidden="false" customHeight="true" outlineLevel="0" collapsed="false">
      <c r="B20" s="15" t="s">
        <v>354</v>
      </c>
      <c r="C20" s="16"/>
      <c r="D20" s="16"/>
      <c r="E20" s="16"/>
      <c r="F20" s="16"/>
      <c r="G20" s="16"/>
    </row>
    <row r="21" customFormat="false" ht="15" hidden="false" customHeight="true" outlineLevel="0" collapsed="false">
      <c r="B21" s="9" t="s">
        <v>436</v>
      </c>
      <c r="C21" s="65" t="str">
        <f aca="false">IF(ISBLANK(Stmt_Balance),Mortgage_Balance,Stmt_Balance)</f>
        <v/>
      </c>
      <c r="D21" s="66" t="str">
        <f aca="false">IF(ISBLANK(Stmt_Balance),"Your figure","From your statement")</f>
        <v>Your figure</v>
      </c>
      <c r="E21" s="56" t="s">
        <v>442</v>
      </c>
    </row>
    <row r="22" customFormat="false" ht="15" hidden="false" customHeight="true" outlineLevel="0" collapsed="false">
      <c r="B22" s="9" t="s">
        <v>336</v>
      </c>
      <c r="C22" s="67" t="str">
        <f aca="false">IF(ISBLANK(Stmt_Rate),Interest_Rate,Stmt_Rate)</f>
        <v/>
      </c>
      <c r="D22" s="66" t="str">
        <f aca="false">IF(ISBLANK(Stmt_Rate),"Your figure","From your statement")</f>
        <v>Your figure</v>
      </c>
      <c r="E22" s="56" t="s">
        <v>356</v>
      </c>
    </row>
    <row r="23" customFormat="false" ht="15" hidden="false" customHeight="true" outlineLevel="0" collapsed="false">
      <c r="B23" s="9" t="s">
        <v>438</v>
      </c>
      <c r="C23" s="68" t="str">
        <f aca="false">IF(ISBLANK(Stmt_Term),Years_Left,Stmt_Term)</f>
        <v/>
      </c>
      <c r="D23" s="66" t="str">
        <f aca="false">IF(ISBLANK(Stmt_Term),"Your figure","From your statement")</f>
        <v>Your figure</v>
      </c>
      <c r="E23" s="56" t="s">
        <v>443</v>
      </c>
    </row>
    <row r="24" customFormat="false" ht="15" hidden="false" customHeight="true" outlineLevel="0" collapsed="false">
      <c r="B24" s="9" t="s">
        <v>359</v>
      </c>
      <c r="C24" s="65" t="n">
        <f aca="false">IF(ISBLANK(Stmt_Repayment),Actual_Repayment,Stmt_Repayment)</f>
        <v>0</v>
      </c>
      <c r="D24" s="66" t="str">
        <f aca="false">IF(ISBLANK(Stmt_Repayment),"Your figure","From your statement")</f>
        <v>Your figure</v>
      </c>
      <c r="E24" s="56" t="s">
        <v>360</v>
      </c>
    </row>
    <row r="25" customFormat="false" ht="21.75" hidden="false" customHeight="true" outlineLevel="0" collapsed="false">
      <c r="B25" s="9" t="s">
        <v>361</v>
      </c>
      <c r="C25" s="52" t="str">
        <f aca="true">IF(ISBLANK(Stmt_Statement_Date),"",IF(TODAY()-Stmt_Statement_Date&gt;Statement_Max_Age_Days,"Needs a look: statement is more than 12 months old","Up to date"))</f>
        <v/>
      </c>
      <c r="D25" s="34"/>
      <c r="E25" s="49" t="s">
        <v>362</v>
      </c>
    </row>
    <row r="27" customFormat="false" ht="15" hidden="false" customHeight="true" outlineLevel="0" collapsed="false">
      <c r="B27" s="15" t="s">
        <v>268</v>
      </c>
      <c r="C27" s="31" t="s">
        <v>269</v>
      </c>
      <c r="D27" s="31" t="s">
        <v>270</v>
      </c>
      <c r="E27" s="31" t="s">
        <v>271</v>
      </c>
      <c r="F27" s="16"/>
      <c r="G27" s="16"/>
    </row>
    <row r="28" customFormat="false" ht="23.25" hidden="false" customHeight="true" outlineLevel="0" collapsed="false">
      <c r="B28" s="28" t="s">
        <v>444</v>
      </c>
      <c r="C28" s="69" t="str">
        <f aca="false">IF(Need_1&lt;&gt;"",Need_1,IF(OR(Months_Now="Never",Months_With_Extra="Never"),"—",Months_Now-Months_With_Extra))</f>
        <v>Choose your extra each month to see this</v>
      </c>
      <c r="D28" s="70"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9" t="s">
        <v>445</v>
      </c>
    </row>
    <row r="29" customFormat="false" ht="17.25" hidden="false" customHeight="true" outlineLevel="0" collapsed="false">
      <c r="B29" s="28" t="s">
        <v>446</v>
      </c>
      <c r="C29" s="48" t="str">
        <f aca="false">IF(Need_1&lt;&gt;"",Need_1,IF(OR(Months_Now="Never",Months_With_Extra="Never"),"—",Interest_Now-Interest_With_Extra))</f>
        <v>Choose your extra each month to see this</v>
      </c>
      <c r="D29" s="34" t="s">
        <v>248</v>
      </c>
      <c r="E29" s="49" t="s">
        <v>447</v>
      </c>
    </row>
    <row r="30" customFormat="false" ht="23.25" hidden="false" customHeight="true" outlineLevel="0" collapsed="false">
      <c r="B30" s="9" t="s">
        <v>448</v>
      </c>
      <c r="C30" s="73" t="str">
        <f aca="false">IF(Need_2&lt;&gt;"",Need_2,IF(Repayment_Now&lt;=Used_Mortgage_Balance*Monthly_Rate,"Never",ROUNDUP(ROUND(NPER(Monthly_Rate,-Repayment_Now,Used_Mortgage_Balance),6),0)))</f>
        <v>Choose your mortgage balance to see this</v>
      </c>
      <c r="D30" s="74"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9" t="s">
        <v>449</v>
      </c>
    </row>
    <row r="31" customFormat="false" ht="23.25" hidden="false" customHeight="true" outlineLevel="0" collapsed="false">
      <c r="B31" s="9" t="s">
        <v>450</v>
      </c>
      <c r="C31" s="73" t="str">
        <f aca="false">IF(Need_1&lt;&gt;"",Need_1,IF(Repayment_With_Extra&lt;=Used_Mortgage_Balance*Monthly_Rate,"Never",ROUNDUP(ROUND(NPER(Monthly_Rate,-Repayment_With_Extra,Used_Mortgage_Balance),6),0)))</f>
        <v>Choose your extra each month to see this</v>
      </c>
      <c r="D31" s="74"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9" t="s">
        <v>451</v>
      </c>
    </row>
    <row r="32" customFormat="false" ht="15" hidden="false" customHeight="true" outlineLevel="0" collapsed="false">
      <c r="B32" s="9" t="s">
        <v>370</v>
      </c>
      <c r="C32" s="71" t="str">
        <f aca="false">IF(Need_3&lt;&gt;"",Need_3,Used_Interest_Rate/12)</f>
        <v>Choose your mortgage rate to see this</v>
      </c>
      <c r="D32" s="34"/>
      <c r="E32" s="49" t="s">
        <v>371</v>
      </c>
    </row>
    <row r="33" customFormat="false" ht="15" hidden="false" customHeight="true" outlineLevel="0" collapsed="false">
      <c r="B33" s="9" t="s">
        <v>452</v>
      </c>
      <c r="C33" s="50" t="str">
        <f aca="false">IF(Need_2&lt;&gt;"",Need_2,IF(Used_Actual_Repayment&gt;0,Used_Actual_Repayment,PMT(Monthly_Rate,Used_Years_Left*12,-Used_Mortgage_Balance)))</f>
        <v>Choose your mortgage balance to see this</v>
      </c>
      <c r="D33" s="34" t="s">
        <v>248</v>
      </c>
      <c r="E33" s="49" t="s">
        <v>453</v>
      </c>
    </row>
    <row r="34" customFormat="false" ht="15" hidden="false" customHeight="true" outlineLevel="0" collapsed="false">
      <c r="B34" s="9" t="s">
        <v>454</v>
      </c>
      <c r="C34" s="50" t="str">
        <f aca="false">IF(Need_1&lt;&gt;"",Need_1,Repayment_Now+Extra_Payment)</f>
        <v>Choose your extra each month to see this</v>
      </c>
      <c r="D34" s="34" t="s">
        <v>248</v>
      </c>
      <c r="E34" s="49" t="s">
        <v>455</v>
      </c>
    </row>
    <row r="35" customFormat="false" ht="21.75" hidden="false" customHeight="true" outlineLevel="0" collapsed="false">
      <c r="B35" s="9" t="s">
        <v>456</v>
      </c>
      <c r="C35" s="50" t="str">
        <f aca="false">IF(Need_2&lt;&gt;"",Need_2,IF(Months_Now="Never","—",-FV(Monthly_Rate,Months_Now-1,-Repayment_Now,Used_Mortgage_Balance)*(1+Monthly_Rate)))</f>
        <v>Choose your mortgage balance to see this</v>
      </c>
      <c r="D35" s="34" t="s">
        <v>248</v>
      </c>
      <c r="E35" s="49" t="s">
        <v>457</v>
      </c>
    </row>
    <row r="36" customFormat="false" ht="21.75" hidden="false" customHeight="true" outlineLevel="0" collapsed="false">
      <c r="B36" s="9" t="s">
        <v>458</v>
      </c>
      <c r="C36" s="50" t="str">
        <f aca="false">IF(Need_1&lt;&gt;"",Need_1,IF(Months_With_Extra="Never","—",-FV(Monthly_Rate,Months_With_Extra-1,-Repayment_With_Extra,Used_Mortgage_Balance)*(1+Monthly_Rate)))</f>
        <v>Choose your extra each month to see this</v>
      </c>
      <c r="D36" s="34" t="s">
        <v>248</v>
      </c>
      <c r="E36" s="49" t="s">
        <v>459</v>
      </c>
    </row>
    <row r="37" customFormat="false" ht="15" hidden="false" customHeight="true" outlineLevel="0" collapsed="false">
      <c r="B37" s="9" t="s">
        <v>460</v>
      </c>
      <c r="C37" s="50" t="str">
        <f aca="false">IF(Need_2&lt;&gt;"",Need_2,IF(Months_Now="Never","—",Repayment_Now*(Months_Now-1)+Last_Payment_Now-Used_Mortgage_Balance))</f>
        <v>Choose your mortgage balance to see this</v>
      </c>
      <c r="D37" s="34" t="s">
        <v>248</v>
      </c>
      <c r="E37" s="49" t="s">
        <v>461</v>
      </c>
    </row>
    <row r="38" customFormat="false" ht="21.75" hidden="false" customHeight="true" outlineLevel="0" collapsed="false">
      <c r="B38" s="9" t="s">
        <v>462</v>
      </c>
      <c r="C38" s="50" t="str">
        <f aca="false">IF(Need_1&lt;&gt;"",Need_1,IF(Months_With_Extra="Never","—",Repayment_With_Extra*(Months_With_Extra-1)+Last_Payment_With_Extra-Used_Mortgage_Balance))</f>
        <v>Choose your extra each month to see this</v>
      </c>
      <c r="D38" s="34" t="s">
        <v>248</v>
      </c>
      <c r="E38" s="49" t="s">
        <v>463</v>
      </c>
    </row>
    <row r="40" customFormat="false" ht="15" hidden="false" customHeight="true" outlineLevel="0" collapsed="false">
      <c r="B40" s="15" t="s">
        <v>301</v>
      </c>
      <c r="C40" s="16"/>
      <c r="D40" s="16"/>
      <c r="E40" s="16"/>
      <c r="F40" s="16"/>
      <c r="G40" s="16"/>
    </row>
    <row r="41" customFormat="false" ht="13.5" hidden="false" customHeight="true" outlineLevel="0" collapsed="false">
      <c r="B41" s="53" t="s">
        <v>464</v>
      </c>
      <c r="C41" s="53"/>
      <c r="D41" s="53"/>
      <c r="E41" s="53"/>
    </row>
    <row r="42" customFormat="false" ht="27.75" hidden="false" customHeight="true" outlineLevel="0" collapsed="false">
      <c r="B42" s="53" t="s">
        <v>465</v>
      </c>
      <c r="C42" s="53"/>
      <c r="D42" s="53"/>
      <c r="E42" s="53"/>
    </row>
    <row r="43" customFormat="false" ht="13.5" hidden="false" customHeight="true" outlineLevel="0" collapsed="false">
      <c r="B43" s="54" t="s">
        <v>304</v>
      </c>
      <c r="C43" s="54"/>
      <c r="D43" s="54"/>
      <c r="E43" s="54"/>
    </row>
    <row r="44" customFormat="false" ht="13.5" hidden="false" customHeight="true" outlineLevel="0" collapsed="false">
      <c r="B44" s="53" t="s">
        <v>466</v>
      </c>
      <c r="C44" s="53"/>
      <c r="D44" s="53"/>
      <c r="E44" s="53"/>
    </row>
    <row r="45" customFormat="false" ht="13.5" hidden="false" customHeight="true" outlineLevel="0" collapsed="false">
      <c r="B45" s="53" t="s">
        <v>467</v>
      </c>
      <c r="C45" s="53"/>
      <c r="D45" s="53"/>
      <c r="E45" s="53"/>
    </row>
    <row r="46" customFormat="false" ht="13.5" hidden="false" customHeight="true" outlineLevel="0" collapsed="false">
      <c r="B46" s="53" t="s">
        <v>386</v>
      </c>
      <c r="C46" s="53"/>
      <c r="D46" s="53"/>
      <c r="E46" s="53"/>
    </row>
    <row r="47" customFormat="false" ht="27.75" hidden="false" customHeight="true" outlineLevel="0" collapsed="false">
      <c r="B47" s="53" t="s">
        <v>387</v>
      </c>
      <c r="C47" s="53"/>
      <c r="D47" s="53"/>
      <c r="E47" s="53"/>
    </row>
    <row r="48" customFormat="false" ht="13.5" hidden="false" customHeight="true" outlineLevel="0" collapsed="false">
      <c r="B48" s="53" t="s">
        <v>468</v>
      </c>
      <c r="C48" s="53"/>
      <c r="D48" s="53"/>
      <c r="E48" s="53"/>
    </row>
    <row r="50" customFormat="false" ht="15" hidden="false" customHeight="true" outlineLevel="0" collapsed="false">
      <c r="B50" s="15" t="s">
        <v>309</v>
      </c>
      <c r="C50" s="16"/>
      <c r="D50" s="16"/>
      <c r="E50" s="16"/>
      <c r="F50" s="16"/>
      <c r="G50" s="16"/>
    </row>
    <row r="51" customFormat="false" ht="15" hidden="false" customHeight="true" outlineLevel="0" collapsed="false">
      <c r="B51" s="9" t="s">
        <v>310</v>
      </c>
      <c r="C51" s="55" t="str">
        <f aca="false">IF(Need_1&lt;&gt;"",Need_1,IF(Months_With_Extra="Never","No goal","Mortgage free (plan kind mfree, priced from your mortgage; no cash amount)"))</f>
        <v>Choose your extra each month to see this</v>
      </c>
      <c r="E51" s="56" t="s">
        <v>469</v>
      </c>
    </row>
    <row r="52" customFormat="false" ht="15" hidden="false" customHeight="true" outlineLevel="0" collapsed="false">
      <c r="B52" s="9" t="s">
        <v>316</v>
      </c>
      <c r="C52" s="58" t="str">
        <f aca="false">IF(Need_1&lt;&gt;"",Need_1,IF(Months_With_Extra="Never","—",ROUNDUP(Months_With_Extra/12,0)))</f>
        <v>Choose your extra each month to see this</v>
      </c>
      <c r="E52" s="56" t="s">
        <v>470</v>
      </c>
    </row>
    <row r="53" customFormat="false" ht="27.75" hidden="false" customHeight="true" outlineLevel="0" collapsed="false">
      <c r="B53" s="60" t="s">
        <v>471</v>
      </c>
      <c r="C53" s="60"/>
      <c r="D53" s="60"/>
      <c r="E53" s="60"/>
    </row>
    <row r="55" customFormat="false" ht="15" hidden="false" customHeight="true" outlineLevel="0" collapsed="false">
      <c r="B55" s="15" t="s">
        <v>318</v>
      </c>
      <c r="C55" s="16"/>
      <c r="D55" s="16"/>
      <c r="E55" s="16"/>
      <c r="F55" s="16"/>
      <c r="G55" s="16"/>
    </row>
    <row r="56" customFormat="false" ht="15" hidden="false" customHeight="true" outlineLevel="0" collapsed="false">
      <c r="B56" s="59" t="s">
        <v>472</v>
      </c>
      <c r="C56" s="59"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9" t="s">
        <v>473</v>
      </c>
      <c r="C57" s="59"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9" t="s">
        <v>391</v>
      </c>
      <c r="C58" s="59"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474</v>
      </c>
      <c r="E1" s="3" t="s">
        <v>475</v>
      </c>
    </row>
    <row r="2" customFormat="false" ht="15" hidden="false" customHeight="true" outlineLevel="0" collapsed="false">
      <c r="B2" s="28" t="s">
        <v>476</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477</v>
      </c>
    </row>
    <row r="5" customFormat="false" ht="15" hidden="false" customHeight="true" outlineLevel="0" collapsed="false">
      <c r="B5" s="15" t="s">
        <v>331</v>
      </c>
      <c r="C5" s="16"/>
      <c r="D5" s="16"/>
      <c r="E5" s="16"/>
      <c r="F5" s="16"/>
      <c r="G5" s="16"/>
    </row>
    <row r="6" customFormat="false" ht="27.75" hidden="false" customHeight="true" outlineLevel="0" collapsed="false">
      <c r="B6" s="60" t="s">
        <v>332</v>
      </c>
      <c r="C6" s="60"/>
      <c r="D6" s="60"/>
      <c r="E6" s="60"/>
    </row>
    <row r="7" customFormat="false" ht="15" hidden="false" customHeight="true" outlineLevel="0" collapsed="false">
      <c r="B7" s="9" t="s">
        <v>333</v>
      </c>
      <c r="C7" s="61"/>
      <c r="D7" s="34" t="s">
        <v>248</v>
      </c>
      <c r="E7" s="35" t="s">
        <v>334</v>
      </c>
      <c r="G7" s="59" t="s">
        <v>335</v>
      </c>
    </row>
    <row r="8" customFormat="false" ht="15" hidden="false" customHeight="true" outlineLevel="0" collapsed="false">
      <c r="B8" s="9" t="s">
        <v>336</v>
      </c>
      <c r="C8" s="62"/>
      <c r="D8" s="34" t="s">
        <v>259</v>
      </c>
      <c r="E8" s="35" t="s">
        <v>337</v>
      </c>
      <c r="G8" s="59" t="s">
        <v>335</v>
      </c>
    </row>
    <row r="9" customFormat="false" ht="15" hidden="false" customHeight="true" outlineLevel="0" collapsed="false">
      <c r="B9" s="9" t="s">
        <v>338</v>
      </c>
      <c r="C9" s="63"/>
      <c r="D9" s="34" t="s">
        <v>261</v>
      </c>
      <c r="E9" s="35" t="s">
        <v>339</v>
      </c>
      <c r="G9" s="59" t="s">
        <v>335</v>
      </c>
    </row>
    <row r="10" customFormat="false" ht="15" hidden="false" customHeight="true" outlineLevel="0" collapsed="false">
      <c r="B10" s="9" t="s">
        <v>340</v>
      </c>
      <c r="C10" s="61"/>
      <c r="D10" s="34" t="s">
        <v>248</v>
      </c>
      <c r="E10" s="35" t="s">
        <v>341</v>
      </c>
      <c r="G10" s="59" t="s">
        <v>335</v>
      </c>
    </row>
    <row r="11" customFormat="false" ht="15" hidden="false" customHeight="true" outlineLevel="0" collapsed="false">
      <c r="B11" s="9" t="s">
        <v>342</v>
      </c>
      <c r="C11" s="64"/>
      <c r="D11" s="34" t="s">
        <v>343</v>
      </c>
      <c r="E11" s="35" t="s">
        <v>344</v>
      </c>
      <c r="G11" s="59" t="s">
        <v>335</v>
      </c>
    </row>
    <row r="13" customFormat="false" ht="15" hidden="false" customHeight="true" outlineLevel="0" collapsed="false">
      <c r="B13" s="15" t="s">
        <v>345</v>
      </c>
      <c r="C13" s="31" t="s">
        <v>243</v>
      </c>
      <c r="D13" s="31" t="s">
        <v>244</v>
      </c>
      <c r="E13" s="31" t="s">
        <v>245</v>
      </c>
      <c r="F13" s="32" t="s">
        <v>246</v>
      </c>
      <c r="G13" s="16"/>
    </row>
    <row r="14" customFormat="false" ht="21.75" hidden="false" customHeight="true" outlineLevel="0" collapsed="false">
      <c r="B14" s="9" t="s">
        <v>436</v>
      </c>
      <c r="C14" s="33"/>
      <c r="D14" s="34" t="s">
        <v>248</v>
      </c>
      <c r="E14" s="35" t="s">
        <v>478</v>
      </c>
      <c r="F14" s="36" t="n">
        <v>300000</v>
      </c>
      <c r="G14" s="37" t="str">
        <f aca="false">IF(ISBLANK(C14),IF(Fill_Example="Yes",F14,""),C14)</f>
        <v/>
      </c>
    </row>
    <row r="15" customFormat="false" ht="33" hidden="false" customHeight="true" outlineLevel="0" collapsed="false">
      <c r="B15" s="9" t="s">
        <v>479</v>
      </c>
      <c r="C15" s="41"/>
      <c r="D15" s="34" t="s">
        <v>259</v>
      </c>
      <c r="E15" s="4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3" t="n">
        <f aca="false">IF(ISNUMBER(Suggest_Mortgage_Rate),Suggest_Mortgage_Rate,"")</f>
        <v>0.0348</v>
      </c>
      <c r="G15" s="44" t="str">
        <f aca="false">IF(ISBLANK(C15),IF(Fill_Example="Yes",F15,""),C15)</f>
        <v/>
      </c>
    </row>
    <row r="16" customFormat="false" ht="21.75" hidden="false" customHeight="true" outlineLevel="0" collapsed="false">
      <c r="B16" s="9" t="s">
        <v>438</v>
      </c>
      <c r="C16" s="45"/>
      <c r="D16" s="34" t="s">
        <v>261</v>
      </c>
      <c r="E16" s="35" t="s">
        <v>349</v>
      </c>
      <c r="F16" s="46" t="n">
        <v>25</v>
      </c>
      <c r="G16" s="47" t="str">
        <f aca="false">IF(AND(ISNUMBER(C16),N(C16)&lt;5),"",IF(ISBLANK(C16),IF(Fill_Example="Yes",F16,""),C16))</f>
        <v/>
      </c>
    </row>
    <row r="17" customFormat="false" ht="15" hidden="false" customHeight="true" outlineLevel="0" collapsed="false">
      <c r="B17" s="9" t="s">
        <v>480</v>
      </c>
      <c r="C17" s="41"/>
      <c r="D17" s="34" t="s">
        <v>259</v>
      </c>
      <c r="E17" s="35" t="s">
        <v>481</v>
      </c>
      <c r="F17" s="43" t="n">
        <v>0.01</v>
      </c>
      <c r="G17" s="44" t="str">
        <f aca="false">IF(ISBLANK(C17),IF(Fill_Example="Yes",F17,""),C17)</f>
        <v/>
      </c>
    </row>
    <row r="18" customFormat="false" ht="15" hidden="false" customHeight="true" outlineLevel="0" collapsed="false">
      <c r="B18" s="9" t="s">
        <v>350</v>
      </c>
      <c r="C18" s="33"/>
      <c r="D18" s="34" t="s">
        <v>248</v>
      </c>
      <c r="E18" s="35" t="s">
        <v>351</v>
      </c>
      <c r="F18" s="36" t="n">
        <v>0</v>
      </c>
      <c r="G18" s="37" t="n">
        <f aca="false">IF(ISBLANK(C18),F18,C18)</f>
        <v>0</v>
      </c>
    </row>
    <row r="20" customFormat="false" ht="15" hidden="false" customHeight="true" outlineLevel="0" collapsed="false">
      <c r="B20" s="15" t="s">
        <v>354</v>
      </c>
      <c r="C20" s="16"/>
      <c r="D20" s="16"/>
      <c r="E20" s="16"/>
      <c r="F20" s="16"/>
      <c r="G20" s="16"/>
    </row>
    <row r="21" customFormat="false" ht="15" hidden="false" customHeight="true" outlineLevel="0" collapsed="false">
      <c r="B21" s="9" t="s">
        <v>436</v>
      </c>
      <c r="C21" s="65" t="str">
        <f aca="false">IF(ISBLANK(Stmt_Balance),Mortgage_Balance,Stmt_Balance)</f>
        <v/>
      </c>
      <c r="D21" s="66" t="str">
        <f aca="false">IF(ISBLANK(Stmt_Balance),"Your figure","From your statement")</f>
        <v>Your figure</v>
      </c>
      <c r="E21" s="56" t="s">
        <v>442</v>
      </c>
    </row>
    <row r="22" customFormat="false" ht="15" hidden="false" customHeight="true" outlineLevel="0" collapsed="false">
      <c r="B22" s="9" t="s">
        <v>479</v>
      </c>
      <c r="C22" s="67" t="str">
        <f aca="false">IF(ISBLANK(Stmt_Rate),Current_Rate,Stmt_Rate)</f>
        <v/>
      </c>
      <c r="D22" s="66" t="str">
        <f aca="false">IF(ISBLANK(Stmt_Rate),"Your figure","From your statement")</f>
        <v>Your figure</v>
      </c>
      <c r="E22" s="56" t="s">
        <v>482</v>
      </c>
    </row>
    <row r="23" customFormat="false" ht="15" hidden="false" customHeight="true" outlineLevel="0" collapsed="false">
      <c r="B23" s="9" t="s">
        <v>438</v>
      </c>
      <c r="C23" s="68" t="str">
        <f aca="false">IF(ISBLANK(Stmt_Term),Years_Left,Stmt_Term)</f>
        <v/>
      </c>
      <c r="D23" s="66" t="str">
        <f aca="false">IF(ISBLANK(Stmt_Term),"Your figure","From your statement")</f>
        <v>Your figure</v>
      </c>
      <c r="E23" s="56" t="s">
        <v>443</v>
      </c>
    </row>
    <row r="24" customFormat="false" ht="15" hidden="false" customHeight="true" outlineLevel="0" collapsed="false">
      <c r="B24" s="9" t="s">
        <v>359</v>
      </c>
      <c r="C24" s="65" t="n">
        <f aca="false">IF(ISBLANK(Stmt_Repayment),Actual_Repayment,Stmt_Repayment)</f>
        <v>0</v>
      </c>
      <c r="D24" s="66" t="str">
        <f aca="false">IF(ISBLANK(Stmt_Repayment),"Your figure","From your statement")</f>
        <v>Your figure</v>
      </c>
      <c r="E24" s="56" t="s">
        <v>360</v>
      </c>
    </row>
    <row r="25" customFormat="false" ht="21.75" hidden="false" customHeight="true" outlineLevel="0" collapsed="false">
      <c r="B25" s="9" t="s">
        <v>361</v>
      </c>
      <c r="C25" s="52" t="str">
        <f aca="true">IF(ISBLANK(Stmt_Statement_Date),"",IF(TODAY()-Stmt_Statement_Date&gt;Statement_Max_Age_Days,"Needs a look: statement is more than 12 months old","Up to date"))</f>
        <v/>
      </c>
      <c r="D25" s="34"/>
      <c r="E25" s="49" t="s">
        <v>362</v>
      </c>
    </row>
    <row r="27" customFormat="false" ht="15" hidden="false" customHeight="true" outlineLevel="0" collapsed="false">
      <c r="B27" s="15" t="s">
        <v>268</v>
      </c>
      <c r="C27" s="31" t="s">
        <v>269</v>
      </c>
      <c r="D27" s="31" t="s">
        <v>270</v>
      </c>
      <c r="E27" s="31" t="s">
        <v>271</v>
      </c>
      <c r="F27" s="16"/>
      <c r="G27" s="16"/>
    </row>
    <row r="28" customFormat="false" ht="23.25" hidden="false" customHeight="true" outlineLevel="0" collapsed="false">
      <c r="B28" s="28" t="s">
        <v>483</v>
      </c>
      <c r="C28" s="48" t="str">
        <f aca="false">IF(Need_1&lt;&gt;"",Need_1,Repayment_After-Repayment_Now)</f>
        <v>Choose your rate change to see this</v>
      </c>
      <c r="D28" s="70" t="str">
        <f aca="false">IF(Need_1&lt;&gt;"",Need_1,IF(Monthly_Change&gt;=0,"+","−")&amp;TEXT(ABS(Monthly_Change),"€#,##0"))</f>
        <v>Choose your rate change to see this</v>
      </c>
      <c r="E28" s="49" t="s">
        <v>484</v>
      </c>
    </row>
    <row r="29" customFormat="false" ht="17.25" hidden="false" customHeight="true" outlineLevel="0" collapsed="false">
      <c r="B29" s="28" t="s">
        <v>452</v>
      </c>
      <c r="C29" s="48" t="str">
        <f aca="false">IF(Need_2&lt;&gt;"",Need_2,IF(Used_Actual_Repayment&gt;0,Used_Actual_Repayment,Formula_Now))</f>
        <v>Choose your mortgage balance to see this</v>
      </c>
      <c r="D29" s="34" t="s">
        <v>248</v>
      </c>
      <c r="E29" s="49" t="s">
        <v>485</v>
      </c>
    </row>
    <row r="30" customFormat="false" ht="17.25" hidden="false" customHeight="true" outlineLevel="0" collapsed="false">
      <c r="B30" s="28" t="s">
        <v>486</v>
      </c>
      <c r="C30" s="48" t="str">
        <f aca="false">IF(Need_1&lt;&gt;"",Need_1,Repayment_Now+PMT(New_Rate/12,Used_Years_Left*12,-Used_Mortgage_Balance)-Formula_Now)</f>
        <v>Choose your rate change to see this</v>
      </c>
      <c r="D30" s="34" t="s">
        <v>248</v>
      </c>
      <c r="E30" s="49" t="s">
        <v>487</v>
      </c>
    </row>
    <row r="31" customFormat="false" ht="15" hidden="false" customHeight="true" outlineLevel="0" collapsed="false">
      <c r="B31" s="9" t="s">
        <v>488</v>
      </c>
      <c r="C31" s="50" t="str">
        <f aca="false">IF(Need_1&lt;&gt;"",Need_1,Monthly_Change*12)</f>
        <v>Choose your rate change to see this</v>
      </c>
      <c r="D31" s="34" t="s">
        <v>248</v>
      </c>
      <c r="E31" s="49" t="s">
        <v>489</v>
      </c>
    </row>
    <row r="32" customFormat="false" ht="15" hidden="false" customHeight="true" outlineLevel="0" collapsed="false">
      <c r="B32" s="9" t="s">
        <v>490</v>
      </c>
      <c r="C32" s="50" t="str">
        <f aca="false">IF(Need_3&lt;&gt;"",Need_3,PMT(Used_Current_Rate/12,Used_Years_Left*12,-Used_Mortgage_Balance))</f>
        <v>Choose your mortgage balance to see this</v>
      </c>
      <c r="D32" s="34" t="s">
        <v>248</v>
      </c>
      <c r="E32" s="49" t="s">
        <v>491</v>
      </c>
    </row>
    <row r="33" customFormat="false" ht="15" hidden="false" customHeight="true" outlineLevel="0" collapsed="false">
      <c r="B33" s="9" t="s">
        <v>492</v>
      </c>
      <c r="C33" s="72" t="str">
        <f aca="false">IF(Need_4&lt;&gt;"",Need_4,MAX(0,Used_Current_Rate+Rate_Change))</f>
        <v>Choose your rate change to see this</v>
      </c>
      <c r="D33" s="34" t="s">
        <v>259</v>
      </c>
      <c r="E33" s="49" t="s">
        <v>493</v>
      </c>
    </row>
    <row r="35" customFormat="false" ht="15" hidden="false" customHeight="true" outlineLevel="0" collapsed="false">
      <c r="B35" s="15" t="s">
        <v>301</v>
      </c>
      <c r="C35" s="16"/>
      <c r="D35" s="16"/>
      <c r="E35" s="16"/>
      <c r="F35" s="16"/>
      <c r="G35" s="16"/>
    </row>
    <row r="36" customFormat="false" ht="13.5" hidden="false" customHeight="true" outlineLevel="0" collapsed="false">
      <c r="B36" s="53" t="s">
        <v>494</v>
      </c>
      <c r="C36" s="53"/>
      <c r="D36" s="53"/>
      <c r="E36" s="53"/>
    </row>
    <row r="37" customFormat="false" ht="13.5" hidden="false" customHeight="true" outlineLevel="0" collapsed="false">
      <c r="B37" s="53" t="s">
        <v>495</v>
      </c>
      <c r="C37" s="53"/>
      <c r="D37" s="53"/>
      <c r="E37" s="53"/>
    </row>
    <row r="38" customFormat="false" ht="13.5" hidden="false" customHeight="true" outlineLevel="0" collapsed="false">
      <c r="B38" s="54" t="s">
        <v>304</v>
      </c>
      <c r="C38" s="54"/>
      <c r="D38" s="54"/>
      <c r="E38" s="54"/>
    </row>
    <row r="39" customFormat="false" ht="13.5" hidden="false" customHeight="true" outlineLevel="0" collapsed="false">
      <c r="B39" s="53" t="s">
        <v>496</v>
      </c>
      <c r="C39" s="53"/>
      <c r="D39" s="53"/>
      <c r="E39" s="53"/>
    </row>
    <row r="40" customFormat="false" ht="13.5" hidden="false" customHeight="true" outlineLevel="0" collapsed="false">
      <c r="B40" s="53" t="s">
        <v>308</v>
      </c>
      <c r="C40" s="53"/>
      <c r="D40" s="53"/>
      <c r="E40" s="53"/>
    </row>
    <row r="42" customFormat="false" ht="15" hidden="false" customHeight="true" outlineLevel="0" collapsed="false">
      <c r="B42" s="15" t="s">
        <v>309</v>
      </c>
      <c r="C42" s="16"/>
      <c r="D42" s="16"/>
      <c r="E42" s="16"/>
      <c r="F42" s="16"/>
      <c r="G42" s="16"/>
    </row>
    <row r="43" customFormat="false" ht="15" hidden="false" customHeight="true" outlineLevel="0" collapsed="false">
      <c r="B43" s="9" t="s">
        <v>310</v>
      </c>
      <c r="C43" s="55" t="str">
        <f aca="false">"No goal"</f>
        <v>No goal</v>
      </c>
      <c r="E43" s="56" t="s">
        <v>497</v>
      </c>
    </row>
    <row r="45" customFormat="false" ht="15" hidden="false" customHeight="true" outlineLevel="0" collapsed="false">
      <c r="B45" s="15" t="s">
        <v>318</v>
      </c>
      <c r="C45" s="16"/>
      <c r="D45" s="16"/>
      <c r="E45" s="16"/>
      <c r="F45" s="16"/>
      <c r="G45" s="16"/>
    </row>
    <row r="46" customFormat="false" ht="15" hidden="false" customHeight="true" outlineLevel="0" collapsed="false">
      <c r="B46" s="59" t="s">
        <v>498</v>
      </c>
      <c r="C46" s="59"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9" t="s">
        <v>499</v>
      </c>
      <c r="C47" s="59"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9" t="s">
        <v>500</v>
      </c>
      <c r="C48" s="59"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9" t="s">
        <v>501</v>
      </c>
      <c r="C49" s="59"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502</v>
      </c>
      <c r="E1" s="3" t="s">
        <v>503</v>
      </c>
    </row>
    <row r="2" customFormat="false" ht="15" hidden="false" customHeight="true" outlineLevel="0" collapsed="false">
      <c r="B2" s="28" t="s">
        <v>504</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505</v>
      </c>
    </row>
    <row r="5" customFormat="false" ht="15" hidden="false" customHeight="true" outlineLevel="0" collapsed="false">
      <c r="B5" s="15" t="s">
        <v>331</v>
      </c>
      <c r="C5" s="16"/>
      <c r="D5" s="16"/>
      <c r="E5" s="16"/>
      <c r="F5" s="16"/>
      <c r="G5" s="16"/>
    </row>
    <row r="6" customFormat="false" ht="27.75" hidden="false" customHeight="true" outlineLevel="0" collapsed="false">
      <c r="B6" s="60" t="s">
        <v>332</v>
      </c>
      <c r="C6" s="60"/>
      <c r="D6" s="60"/>
      <c r="E6" s="60"/>
    </row>
    <row r="7" customFormat="false" ht="15" hidden="false" customHeight="true" outlineLevel="0" collapsed="false">
      <c r="B7" s="9" t="s">
        <v>333</v>
      </c>
      <c r="C7" s="61"/>
      <c r="D7" s="34" t="s">
        <v>248</v>
      </c>
      <c r="E7" s="35" t="s">
        <v>334</v>
      </c>
      <c r="G7" s="59" t="s">
        <v>335</v>
      </c>
    </row>
    <row r="8" customFormat="false" ht="15" hidden="false" customHeight="true" outlineLevel="0" collapsed="false">
      <c r="B8" s="9" t="s">
        <v>336</v>
      </c>
      <c r="C8" s="62"/>
      <c r="D8" s="34" t="s">
        <v>259</v>
      </c>
      <c r="E8" s="35" t="s">
        <v>337</v>
      </c>
      <c r="G8" s="59" t="s">
        <v>335</v>
      </c>
    </row>
    <row r="9" customFormat="false" ht="15" hidden="false" customHeight="true" outlineLevel="0" collapsed="false">
      <c r="B9" s="9" t="s">
        <v>338</v>
      </c>
      <c r="C9" s="63"/>
      <c r="D9" s="34" t="s">
        <v>261</v>
      </c>
      <c r="E9" s="35" t="s">
        <v>339</v>
      </c>
      <c r="G9" s="59" t="s">
        <v>335</v>
      </c>
    </row>
    <row r="10" customFormat="false" ht="15" hidden="false" customHeight="true" outlineLevel="0" collapsed="false">
      <c r="B10" s="9" t="s">
        <v>342</v>
      </c>
      <c r="C10" s="64"/>
      <c r="D10" s="34" t="s">
        <v>343</v>
      </c>
      <c r="E10" s="35" t="s">
        <v>344</v>
      </c>
      <c r="G10" s="59" t="s">
        <v>335</v>
      </c>
    </row>
    <row r="12" customFormat="false" ht="15" hidden="false" customHeight="true" outlineLevel="0" collapsed="false">
      <c r="B12" s="15" t="s">
        <v>345</v>
      </c>
      <c r="C12" s="31" t="s">
        <v>243</v>
      </c>
      <c r="D12" s="31" t="s">
        <v>244</v>
      </c>
      <c r="E12" s="31" t="s">
        <v>245</v>
      </c>
      <c r="F12" s="32" t="s">
        <v>246</v>
      </c>
      <c r="G12" s="16"/>
    </row>
    <row r="13" customFormat="false" ht="21.75" hidden="false" customHeight="true" outlineLevel="0" collapsed="false">
      <c r="B13" s="9" t="s">
        <v>346</v>
      </c>
      <c r="C13" s="33"/>
      <c r="D13" s="34" t="s">
        <v>248</v>
      </c>
      <c r="E13" s="35" t="s">
        <v>478</v>
      </c>
      <c r="F13" s="36" t="n">
        <v>300000</v>
      </c>
      <c r="G13" s="37" t="str">
        <f aca="false">IF(ISBLANK(C13),IF(Fill_Example="Yes",F13,""),C13)</f>
        <v/>
      </c>
    </row>
    <row r="14" customFormat="false" ht="33" hidden="false" customHeight="true" outlineLevel="0" collapsed="false">
      <c r="B14" s="9" t="s">
        <v>336</v>
      </c>
      <c r="C14" s="41"/>
      <c r="D14" s="34" t="s">
        <v>259</v>
      </c>
      <c r="E14" s="4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3" t="n">
        <f aca="false">IF(ISNUMBER(Suggest_Mortgage_Rate),Suggest_Mortgage_Rate,"")</f>
        <v>0.0348</v>
      </c>
      <c r="G14" s="44" t="str">
        <f aca="false">IF(ISBLANK(C14),IF(Fill_Example="Yes",F14,""),C14)</f>
        <v/>
      </c>
    </row>
    <row r="15" customFormat="false" ht="21.75" hidden="false" customHeight="true" outlineLevel="0" collapsed="false">
      <c r="B15" s="9" t="s">
        <v>506</v>
      </c>
      <c r="C15" s="45"/>
      <c r="D15" s="34" t="s">
        <v>261</v>
      </c>
      <c r="E15" s="35" t="s">
        <v>349</v>
      </c>
      <c r="F15" s="46" t="n">
        <v>25</v>
      </c>
      <c r="G15" s="47" t="str">
        <f aca="false">IF(AND(ISNUMBER(C15),N(C15)&lt;5),"",IF(ISBLANK(C15),IF(Fill_Example="Yes",F15,""),C15))</f>
        <v/>
      </c>
    </row>
    <row r="16" customFormat="false" ht="15" hidden="false" customHeight="true" outlineLevel="0" collapsed="false">
      <c r="B16" s="9" t="s">
        <v>507</v>
      </c>
      <c r="C16" s="45"/>
      <c r="D16" s="34" t="s">
        <v>261</v>
      </c>
      <c r="E16" s="35" t="s">
        <v>508</v>
      </c>
      <c r="F16" s="46" t="n">
        <v>35</v>
      </c>
      <c r="G16" s="47" t="str">
        <f aca="false">IF(AND(ISNUMBER(C16),N(C16)&lt;5),"",IF(ISBLANK(C16),IF(Fill_Example="Yes",F16,""),C16))</f>
        <v/>
      </c>
    </row>
    <row r="18" customFormat="false" ht="15" hidden="false" customHeight="true" outlineLevel="0" collapsed="false">
      <c r="B18" s="15" t="s">
        <v>354</v>
      </c>
      <c r="C18" s="16"/>
      <c r="D18" s="16"/>
      <c r="E18" s="16"/>
      <c r="F18" s="16"/>
      <c r="G18" s="16"/>
    </row>
    <row r="19" customFormat="false" ht="15" hidden="false" customHeight="true" outlineLevel="0" collapsed="false">
      <c r="B19" s="9" t="s">
        <v>346</v>
      </c>
      <c r="C19" s="65" t="str">
        <f aca="false">IF(ISBLANK(Stmt_Balance),Loan_Amount,Stmt_Balance)</f>
        <v/>
      </c>
      <c r="D19" s="66" t="str">
        <f aca="false">IF(ISBLANK(Stmt_Balance),"Your figure","From your statement")</f>
        <v>Your figure</v>
      </c>
      <c r="E19" s="56" t="s">
        <v>355</v>
      </c>
    </row>
    <row r="20" customFormat="false" ht="15" hidden="false" customHeight="true" outlineLevel="0" collapsed="false">
      <c r="B20" s="9" t="s">
        <v>336</v>
      </c>
      <c r="C20" s="67" t="str">
        <f aca="false">IF(ISBLANK(Stmt_Rate),Interest_Rate,Stmt_Rate)</f>
        <v/>
      </c>
      <c r="D20" s="66" t="str">
        <f aca="false">IF(ISBLANK(Stmt_Rate),"Your figure","From your statement")</f>
        <v>Your figure</v>
      </c>
      <c r="E20" s="56" t="s">
        <v>356</v>
      </c>
    </row>
    <row r="21" customFormat="false" ht="15" hidden="false" customHeight="true" outlineLevel="0" collapsed="false">
      <c r="B21" s="9" t="s">
        <v>506</v>
      </c>
      <c r="C21" s="68" t="str">
        <f aca="false">IF(ISBLANK(Stmt_Term),Term_A,Stmt_Term)</f>
        <v/>
      </c>
      <c r="D21" s="66" t="str">
        <f aca="false">IF(ISBLANK(Stmt_Term),"Your figure","From your statement")</f>
        <v>Your figure</v>
      </c>
      <c r="E21" s="56" t="s">
        <v>509</v>
      </c>
    </row>
    <row r="22" customFormat="false" ht="21.75" hidden="false" customHeight="true" outlineLevel="0" collapsed="false">
      <c r="B22" s="9" t="s">
        <v>361</v>
      </c>
      <c r="C22" s="52" t="str">
        <f aca="true">IF(ISBLANK(Stmt_Statement_Date),"",IF(TODAY()-Stmt_Statement_Date&gt;Statement_Max_Age_Days,"Needs a look: statement is more than 12 months old","Up to date"))</f>
        <v/>
      </c>
      <c r="D22" s="34"/>
      <c r="E22" s="49" t="s">
        <v>362</v>
      </c>
    </row>
    <row r="24" customFormat="false" ht="15" hidden="false" customHeight="true" outlineLevel="0" collapsed="false">
      <c r="B24" s="15" t="s">
        <v>268</v>
      </c>
      <c r="C24" s="31" t="s">
        <v>269</v>
      </c>
      <c r="D24" s="31" t="s">
        <v>270</v>
      </c>
      <c r="E24" s="31" t="s">
        <v>271</v>
      </c>
      <c r="F24" s="16"/>
      <c r="G24" s="16"/>
    </row>
    <row r="25" customFormat="false" ht="17.25" hidden="false" customHeight="true" outlineLevel="0" collapsed="false">
      <c r="B25" s="28" t="s">
        <v>510</v>
      </c>
      <c r="C25" s="48" t="str">
        <f aca="false">IF(Need_1&lt;&gt;"",Need_1,ABS(Interest_B-Interest_A))</f>
        <v>Choose your term B to see this</v>
      </c>
      <c r="D25" s="70" t="str">
        <f aca="false">IF(Need_1&lt;&gt;"",Need_1,IF(Used_Term_A=Term_B,"Both terms are the same.","The "&amp;MIN(Used_Term_A,Term_B)&amp;"-year term costs more each month but less interest overall."))</f>
        <v>Choose your term B to see this</v>
      </c>
      <c r="E25" s="49" t="s">
        <v>511</v>
      </c>
    </row>
    <row r="26" customFormat="false" ht="17.25" hidden="false" customHeight="true" outlineLevel="0" collapsed="false">
      <c r="B26" s="28" t="s">
        <v>512</v>
      </c>
      <c r="C26" s="48" t="str">
        <f aca="false">IF(Need_2&lt;&gt;"",Need_2,PMT(Used_Interest_Rate/12,Used_Term_A*12,-Used_Loan_Amount))</f>
        <v>Choose your mortgage amount to see this</v>
      </c>
      <c r="D26" s="34" t="s">
        <v>248</v>
      </c>
      <c r="E26" s="49" t="s">
        <v>513</v>
      </c>
    </row>
    <row r="27" customFormat="false" ht="17.25" hidden="false" customHeight="true" outlineLevel="0" collapsed="false">
      <c r="B27" s="28" t="s">
        <v>514</v>
      </c>
      <c r="C27" s="48" t="str">
        <f aca="false">IF(Need_3&lt;&gt;"",Need_3,PMT(Used_Interest_Rate/12,Term_B*12,-Used_Loan_Amount))</f>
        <v>Choose your term B to see this</v>
      </c>
      <c r="D27" s="34" t="s">
        <v>248</v>
      </c>
      <c r="E27" s="49" t="s">
        <v>515</v>
      </c>
    </row>
    <row r="28" customFormat="false" ht="15" hidden="false" customHeight="true" outlineLevel="0" collapsed="false">
      <c r="B28" s="9" t="s">
        <v>516</v>
      </c>
      <c r="C28" s="50" t="str">
        <f aca="false">IF(Need_2&lt;&gt;"",Need_2,Monthly_A*Used_Term_A*12-Used_Loan_Amount)</f>
        <v>Choose your mortgage amount to see this</v>
      </c>
      <c r="D28" s="34" t="s">
        <v>248</v>
      </c>
      <c r="E28" s="49" t="s">
        <v>517</v>
      </c>
    </row>
    <row r="29" customFormat="false" ht="15" hidden="false" customHeight="true" outlineLevel="0" collapsed="false">
      <c r="B29" s="9" t="s">
        <v>518</v>
      </c>
      <c r="C29" s="50" t="str">
        <f aca="false">IF(Need_3&lt;&gt;"",Need_3,Monthly_B*Term_B*12-Used_Loan_Amount)</f>
        <v>Choose your term B to see this</v>
      </c>
      <c r="D29" s="34" t="s">
        <v>248</v>
      </c>
      <c r="E29" s="49" t="s">
        <v>519</v>
      </c>
    </row>
    <row r="31" customFormat="false" ht="15" hidden="false" customHeight="true" outlineLevel="0" collapsed="false">
      <c r="B31" s="15" t="s">
        <v>301</v>
      </c>
      <c r="C31" s="16"/>
      <c r="D31" s="16"/>
      <c r="E31" s="16"/>
      <c r="F31" s="16"/>
      <c r="G31" s="16"/>
    </row>
    <row r="32" customFormat="false" ht="13.5" hidden="false" customHeight="true" outlineLevel="0" collapsed="false">
      <c r="B32" s="53" t="s">
        <v>520</v>
      </c>
      <c r="C32" s="53"/>
      <c r="D32" s="53"/>
      <c r="E32" s="53"/>
    </row>
    <row r="33" customFormat="false" ht="13.5" hidden="false" customHeight="true" outlineLevel="0" collapsed="false">
      <c r="B33" s="53" t="s">
        <v>521</v>
      </c>
      <c r="C33" s="53"/>
      <c r="D33" s="53"/>
      <c r="E33" s="53"/>
    </row>
    <row r="34" customFormat="false" ht="13.5" hidden="false" customHeight="true" outlineLevel="0" collapsed="false">
      <c r="B34" s="54" t="s">
        <v>304</v>
      </c>
      <c r="C34" s="54"/>
      <c r="D34" s="54"/>
      <c r="E34" s="54"/>
    </row>
    <row r="35" customFormat="false" ht="13.5" hidden="false" customHeight="true" outlineLevel="0" collapsed="false">
      <c r="B35" s="53" t="s">
        <v>522</v>
      </c>
      <c r="C35" s="53"/>
      <c r="D35" s="53"/>
      <c r="E35" s="53"/>
    </row>
    <row r="36" customFormat="false" ht="13.5" hidden="false" customHeight="true" outlineLevel="0" collapsed="false">
      <c r="B36" s="53" t="s">
        <v>308</v>
      </c>
      <c r="C36" s="53"/>
      <c r="D36" s="53"/>
      <c r="E36" s="53"/>
    </row>
    <row r="38" customFormat="false" ht="15" hidden="false" customHeight="true" outlineLevel="0" collapsed="false">
      <c r="B38" s="15" t="s">
        <v>309</v>
      </c>
      <c r="C38" s="16"/>
      <c r="D38" s="16"/>
      <c r="E38" s="16"/>
      <c r="F38" s="16"/>
      <c r="G38" s="16"/>
    </row>
    <row r="39" customFormat="false" ht="15" hidden="false" customHeight="true" outlineLevel="0" collapsed="false">
      <c r="B39" s="9" t="s">
        <v>310</v>
      </c>
      <c r="C39" s="55" t="str">
        <f aca="false">"No goal"</f>
        <v>No goal</v>
      </c>
      <c r="E39" s="56" t="s">
        <v>497</v>
      </c>
    </row>
    <row r="41" customFormat="false" ht="15" hidden="false" customHeight="true" outlineLevel="0" collapsed="false">
      <c r="B41" s="15" t="s">
        <v>318</v>
      </c>
      <c r="C41" s="16"/>
      <c r="D41" s="16"/>
      <c r="E41" s="16"/>
      <c r="F41" s="16"/>
      <c r="G41" s="16"/>
    </row>
    <row r="42" customFormat="false" ht="15" hidden="false" customHeight="true" outlineLevel="0" collapsed="false">
      <c r="B42" s="59" t="s">
        <v>523</v>
      </c>
      <c r="C42" s="59"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9" t="s">
        <v>524</v>
      </c>
      <c r="C43" s="59"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9" t="s">
        <v>525</v>
      </c>
      <c r="C44" s="59"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526</v>
      </c>
      <c r="E1" s="3" t="s">
        <v>527</v>
      </c>
    </row>
    <row r="2" customFormat="false" ht="15" hidden="false" customHeight="true" outlineLevel="0" collapsed="false">
      <c r="B2" s="28" t="s">
        <v>528</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529</v>
      </c>
    </row>
    <row r="5" customFormat="false" ht="15" hidden="false" customHeight="true" outlineLevel="0" collapsed="false">
      <c r="B5" s="15" t="s">
        <v>242</v>
      </c>
      <c r="C5" s="31" t="s">
        <v>243</v>
      </c>
      <c r="D5" s="31" t="s">
        <v>244</v>
      </c>
      <c r="E5" s="31" t="s">
        <v>245</v>
      </c>
      <c r="F5" s="32" t="s">
        <v>246</v>
      </c>
      <c r="G5" s="16"/>
    </row>
    <row r="6" customFormat="false" ht="15" hidden="false" customHeight="true" outlineLevel="0" collapsed="false">
      <c r="B6" s="9" t="s">
        <v>530</v>
      </c>
      <c r="C6" s="33"/>
      <c r="D6" s="34" t="s">
        <v>248</v>
      </c>
      <c r="E6" s="35" t="s">
        <v>531</v>
      </c>
      <c r="F6" s="36" t="n">
        <v>1800</v>
      </c>
      <c r="G6" s="37" t="str">
        <f aca="false">IF(ISBLANK(C6),IF(Fill_Example="Yes",F6,""),C6)</f>
        <v/>
      </c>
    </row>
    <row r="7" customFormat="false" ht="15" hidden="false" customHeight="true" outlineLevel="0" collapsed="false">
      <c r="B7" s="9" t="s">
        <v>399</v>
      </c>
      <c r="C7" s="33"/>
      <c r="D7" s="34" t="s">
        <v>248</v>
      </c>
      <c r="E7" s="35" t="s">
        <v>400</v>
      </c>
      <c r="F7" s="36" t="n">
        <v>350000</v>
      </c>
      <c r="G7" s="37" t="str">
        <f aca="false">IF(ISBLANK(C7),IF(Fill_Example="Yes",F7,""),C7)</f>
        <v/>
      </c>
    </row>
    <row r="8" customFormat="false" ht="15" hidden="false" customHeight="true" outlineLevel="0" collapsed="false">
      <c r="B8" s="9" t="s">
        <v>414</v>
      </c>
      <c r="C8" s="33"/>
      <c r="D8" s="34" t="s">
        <v>248</v>
      </c>
      <c r="E8" s="35" t="s">
        <v>532</v>
      </c>
      <c r="F8" s="36" t="n">
        <v>35000</v>
      </c>
      <c r="G8" s="37" t="str">
        <f aca="false">IF(ISBLANK(C8),IF(Fill_Example="Yes",F8,""),C8)</f>
        <v/>
      </c>
    </row>
    <row r="9" customFormat="false" ht="21.75" hidden="false" customHeight="true" outlineLevel="0" collapsed="false">
      <c r="B9" s="9" t="s">
        <v>533</v>
      </c>
      <c r="C9" s="41"/>
      <c r="D9" s="34" t="s">
        <v>259</v>
      </c>
      <c r="E9" s="42"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3" t="n">
        <f aca="false">IF(ISNUMBER(Suggest_Mortgage_Rate),Suggest_Mortgage_Rate,"")</f>
        <v>0.0348</v>
      </c>
      <c r="G9" s="44" t="str">
        <f aca="false">IF(ISBLANK(C9),IF(Fill_Example="Yes",F9,""),C9)</f>
        <v/>
      </c>
    </row>
    <row r="10" customFormat="false" ht="15" hidden="false" customHeight="true" outlineLevel="0" collapsed="false">
      <c r="B10" s="9" t="s">
        <v>534</v>
      </c>
      <c r="C10" s="45"/>
      <c r="D10" s="34" t="s">
        <v>261</v>
      </c>
      <c r="E10" s="35" t="s">
        <v>508</v>
      </c>
      <c r="F10" s="46" t="n">
        <v>30</v>
      </c>
      <c r="G10" s="47" t="str">
        <f aca="false">IF(AND(ISNUMBER(C10),N(C10)&lt;5),"",IF(ISBLANK(C10),IF(Fill_Example="Yes",F10,""),C10))</f>
        <v/>
      </c>
    </row>
    <row r="11" customFormat="false" ht="15" hidden="false" customHeight="true" outlineLevel="0" collapsed="false">
      <c r="B11" s="9" t="s">
        <v>535</v>
      </c>
      <c r="C11" s="45"/>
      <c r="D11" s="34" t="s">
        <v>261</v>
      </c>
      <c r="E11" s="35" t="s">
        <v>536</v>
      </c>
      <c r="F11" s="46" t="n">
        <v>10</v>
      </c>
      <c r="G11" s="47" t="str">
        <f aca="false">IF(ISBLANK(C11),IF(Fill_Example="Yes",F11,""),C11)</f>
        <v/>
      </c>
    </row>
    <row r="12" customFormat="false" ht="21.75" hidden="false" customHeight="true" outlineLevel="0" collapsed="false">
      <c r="B12" s="9" t="s">
        <v>537</v>
      </c>
      <c r="C12" s="41"/>
      <c r="D12" s="34" t="s">
        <v>259</v>
      </c>
      <c r="E12" s="42" t="s">
        <v>538</v>
      </c>
      <c r="F12" s="43" t="n">
        <f aca="false">Set_houseGrow</f>
        <v>0.02</v>
      </c>
      <c r="G12" s="44" t="n">
        <f aca="false">IF(ISBLANK(C12),F12,C12)</f>
        <v>0.02</v>
      </c>
    </row>
    <row r="13" customFormat="false" ht="21.75" hidden="false" customHeight="true" outlineLevel="0" collapsed="false">
      <c r="B13" s="9" t="s">
        <v>539</v>
      </c>
      <c r="C13" s="41"/>
      <c r="D13" s="34" t="s">
        <v>259</v>
      </c>
      <c r="E13" s="42" t="s">
        <v>540</v>
      </c>
      <c r="F13" s="43" t="n">
        <f aca="false">Set_rentRise</f>
        <v>0.03</v>
      </c>
      <c r="G13" s="44" t="n">
        <f aca="false">IF(ISBLANK(C13),F13,C13)</f>
        <v>0.03</v>
      </c>
    </row>
    <row r="14" customFormat="false" ht="21.75" hidden="false" customHeight="true" outlineLevel="0" collapsed="false">
      <c r="B14" s="9" t="s">
        <v>541</v>
      </c>
      <c r="C14" s="41"/>
      <c r="D14" s="34" t="s">
        <v>259</v>
      </c>
      <c r="E14" s="42" t="s">
        <v>542</v>
      </c>
      <c r="F14" s="43" t="n">
        <f aca="false">Set_upkeep</f>
        <v>0.01</v>
      </c>
      <c r="G14" s="44" t="n">
        <f aca="false">IF(ISBLANK(C14),F14,C14)</f>
        <v>0.01</v>
      </c>
    </row>
    <row r="15" customFormat="false" ht="21.75" hidden="false" customHeight="true" outlineLevel="0" collapsed="false">
      <c r="B15" s="9" t="s">
        <v>263</v>
      </c>
      <c r="C15" s="33"/>
      <c r="D15" s="34" t="s">
        <v>248</v>
      </c>
      <c r="E15" s="42"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6" t="str">
        <f aca="false">IF(ISNUMBER(Suggest_Buying_Fees),Suggest_Buying_Fees,"")</f>
        <v/>
      </c>
      <c r="G15" s="37" t="n">
        <f aca="false">IF(ISBLANK(C15),IF(AND(Fill_Example="Yes",ISNUMBER(F15)),F15,0),C15)</f>
        <v>0</v>
      </c>
    </row>
    <row r="16" customFormat="false" ht="21.75" hidden="false" customHeight="true" outlineLevel="0" collapsed="false">
      <c r="B16" s="9" t="s">
        <v>543</v>
      </c>
      <c r="C16" s="41"/>
      <c r="D16" s="34" t="s">
        <v>259</v>
      </c>
      <c r="E16" s="42"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3" t="n">
        <f aca="false">IF(ISNUMBER(Suggest_Deposit_Rate),ROUND(Suggest_Deposit_Rate*(1-DIRT),4),"")</f>
        <v>0.0129</v>
      </c>
      <c r="G16" s="44" t="n">
        <f aca="false">IF(ISBLANK(C16),IF(ISNUMBER(F16),F16,0),C16)</f>
        <v>0.0129</v>
      </c>
    </row>
    <row r="17" customFormat="false" ht="15" hidden="false" customHeight="true" outlineLevel="0" collapsed="false">
      <c r="B17" s="9" t="s">
        <v>264</v>
      </c>
      <c r="C17" s="45"/>
      <c r="D17" s="34" t="s">
        <v>261</v>
      </c>
      <c r="E17" s="35" t="s">
        <v>265</v>
      </c>
      <c r="F17" s="46" t="n">
        <v>3</v>
      </c>
      <c r="G17" s="47" t="str">
        <f aca="false">IF(ISBLANK(C17),IF(Fill_Example="Yes",F17,""),C17)</f>
        <v/>
      </c>
    </row>
    <row r="18" customFormat="false" ht="15" hidden="false" customHeight="true" outlineLevel="0" collapsed="false">
      <c r="B18" s="1" t="s">
        <v>544</v>
      </c>
      <c r="C18" s="1" t="str">
        <f aca="false">IF(OR(Home_Price="",Deposit=""),"",MIN(MAX(Deposit,Home_Price*(1-LTV_Max)),Home_Price))</f>
        <v/>
      </c>
      <c r="D18" s="1" t="s">
        <v>248</v>
      </c>
    </row>
    <row r="19" customFormat="false" ht="15" hidden="false" customHeight="true" outlineLevel="0" collapsed="false">
      <c r="B19" s="15" t="s">
        <v>268</v>
      </c>
      <c r="C19" s="31" t="s">
        <v>269</v>
      </c>
      <c r="D19" s="31" t="s">
        <v>270</v>
      </c>
      <c r="E19" s="31" t="s">
        <v>271</v>
      </c>
      <c r="F19" s="16"/>
      <c r="G19" s="16"/>
    </row>
    <row r="20" customFormat="false" ht="17.25" hidden="false" customHeight="true" outlineLevel="0" collapsed="false">
      <c r="B20" s="28" t="s">
        <v>545</v>
      </c>
      <c r="C20" s="48" t="str">
        <f aca="false">IF(Need_1&lt;&gt;"",Need_1,Home_Value-Balance_After)</f>
        <v>Choose your home price to see this</v>
      </c>
      <c r="D20" s="34" t="s">
        <v>248</v>
      </c>
      <c r="E20" s="49" t="s">
        <v>546</v>
      </c>
    </row>
    <row r="21" customFormat="false" ht="17.25" hidden="false" customHeight="true" outlineLevel="0" collapsed="false">
      <c r="B21" s="28" t="s">
        <v>547</v>
      </c>
      <c r="C21" s="48" t="str">
        <f aca="false">IF(Need_2&lt;&gt;"",Need_2,IF(Rent_Growth=0,Monthly_Rent*12*Years,Monthly_Rent*12*((1+Rent_Growth)^Years-1)/Rent_Growth))</f>
        <v>Choose your monthly rent to see this</v>
      </c>
      <c r="D21" s="34" t="s">
        <v>248</v>
      </c>
      <c r="E21" s="49" t="s">
        <v>548</v>
      </c>
    </row>
    <row r="22" customFormat="false" ht="17.25" hidden="false" customHeight="true" outlineLevel="0" collapsed="false">
      <c r="B22" s="28" t="s">
        <v>549</v>
      </c>
      <c r="C22" s="48" t="str">
        <f aca="false">IF(Need_3&lt;&gt;"",Need_3,Interest_Paid+Upkeep+Stamp_Duty+Buying_Fees+Opportunity_Cost)</f>
        <v>Choose your home price to see this</v>
      </c>
      <c r="D22" s="34" t="s">
        <v>248</v>
      </c>
      <c r="E22" s="49" t="s">
        <v>550</v>
      </c>
    </row>
    <row r="23" customFormat="false" ht="15" hidden="false" customHeight="true" outlineLevel="0" collapsed="false">
      <c r="B23" s="9" t="s">
        <v>551</v>
      </c>
      <c r="C23" s="50" t="str">
        <f aca="false">IF(Need_4&lt;&gt;"",Need_4,Home_Price*(1+House_Growth)^Years)</f>
        <v>Choose your home price to see this</v>
      </c>
      <c r="D23" s="34" t="s">
        <v>248</v>
      </c>
      <c r="E23" s="49" t="s">
        <v>552</v>
      </c>
    </row>
    <row r="24" customFormat="false" ht="15" hidden="false" customHeight="true" outlineLevel="0" collapsed="false">
      <c r="B24" s="9" t="s">
        <v>553</v>
      </c>
      <c r="C24" s="50" t="str">
        <f aca="false">IF(Need_5&lt;&gt;"",Need_5,MAX(0,Home_Price-Deposit_Used))</f>
        <v>Choose your home price to see this</v>
      </c>
      <c r="D24" s="34" t="s">
        <v>248</v>
      </c>
      <c r="E24" s="49" t="s">
        <v>554</v>
      </c>
    </row>
    <row r="25" customFormat="false" ht="15" hidden="false" customHeight="true" outlineLevel="0" collapsed="false">
      <c r="B25" s="9" t="s">
        <v>340</v>
      </c>
      <c r="C25" s="50" t="str">
        <f aca="false">IF(Need_6&lt;&gt;"",Need_6,PMT(Mortgage_Rate/12,RentBuy_Term*12,-Loan))</f>
        <v>Choose your home price to see this</v>
      </c>
      <c r="D25" s="34" t="s">
        <v>248</v>
      </c>
      <c r="E25" s="49" t="s">
        <v>555</v>
      </c>
    </row>
    <row r="26" customFormat="false" ht="15" hidden="false" customHeight="true" outlineLevel="0" collapsed="false">
      <c r="B26" s="9" t="s">
        <v>556</v>
      </c>
      <c r="C26" s="50" t="str">
        <f aca="false">IF(Need_7&lt;&gt;"",Need_7,MAX(0,-FV(Mortgage_Rate/12,MIN(Years,RentBuy_Term)*12,-Monthly_Repayment,Loan)))</f>
        <v>Choose your home price to see this</v>
      </c>
      <c r="D26" s="34" t="s">
        <v>248</v>
      </c>
      <c r="E26" s="49" t="s">
        <v>557</v>
      </c>
    </row>
    <row r="27" customFormat="false" ht="15" hidden="false" customHeight="true" outlineLevel="0" collapsed="false">
      <c r="B27" s="9" t="s">
        <v>558</v>
      </c>
      <c r="C27" s="50" t="str">
        <f aca="false">IF(Need_7&lt;&gt;"",Need_7,Monthly_Repayment*MIN(Years,RentBuy_Term)*12-(Loan-Balance_After))</f>
        <v>Choose your home price to see this</v>
      </c>
      <c r="D27" s="34" t="s">
        <v>248</v>
      </c>
      <c r="E27" s="49" t="s">
        <v>559</v>
      </c>
    </row>
    <row r="28" customFormat="false" ht="21.75" hidden="false" customHeight="true" outlineLevel="0" collapsed="false">
      <c r="B28" s="9" t="s">
        <v>560</v>
      </c>
      <c r="C28" s="50" t="str">
        <f aca="false">IF(Need_8&lt;&gt;"",Need_8,IF(House_Growth=0,Home_Price*Upkeep_Rate*Years,Home_Price*Upkeep_Rate*((1+House_Growth)^Years-1)/House_Growth))</f>
        <v>Choose your home price to see this</v>
      </c>
      <c r="D28" s="34" t="s">
        <v>248</v>
      </c>
      <c r="E28" s="49" t="s">
        <v>561</v>
      </c>
    </row>
    <row r="29" customFormat="false" ht="21.75" hidden="false" customHeight="true" outlineLevel="0" collapsed="false">
      <c r="B29" s="9" t="s">
        <v>416</v>
      </c>
      <c r="C29" s="50" t="str">
        <f aca="false">IF(Need_9&lt;&gt;"",Need_9,SD_Rate_1*MIN(Home_Price,SD_Band_1)+SD_Rate_2*MAX(0,MIN(Home_Price,SD_Band_2)-SD_Band_1)+SD_Rate_3*MAX(0,Home_Price-SD_Band_2))</f>
        <v>Choose your home price to see this</v>
      </c>
      <c r="D29" s="34" t="s">
        <v>248</v>
      </c>
      <c r="E29" s="49" t="s">
        <v>279</v>
      </c>
    </row>
    <row r="30" customFormat="false" ht="15" hidden="false" customHeight="true" outlineLevel="0" collapsed="false">
      <c r="B30" s="9" t="s">
        <v>562</v>
      </c>
      <c r="C30" s="50" t="str">
        <f aca="false">IF(Need_10&lt;&gt;"",Need_10,Deposit_Used*((1+Opp_Rate)^Years-1))</f>
        <v>Choose your deposit to see this</v>
      </c>
      <c r="D30" s="34" t="s">
        <v>248</v>
      </c>
      <c r="E30" s="49" t="s">
        <v>563</v>
      </c>
    </row>
    <row r="32" customFormat="false" ht="15" hidden="false" customHeight="true" outlineLevel="0" collapsed="false">
      <c r="B32" s="15" t="s">
        <v>301</v>
      </c>
      <c r="C32" s="16"/>
      <c r="D32" s="16"/>
      <c r="E32" s="16"/>
      <c r="F32" s="16"/>
      <c r="G32" s="16"/>
    </row>
    <row r="33" customFormat="false" ht="27.75" hidden="false" customHeight="true" outlineLevel="0" collapsed="false">
      <c r="B33" s="53" t="s">
        <v>564</v>
      </c>
      <c r="C33" s="53"/>
      <c r="D33" s="53"/>
      <c r="E33" s="53"/>
    </row>
    <row r="34" customFormat="false" ht="27.75" hidden="false" customHeight="true" outlineLevel="0" collapsed="false">
      <c r="B34" s="53" t="s">
        <v>565</v>
      </c>
      <c r="C34" s="53"/>
      <c r="D34" s="53"/>
      <c r="E34" s="53"/>
    </row>
    <row r="35" customFormat="false" ht="27.75" hidden="false" customHeight="true" outlineLevel="0" collapsed="false">
      <c r="B35" s="53" t="s">
        <v>566</v>
      </c>
      <c r="C35" s="53"/>
      <c r="D35" s="53"/>
      <c r="E35" s="53"/>
    </row>
    <row r="36" customFormat="false" ht="13.5" hidden="false" customHeight="true" outlineLevel="0" collapsed="false">
      <c r="B36" s="54" t="s">
        <v>304</v>
      </c>
      <c r="C36" s="54"/>
      <c r="D36" s="54"/>
      <c r="E36" s="54"/>
    </row>
    <row r="37" customFormat="false" ht="13.5" hidden="false" customHeight="true" outlineLevel="0" collapsed="false">
      <c r="B37" s="53" t="s">
        <v>567</v>
      </c>
      <c r="C37" s="53"/>
      <c r="D37" s="53"/>
      <c r="E37" s="53"/>
    </row>
    <row r="38" customFormat="false" ht="27.75" hidden="false" customHeight="true" outlineLevel="0" collapsed="false">
      <c r="B38" s="53" t="s">
        <v>568</v>
      </c>
      <c r="C38" s="53"/>
      <c r="D38" s="53"/>
      <c r="E38" s="53"/>
    </row>
    <row r="40" customFormat="false" ht="15" hidden="false" customHeight="true" outlineLevel="0" collapsed="false">
      <c r="B40" s="15" t="s">
        <v>309</v>
      </c>
      <c r="C40" s="16"/>
      <c r="D40" s="16"/>
      <c r="E40" s="16"/>
      <c r="F40" s="16"/>
      <c r="G40" s="16"/>
    </row>
    <row r="41" customFormat="false" ht="15" hidden="false" customHeight="true" outlineLevel="0" collapsed="false">
      <c r="B41" s="9" t="s">
        <v>310</v>
      </c>
      <c r="C41" s="55" t="str">
        <f aca="false">"Buy a home (deposit goal)"</f>
        <v>Buy a home (deposit goal)</v>
      </c>
      <c r="E41" s="56" t="s">
        <v>311</v>
      </c>
    </row>
    <row r="42" customFormat="false" ht="15" hidden="false" customHeight="true" outlineLevel="0" collapsed="false">
      <c r="B42" s="9" t="s">
        <v>422</v>
      </c>
      <c r="C42" s="57" t="str">
        <f aca="false">IF(Need_11&lt;&gt;"",Need_11,ROUND(Deposit_Used+Stamp_Duty+Buying_Fees,0))</f>
        <v>Choose your home price to see this</v>
      </c>
      <c r="E42" s="56" t="s">
        <v>569</v>
      </c>
    </row>
    <row r="43" customFormat="false" ht="15" hidden="false" customHeight="true" outlineLevel="0" collapsed="false">
      <c r="B43" s="9" t="s">
        <v>316</v>
      </c>
      <c r="C43" s="58" t="str">
        <f aca="false">IF(Need_12&lt;&gt;"",Need_12,Home_Goal_Years)</f>
        <v>Choose your years until you buy to see this</v>
      </c>
      <c r="E43" s="56" t="s">
        <v>317</v>
      </c>
    </row>
    <row r="45" customFormat="false" ht="15" hidden="false" customHeight="true" outlineLevel="0" collapsed="false">
      <c r="B45" s="15" t="s">
        <v>318</v>
      </c>
      <c r="C45" s="16"/>
      <c r="D45" s="16"/>
      <c r="E45" s="16"/>
      <c r="F45" s="16"/>
      <c r="G45" s="16"/>
    </row>
    <row r="46" customFormat="false" ht="15" hidden="false" customHeight="true" outlineLevel="0" collapsed="false">
      <c r="B46" s="59" t="s">
        <v>570</v>
      </c>
      <c r="C46" s="59"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9" t="s">
        <v>571</v>
      </c>
      <c r="C47" s="59"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9" t="s">
        <v>572</v>
      </c>
      <c r="C48" s="59"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9" t="s">
        <v>573</v>
      </c>
      <c r="C49" s="59"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9" t="s">
        <v>574</v>
      </c>
      <c r="C50" s="59"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9" t="s">
        <v>575</v>
      </c>
      <c r="C51" s="59"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9" t="s">
        <v>576</v>
      </c>
      <c r="C52" s="59"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9" t="s">
        <v>577</v>
      </c>
      <c r="C53" s="59"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9" t="s">
        <v>430</v>
      </c>
      <c r="C54" s="59" t="str">
        <f aca="false">IF(Home_Price="","Choose your home price to see this",IF(Mortgage_Rate="","Choose your mortgage rate to see this",""))</f>
        <v>Choose your home price to see this</v>
      </c>
    </row>
    <row r="55" customFormat="false" ht="15" hidden="false" customHeight="true" outlineLevel="0" collapsed="false">
      <c r="B55" s="59" t="s">
        <v>578</v>
      </c>
      <c r="C55" s="59"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9" t="s">
        <v>579</v>
      </c>
      <c r="C56" s="59"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9" t="s">
        <v>325</v>
      </c>
      <c r="C57" s="59"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580</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581</v>
      </c>
      <c r="E1" s="3" t="s">
        <v>582</v>
      </c>
    </row>
    <row r="2" customFormat="false" ht="15" hidden="false" customHeight="true" outlineLevel="0" collapsed="false">
      <c r="B2" s="28" t="s">
        <v>583</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584</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242</v>
      </c>
      <c r="C9" s="31" t="s">
        <v>243</v>
      </c>
      <c r="D9" s="31" t="s">
        <v>244</v>
      </c>
      <c r="E9" s="31" t="s">
        <v>245</v>
      </c>
      <c r="F9" s="32" t="s">
        <v>246</v>
      </c>
      <c r="G9" s="16"/>
    </row>
    <row r="10" customFormat="false" ht="15" hidden="false" customHeight="true" outlineLevel="0" collapsed="false">
      <c r="B10" s="9" t="s">
        <v>587</v>
      </c>
      <c r="C10" s="33"/>
      <c r="D10" s="34" t="s">
        <v>248</v>
      </c>
      <c r="E10" s="35" t="s">
        <v>588</v>
      </c>
      <c r="F10" s="36" t="n">
        <v>15000</v>
      </c>
      <c r="G10" s="37" t="str">
        <f aca="false">IF(ISBLANK(C10),IF(Fill_Example="Yes",F10,""),C10)</f>
        <v/>
      </c>
    </row>
    <row r="11" customFormat="false" ht="15" hidden="false" customHeight="true" outlineLevel="0" collapsed="false">
      <c r="B11" s="9" t="s">
        <v>589</v>
      </c>
      <c r="C11" s="45"/>
      <c r="D11" s="34" t="s">
        <v>261</v>
      </c>
      <c r="E11" s="35" t="s">
        <v>536</v>
      </c>
      <c r="F11" s="46" t="n">
        <v>3</v>
      </c>
      <c r="G11" s="47" t="str">
        <f aca="false">IF(AND(ISNUMBER(C11),N(C11)&lt;1),"",IF(ISBLANK(C11),IF(Fill_Example="Yes",F11,""),C11))</f>
        <v/>
      </c>
    </row>
    <row r="12" customFormat="false" ht="15" hidden="false" customHeight="true" outlineLevel="0" collapsed="false">
      <c r="B12" s="9" t="s">
        <v>314</v>
      </c>
      <c r="C12" s="33"/>
      <c r="D12" s="34" t="s">
        <v>248</v>
      </c>
      <c r="E12" s="35" t="s">
        <v>590</v>
      </c>
      <c r="F12" s="36" t="n">
        <v>2000</v>
      </c>
      <c r="G12" s="37" t="str">
        <f aca="false">IF(ISBLANK(C12),IF(Fill_Example="Yes",F12,""),C12)</f>
        <v/>
      </c>
    </row>
    <row r="13" customFormat="false" ht="21.75" hidden="false" customHeight="true" outlineLevel="0" collapsed="false">
      <c r="B13" s="9" t="s">
        <v>591</v>
      </c>
      <c r="C13" s="41"/>
      <c r="D13" s="34" t="s">
        <v>259</v>
      </c>
      <c r="E13" s="42" t="s">
        <v>592</v>
      </c>
      <c r="F13" s="43" t="n">
        <f aca="false">AS_Cash</f>
        <v>0.01</v>
      </c>
      <c r="G13" s="44" t="n">
        <f aca="false">IF(ISBLANK(C13),F13,C13)</f>
        <v>0.01</v>
      </c>
    </row>
    <row r="15" customFormat="false" ht="15" hidden="false" customHeight="true" outlineLevel="0" collapsed="false">
      <c r="B15" s="15" t="s">
        <v>268</v>
      </c>
      <c r="C15" s="31" t="s">
        <v>269</v>
      </c>
      <c r="D15" s="31" t="s">
        <v>270</v>
      </c>
      <c r="E15" s="31" t="s">
        <v>271</v>
      </c>
      <c r="F15" s="16"/>
      <c r="G15" s="16"/>
    </row>
    <row r="16" customFormat="false" ht="17.25" hidden="false" customHeight="true" outlineLevel="0" collapsed="false">
      <c r="B16" s="28" t="s">
        <v>593</v>
      </c>
      <c r="C16" s="48" t="str">
        <f aca="false">IF(Need_1&lt;&gt;"",Need_1,IF(Inflation_Choice="","Choose your inflation rate to see this",PMT(Monthly_Growth,Years*12,0,-Still_Needed)))</f>
        <v>Choose your goal amount to see this</v>
      </c>
      <c r="D16" s="34" t="s">
        <v>248</v>
      </c>
      <c r="E16" s="49" t="s">
        <v>594</v>
      </c>
    </row>
    <row r="17" customFormat="false" ht="17.25" hidden="false" customHeight="true" outlineLevel="0" collapsed="false">
      <c r="B17" s="28" t="s">
        <v>595</v>
      </c>
      <c r="C17" s="48" t="str">
        <f aca="false">IF(Need_2&lt;&gt;"",Need_2,IF(Inflation_Choice="","Choose your inflation rate to see this",Goal_Amount*(1+Inflation_Choice)^Years))</f>
        <v>Choose your goal amount to see this</v>
      </c>
      <c r="D17" s="34" t="s">
        <v>248</v>
      </c>
      <c r="E17" s="49" t="s">
        <v>596</v>
      </c>
    </row>
    <row r="18" customFormat="false" ht="15" hidden="false" customHeight="true" outlineLevel="0" collapsed="false">
      <c r="B18" s="9" t="s">
        <v>597</v>
      </c>
      <c r="C18" s="50" t="str">
        <f aca="false">IF(Need_3&lt;&gt;"",Need_3,Saved*(1+Growth_Rate)^Years)</f>
        <v>Choose your years until the goal to see this</v>
      </c>
      <c r="D18" s="34" t="s">
        <v>248</v>
      </c>
      <c r="E18" s="49" t="s">
        <v>598</v>
      </c>
    </row>
    <row r="19" customFormat="false" ht="15" hidden="false" customHeight="true" outlineLevel="0" collapsed="false">
      <c r="B19" s="9" t="s">
        <v>599</v>
      </c>
      <c r="C19" s="50" t="str">
        <f aca="false">IF(Need_1&lt;&gt;"",Need_1,IF(Inflation_Choice="","Choose your inflation rate to see this",MAX(0,Future_Cost-Saved_Grows_To)))</f>
        <v>Choose your goal amount to see this</v>
      </c>
      <c r="D19" s="34" t="s">
        <v>248</v>
      </c>
      <c r="E19" s="49" t="s">
        <v>600</v>
      </c>
    </row>
    <row r="20" customFormat="false" ht="15" hidden="false" customHeight="true" outlineLevel="0" collapsed="false">
      <c r="B20" s="9" t="s">
        <v>601</v>
      </c>
      <c r="C20" s="71" t="n">
        <f aca="false">IF(Need_4&lt;&gt;"",Need_4,(1+Growth_Rate)^(1/12)-1)</f>
        <v>0.000829538114346162</v>
      </c>
      <c r="D20" s="34"/>
      <c r="E20" s="49" t="s">
        <v>602</v>
      </c>
    </row>
    <row r="21" customFormat="false" ht="15" hidden="false" customHeight="true" outlineLevel="0" collapsed="false">
      <c r="B21" s="75"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5"/>
      <c r="D21" s="75"/>
      <c r="E21" s="75"/>
    </row>
    <row r="23" customFormat="false" ht="15" hidden="false" customHeight="true" outlineLevel="0" collapsed="false">
      <c r="B23" s="15" t="s">
        <v>301</v>
      </c>
      <c r="C23" s="16"/>
      <c r="D23" s="16"/>
      <c r="E23" s="16"/>
      <c r="F23" s="16"/>
      <c r="G23" s="16"/>
    </row>
    <row r="24" customFormat="false" ht="13.5" hidden="false" customHeight="true" outlineLevel="0" collapsed="false">
      <c r="B24" s="53" t="s">
        <v>603</v>
      </c>
      <c r="C24" s="53"/>
      <c r="D24" s="53"/>
      <c r="E24" s="53"/>
    </row>
    <row r="25" customFormat="false" ht="13.5" hidden="false" customHeight="true" outlineLevel="0" collapsed="false">
      <c r="B25" s="53" t="s">
        <v>604</v>
      </c>
      <c r="C25" s="53"/>
      <c r="D25" s="53"/>
      <c r="E25" s="53"/>
    </row>
    <row r="26" customFormat="false" ht="13.5" hidden="false" customHeight="true" outlineLevel="0" collapsed="false">
      <c r="B26" s="53" t="s">
        <v>605</v>
      </c>
      <c r="C26" s="53"/>
      <c r="D26" s="53"/>
      <c r="E26" s="53"/>
    </row>
    <row r="27" customFormat="false" ht="13.5" hidden="false" customHeight="true" outlineLevel="0" collapsed="false">
      <c r="B27" s="54" t="s">
        <v>304</v>
      </c>
      <c r="C27" s="54"/>
      <c r="D27" s="54"/>
      <c r="E27" s="54"/>
    </row>
    <row r="28" customFormat="false" ht="13.5" hidden="false" customHeight="true" outlineLevel="0" collapsed="false">
      <c r="B28" s="53" t="s">
        <v>606</v>
      </c>
      <c r="C28" s="53"/>
      <c r="D28" s="53"/>
      <c r="E28" s="53"/>
    </row>
    <row r="29" customFormat="false" ht="13.5" hidden="false" customHeight="true" outlineLevel="0" collapsed="false">
      <c r="B29" s="53" t="s">
        <v>607</v>
      </c>
      <c r="C29" s="53"/>
      <c r="D29" s="53"/>
      <c r="E29" s="53"/>
    </row>
    <row r="31" customFormat="false" ht="15" hidden="false" customHeight="true" outlineLevel="0" collapsed="false">
      <c r="B31" s="15" t="s">
        <v>309</v>
      </c>
      <c r="C31" s="16"/>
      <c r="D31" s="16"/>
      <c r="E31" s="16"/>
      <c r="F31" s="16"/>
      <c r="G31" s="16"/>
    </row>
    <row r="32" customFormat="false" ht="15" hidden="false" customHeight="true" outlineLevel="0" collapsed="false">
      <c r="B32" s="9" t="s">
        <v>310</v>
      </c>
      <c r="C32" s="55" t="str">
        <f aca="false">"My goal (spend goal)"</f>
        <v>My goal (spend goal)</v>
      </c>
      <c r="E32" s="56" t="s">
        <v>608</v>
      </c>
    </row>
    <row r="33" customFormat="false" ht="15" hidden="false" customHeight="true" outlineLevel="0" collapsed="false">
      <c r="B33" s="9" t="s">
        <v>609</v>
      </c>
      <c r="C33" s="57" t="str">
        <f aca="false">IF(Need_5&lt;&gt;"",Need_5,Goal_Amount)</f>
        <v>Choose your goal amount to see this</v>
      </c>
      <c r="E33" s="56" t="s">
        <v>610</v>
      </c>
    </row>
    <row r="34" customFormat="false" ht="15" hidden="false" customHeight="true" outlineLevel="0" collapsed="false">
      <c r="B34" s="9" t="s">
        <v>314</v>
      </c>
      <c r="C34" s="57" t="str">
        <f aca="false">IF(Need_6&lt;&gt;"",Need_6,Saved)</f>
        <v>Choose your already saved to see this</v>
      </c>
      <c r="E34" s="56" t="s">
        <v>424</v>
      </c>
    </row>
    <row r="35" customFormat="false" ht="15" hidden="false" customHeight="true" outlineLevel="0" collapsed="false">
      <c r="B35" s="9" t="s">
        <v>316</v>
      </c>
      <c r="C35" s="58" t="str">
        <f aca="false">IF(Need_7&lt;&gt;"",Need_7,Years)</f>
        <v>Choose your years until the goal to see this</v>
      </c>
      <c r="E35" s="56" t="s">
        <v>611</v>
      </c>
    </row>
    <row r="36" customFormat="false" ht="15" hidden="false" customHeight="true" outlineLevel="0" collapsed="false">
      <c r="B36" s="9" t="s">
        <v>612</v>
      </c>
      <c r="C36" s="76" t="str">
        <f aca="false">IF(Inflation_Choice="","Choose an inflation rate first",Inflation_Choice)</f>
        <v>Choose an inflation rate first</v>
      </c>
      <c r="E36" s="56" t="s">
        <v>613</v>
      </c>
    </row>
    <row r="38" customFormat="false" ht="15" hidden="false" customHeight="true" outlineLevel="0" collapsed="false">
      <c r="B38" s="15" t="s">
        <v>318</v>
      </c>
      <c r="C38" s="16"/>
      <c r="D38" s="16"/>
      <c r="E38" s="16"/>
      <c r="F38" s="16"/>
      <c r="G38" s="16"/>
    </row>
    <row r="39" customFormat="false" ht="15" hidden="false" customHeight="true" outlineLevel="0" collapsed="false">
      <c r="B39" s="59" t="s">
        <v>614</v>
      </c>
      <c r="C39" s="59"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9" t="s">
        <v>615</v>
      </c>
      <c r="C40" s="59"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9" t="s">
        <v>616</v>
      </c>
      <c r="C41" s="59" t="str">
        <f aca="false">IF(Years="","Choose your years until the goal to see this",IF(Saved="","Choose your already saved to see this",""))</f>
        <v>Choose your years until the goal to see this</v>
      </c>
    </row>
    <row r="42" customFormat="false" ht="15" hidden="false" customHeight="true" outlineLevel="0" collapsed="false">
      <c r="B42" s="59" t="s">
        <v>617</v>
      </c>
      <c r="C42" s="59" t="str">
        <f aca="false">""</f>
        <v/>
      </c>
    </row>
    <row r="43" customFormat="false" ht="15" hidden="false" customHeight="true" outlineLevel="0" collapsed="false">
      <c r="B43" s="59" t="s">
        <v>618</v>
      </c>
      <c r="C43" s="59" t="str">
        <f aca="false">IF(Goal_Amount="","Choose your goal amount to see this","")</f>
        <v>Choose your goal amount to see this</v>
      </c>
    </row>
    <row r="44" customFormat="false" ht="15" hidden="false" customHeight="true" outlineLevel="0" collapsed="false">
      <c r="B44" s="59" t="s">
        <v>619</v>
      </c>
      <c r="C44" s="59" t="str">
        <f aca="false">IF(Saved="","Choose your already saved to see this","")</f>
        <v>Choose your already saved to see this</v>
      </c>
    </row>
    <row r="45" customFormat="false" ht="15" hidden="false" customHeight="true" outlineLevel="0" collapsed="false">
      <c r="B45" s="59" t="s">
        <v>620</v>
      </c>
      <c r="C45" s="59"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621</v>
      </c>
      <c r="E1" s="3" t="s">
        <v>622</v>
      </c>
    </row>
    <row r="2" customFormat="false" ht="15" hidden="false" customHeight="true" outlineLevel="0" collapsed="false">
      <c r="B2" s="28" t="s">
        <v>623</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624</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242</v>
      </c>
      <c r="C9" s="31" t="s">
        <v>243</v>
      </c>
      <c r="D9" s="31" t="s">
        <v>244</v>
      </c>
      <c r="E9" s="31" t="s">
        <v>245</v>
      </c>
      <c r="F9" s="32" t="s">
        <v>246</v>
      </c>
      <c r="G9" s="16"/>
    </row>
    <row r="10" customFormat="false" ht="15" hidden="false" customHeight="true" outlineLevel="0" collapsed="false">
      <c r="B10" s="9" t="s">
        <v>625</v>
      </c>
      <c r="C10" s="33"/>
      <c r="D10" s="34" t="s">
        <v>248</v>
      </c>
      <c r="E10" s="35" t="s">
        <v>590</v>
      </c>
      <c r="F10" s="36" t="n">
        <v>5000</v>
      </c>
      <c r="G10" s="37" t="str">
        <f aca="false">IF(ISBLANK(C10),IF(Fill_Example="Yes",F10,""),C10)</f>
        <v/>
      </c>
    </row>
    <row r="11" customFormat="false" ht="15" hidden="false" customHeight="true" outlineLevel="0" collapsed="false">
      <c r="B11" s="9" t="s">
        <v>626</v>
      </c>
      <c r="C11" s="33"/>
      <c r="D11" s="34" t="s">
        <v>248</v>
      </c>
      <c r="E11" s="35" t="s">
        <v>627</v>
      </c>
      <c r="F11" s="36" t="n">
        <v>200</v>
      </c>
      <c r="G11" s="37" t="str">
        <f aca="false">IF(ISBLANK(C11),IF(Fill_Example="Yes",F11,""),C11)</f>
        <v/>
      </c>
    </row>
    <row r="12" customFormat="false" ht="21.75" hidden="false" customHeight="true" outlineLevel="0" collapsed="false">
      <c r="B12" s="9" t="s">
        <v>628</v>
      </c>
      <c r="C12" s="41"/>
      <c r="D12" s="34" t="s">
        <v>259</v>
      </c>
      <c r="E12" s="42" t="s">
        <v>629</v>
      </c>
      <c r="F12" s="43" t="n">
        <f aca="false">Set_invGross</f>
        <v>0.05</v>
      </c>
      <c r="G12" s="44" t="n">
        <f aca="false">IF(ISBLANK(C12),F12,C12)</f>
        <v>0.05</v>
      </c>
    </row>
    <row r="13" customFormat="false" ht="15" hidden="false" customHeight="true" outlineLevel="0" collapsed="false">
      <c r="B13" s="9" t="s">
        <v>630</v>
      </c>
      <c r="C13" s="45"/>
      <c r="D13" s="34" t="s">
        <v>261</v>
      </c>
      <c r="E13" s="35" t="s">
        <v>631</v>
      </c>
      <c r="F13" s="46" t="n">
        <v>20</v>
      </c>
      <c r="G13" s="47" t="str">
        <f aca="false">IF(ISBLANK(C13),IF(Fill_Example="Yes",F13,""),C13)</f>
        <v/>
      </c>
    </row>
    <row r="15" customFormat="false" ht="15" hidden="false" customHeight="true" outlineLevel="0" collapsed="false">
      <c r="B15" s="15" t="s">
        <v>268</v>
      </c>
      <c r="C15" s="31" t="s">
        <v>269</v>
      </c>
      <c r="D15" s="31" t="s">
        <v>270</v>
      </c>
      <c r="E15" s="31" t="s">
        <v>271</v>
      </c>
      <c r="F15" s="16"/>
      <c r="G15" s="16"/>
    </row>
    <row r="16" customFormat="false" ht="17.25" hidden="false" customHeight="true" outlineLevel="0" collapsed="false">
      <c r="B16" s="28" t="s">
        <v>632</v>
      </c>
      <c r="C16" s="48" t="str">
        <f aca="false">IF(Need_1&lt;&gt;"",Need_1,FV(Monthly_Growth,Years*12,-Monthly_Addition,-Starting_Amount))</f>
        <v>Choose your starting amount to see this</v>
      </c>
      <c r="D16" s="34" t="s">
        <v>248</v>
      </c>
      <c r="E16" s="49" t="s">
        <v>633</v>
      </c>
    </row>
    <row r="17" customFormat="false" ht="17.25" hidden="false" customHeight="true" outlineLevel="0" collapsed="false">
      <c r="B17" s="28" t="s">
        <v>634</v>
      </c>
      <c r="C17" s="48" t="str">
        <f aca="false">IF(Need_2&lt;&gt;"",Need_2,IF(Inflation_Choice="","Choose your inflation rate to see this",Grows_To/(1+Inflation_Choice)^Years))</f>
        <v>Choose your starting amount to see this</v>
      </c>
      <c r="D17" s="34" t="s">
        <v>248</v>
      </c>
      <c r="E17" s="49" t="s">
        <v>635</v>
      </c>
    </row>
    <row r="18" customFormat="false" ht="15" hidden="false" customHeight="true" outlineLevel="0" collapsed="false">
      <c r="B18" s="9" t="s">
        <v>636</v>
      </c>
      <c r="C18" s="50" t="str">
        <f aca="false">IF(Need_3&lt;&gt;"",Need_3,Starting_Amount+Monthly_Addition*12*Years)</f>
        <v>Choose your starting amount to see this</v>
      </c>
      <c r="D18" s="34" t="s">
        <v>248</v>
      </c>
      <c r="E18" s="49" t="s">
        <v>637</v>
      </c>
    </row>
    <row r="19" customFormat="false" ht="15" hidden="false" customHeight="true" outlineLevel="0" collapsed="false">
      <c r="B19" s="9" t="s">
        <v>638</v>
      </c>
      <c r="C19" s="50" t="str">
        <f aca="false">IF(Need_1&lt;&gt;"",Need_1,Grows_To-Paid_In)</f>
        <v>Choose your starting amount to see this</v>
      </c>
      <c r="D19" s="34" t="s">
        <v>248</v>
      </c>
      <c r="E19" s="49" t="s">
        <v>639</v>
      </c>
    </row>
    <row r="20" customFormat="false" ht="15" hidden="false" customHeight="true" outlineLevel="0" collapsed="false">
      <c r="B20" s="9" t="s">
        <v>601</v>
      </c>
      <c r="C20" s="71" t="n">
        <f aca="false">IF(Need_4&lt;&gt;"",Need_4,(1+Growth_Rate)^(1/12)-1)</f>
        <v>0.00407412378364835</v>
      </c>
      <c r="D20" s="34"/>
      <c r="E20" s="49" t="s">
        <v>602</v>
      </c>
    </row>
    <row r="21" customFormat="false" ht="15" hidden="false" customHeight="true" outlineLevel="0" collapsed="false">
      <c r="B21" s="75"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5"/>
      <c r="D21" s="75"/>
      <c r="E21" s="75"/>
    </row>
    <row r="23" customFormat="false" ht="15" hidden="false" customHeight="true" outlineLevel="0" collapsed="false">
      <c r="B23" s="15" t="s">
        <v>301</v>
      </c>
      <c r="C23" s="16"/>
      <c r="D23" s="16"/>
      <c r="E23" s="16"/>
      <c r="F23" s="16"/>
      <c r="G23" s="16"/>
    </row>
    <row r="24" customFormat="false" ht="27.75" hidden="false" customHeight="true" outlineLevel="0" collapsed="false">
      <c r="B24" s="53" t="s">
        <v>640</v>
      </c>
      <c r="C24" s="53"/>
      <c r="D24" s="53"/>
      <c r="E24" s="53"/>
    </row>
    <row r="25" customFormat="false" ht="13.5" hidden="false" customHeight="true" outlineLevel="0" collapsed="false">
      <c r="B25" s="53" t="s">
        <v>641</v>
      </c>
      <c r="C25" s="53"/>
      <c r="D25" s="53"/>
      <c r="E25" s="53"/>
    </row>
    <row r="26" customFormat="false" ht="13.5" hidden="false" customHeight="true" outlineLevel="0" collapsed="false">
      <c r="B26" s="54" t="s">
        <v>304</v>
      </c>
      <c r="C26" s="54"/>
      <c r="D26" s="54"/>
      <c r="E26" s="54"/>
    </row>
    <row r="27" customFormat="false" ht="13.5" hidden="false" customHeight="true" outlineLevel="0" collapsed="false">
      <c r="B27" s="53" t="s">
        <v>642</v>
      </c>
      <c r="C27" s="53"/>
      <c r="D27" s="53"/>
      <c r="E27" s="53"/>
    </row>
    <row r="28" customFormat="false" ht="13.5" hidden="false" customHeight="true" outlineLevel="0" collapsed="false">
      <c r="B28" s="53" t="s">
        <v>643</v>
      </c>
      <c r="C28" s="53"/>
      <c r="D28" s="53"/>
      <c r="E28" s="53"/>
    </row>
    <row r="30" customFormat="false" ht="15" hidden="false" customHeight="true" outlineLevel="0" collapsed="false">
      <c r="B30" s="15" t="s">
        <v>309</v>
      </c>
      <c r="C30" s="16"/>
      <c r="D30" s="16"/>
      <c r="E30" s="16"/>
      <c r="F30" s="16"/>
      <c r="G30" s="16"/>
    </row>
    <row r="31" customFormat="false" ht="15" hidden="false" customHeight="true" outlineLevel="0" collapsed="false">
      <c r="B31" s="9" t="s">
        <v>310</v>
      </c>
      <c r="C31" s="55" t="str">
        <f aca="false">"Grow my wealth (plan kind pot)"</f>
        <v>Grow my wealth (plan kind pot)</v>
      </c>
      <c r="E31" s="56" t="s">
        <v>644</v>
      </c>
    </row>
    <row r="32" customFormat="false" ht="15" hidden="false" customHeight="true" outlineLevel="0" collapsed="false">
      <c r="B32" s="9" t="s">
        <v>645</v>
      </c>
      <c r="C32" s="57" t="str">
        <f aca="false">IF(Need_1&lt;&gt;"",Need_1,IF(Inflation_Choice="","Choose an inflation rate first",ROUND(Value_Today,0)))</f>
        <v>Choose your starting amount to see this</v>
      </c>
      <c r="E32" s="56" t="s">
        <v>646</v>
      </c>
    </row>
    <row r="33" customFormat="false" ht="15" hidden="false" customHeight="true" outlineLevel="0" collapsed="false">
      <c r="B33" s="9" t="s">
        <v>316</v>
      </c>
      <c r="C33" s="58" t="str">
        <f aca="false">IF(Need_5&lt;&gt;"",Need_5,Years)</f>
        <v>Choose your years to see this</v>
      </c>
      <c r="E33" s="56" t="s">
        <v>611</v>
      </c>
    </row>
    <row r="34" customFormat="false" ht="15" hidden="false" customHeight="true" outlineLevel="0" collapsed="false">
      <c r="B34" s="9" t="s">
        <v>612</v>
      </c>
      <c r="C34" s="76" t="str">
        <f aca="false">IF(Inflation_Choice="","Choose an inflation rate first",Inflation_Choice)</f>
        <v>Choose an inflation rate first</v>
      </c>
      <c r="E34" s="56" t="s">
        <v>613</v>
      </c>
    </row>
    <row r="35" customFormat="false" ht="13.5" hidden="false" customHeight="true" outlineLevel="0" collapsed="false">
      <c r="B35" s="60" t="s">
        <v>647</v>
      </c>
      <c r="C35" s="60"/>
      <c r="D35" s="60"/>
      <c r="E35" s="60"/>
    </row>
    <row r="37" customFormat="false" ht="15" hidden="false" customHeight="true" outlineLevel="0" collapsed="false">
      <c r="B37" s="15" t="s">
        <v>318</v>
      </c>
      <c r="C37" s="16"/>
      <c r="D37" s="16"/>
      <c r="E37" s="16"/>
      <c r="F37" s="16"/>
      <c r="G37" s="16"/>
    </row>
    <row r="38" customFormat="false" ht="15" hidden="false" customHeight="true" outlineLevel="0" collapsed="false">
      <c r="B38" s="59" t="s">
        <v>648</v>
      </c>
      <c r="C38" s="59"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9" t="s">
        <v>649</v>
      </c>
      <c r="C39" s="59"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9" t="s">
        <v>650</v>
      </c>
      <c r="C40" s="59"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9" t="s">
        <v>617</v>
      </c>
      <c r="C41" s="59" t="str">
        <f aca="false">""</f>
        <v/>
      </c>
    </row>
    <row r="42" customFormat="false" ht="15" hidden="false" customHeight="true" outlineLevel="0" collapsed="false">
      <c r="B42" s="59" t="s">
        <v>651</v>
      </c>
      <c r="C42" s="59"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652</v>
      </c>
      <c r="E1" s="3" t="s">
        <v>653</v>
      </c>
    </row>
    <row r="2" customFormat="false" ht="15" hidden="false" customHeight="true" outlineLevel="0" collapsed="false">
      <c r="B2" s="28" t="s">
        <v>654</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655</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656</v>
      </c>
      <c r="C10" s="60"/>
      <c r="D10" s="60"/>
      <c r="E10" s="60"/>
    </row>
    <row r="11" customFormat="false" ht="15" hidden="false" customHeight="true" outlineLevel="0" collapsed="false">
      <c r="B11" s="9" t="s">
        <v>657</v>
      </c>
      <c r="C11" s="61"/>
      <c r="D11" s="34" t="s">
        <v>248</v>
      </c>
      <c r="E11" s="35" t="s">
        <v>658</v>
      </c>
      <c r="G11" s="59" t="s">
        <v>335</v>
      </c>
    </row>
    <row r="12" customFormat="false" ht="15" hidden="false" customHeight="true" outlineLevel="0" collapsed="false">
      <c r="B12" s="9" t="s">
        <v>659</v>
      </c>
      <c r="C12" s="62"/>
      <c r="D12" s="34" t="s">
        <v>259</v>
      </c>
      <c r="E12" s="35" t="s">
        <v>660</v>
      </c>
      <c r="G12" s="59" t="s">
        <v>335</v>
      </c>
    </row>
    <row r="13" customFormat="false" ht="15" hidden="false" customHeight="true" outlineLevel="0" collapsed="false">
      <c r="B13" s="9" t="s">
        <v>342</v>
      </c>
      <c r="C13" s="64"/>
      <c r="D13" s="34" t="s">
        <v>343</v>
      </c>
      <c r="E13" s="35" t="s">
        <v>344</v>
      </c>
      <c r="G13" s="59" t="s">
        <v>335</v>
      </c>
    </row>
    <row r="15" customFormat="false" ht="15" hidden="false" customHeight="true" outlineLevel="0" collapsed="false">
      <c r="B15" s="15" t="s">
        <v>345</v>
      </c>
      <c r="C15" s="31" t="s">
        <v>243</v>
      </c>
      <c r="D15" s="31" t="s">
        <v>244</v>
      </c>
      <c r="E15" s="31" t="s">
        <v>245</v>
      </c>
      <c r="F15" s="32" t="s">
        <v>246</v>
      </c>
      <c r="G15" s="16"/>
    </row>
    <row r="16" customFormat="false" ht="21.75" hidden="false" customHeight="true" outlineLevel="0" collapsed="false">
      <c r="B16" s="9" t="s">
        <v>661</v>
      </c>
      <c r="C16" s="33"/>
      <c r="D16" s="34" t="s">
        <v>248</v>
      </c>
      <c r="E16" s="35" t="s">
        <v>662</v>
      </c>
      <c r="F16" s="36" t="n">
        <v>10000</v>
      </c>
      <c r="G16" s="37" t="str">
        <f aca="false">IF(ISBLANK(C16),IF(Fill_Example="Yes",F16,""),C16)</f>
        <v/>
      </c>
    </row>
    <row r="17" customFormat="false" ht="21.75" hidden="false" customHeight="true" outlineLevel="0" collapsed="false">
      <c r="B17" s="9" t="s">
        <v>663</v>
      </c>
      <c r="C17" s="41"/>
      <c r="D17" s="34" t="s">
        <v>259</v>
      </c>
      <c r="E17" s="42" t="s">
        <v>629</v>
      </c>
      <c r="F17" s="43" t="n">
        <f aca="false">Set_invGross</f>
        <v>0.05</v>
      </c>
      <c r="G17" s="44" t="n">
        <f aca="false">IF(ISBLANK(C17),F17,C17)</f>
        <v>0.05</v>
      </c>
    </row>
    <row r="18" customFormat="false" ht="15" hidden="false" customHeight="true" outlineLevel="0" collapsed="false">
      <c r="B18" s="9" t="s">
        <v>630</v>
      </c>
      <c r="C18" s="45"/>
      <c r="D18" s="34" t="s">
        <v>261</v>
      </c>
      <c r="E18" s="35" t="s">
        <v>631</v>
      </c>
      <c r="F18" s="46" t="n">
        <v>15</v>
      </c>
      <c r="G18" s="47" t="str">
        <f aca="false">IF(ISBLANK(C18),IF(Fill_Example="Yes",F18,""),C18)</f>
        <v/>
      </c>
    </row>
    <row r="19" customFormat="false" ht="21.75" hidden="false" customHeight="true" outlineLevel="0" collapsed="false">
      <c r="B19" s="9" t="s">
        <v>664</v>
      </c>
      <c r="C19" s="41"/>
      <c r="D19" s="34" t="s">
        <v>259</v>
      </c>
      <c r="E19" s="42"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3" t="n">
        <f aca="false">IF(ISNUMBER(Suggest_Fund_Charges),Suggest_Fund_Charges,"")</f>
        <v>0.01</v>
      </c>
      <c r="G19" s="44" t="str">
        <f aca="false">IF(ISBLANK(C19),IF(Fill_Example="Yes",F19,""),C19)</f>
        <v/>
      </c>
    </row>
    <row r="20" customFormat="false" ht="21.75" hidden="false" customHeight="true" outlineLevel="0" collapsed="false">
      <c r="B20" s="9" t="s">
        <v>665</v>
      </c>
      <c r="C20" s="45"/>
      <c r="D20" s="34" t="s">
        <v>261</v>
      </c>
      <c r="E20" s="42" t="s">
        <v>666</v>
      </c>
      <c r="F20" s="46" t="n">
        <f aca="false">Set_waitYears</f>
        <v>5</v>
      </c>
      <c r="G20" s="47" t="n">
        <f aca="false">IF(ISBLANK(C20),F20,C20)</f>
        <v>5</v>
      </c>
    </row>
    <row r="21" customFormat="false" ht="15" hidden="false" customHeight="true" outlineLevel="0" collapsed="false">
      <c r="B21" s="9" t="s">
        <v>667</v>
      </c>
      <c r="C21" s="38"/>
      <c r="D21" s="34" t="s">
        <v>255</v>
      </c>
      <c r="E21" s="35" t="s">
        <v>668</v>
      </c>
      <c r="F21" s="39" t="s">
        <v>3</v>
      </c>
      <c r="G21" s="40" t="str">
        <f aca="false">IF(ISBLANK(C21),F21,C21)</f>
        <v>No</v>
      </c>
    </row>
    <row r="23" customFormat="false" ht="15" hidden="false" customHeight="true" outlineLevel="0" collapsed="false">
      <c r="B23" s="15" t="s">
        <v>354</v>
      </c>
      <c r="C23" s="16"/>
      <c r="D23" s="16"/>
      <c r="E23" s="16"/>
      <c r="F23" s="16"/>
      <c r="G23" s="16"/>
    </row>
    <row r="24" customFormat="false" ht="15" hidden="false" customHeight="true" outlineLevel="0" collapsed="false">
      <c r="B24" s="9" t="s">
        <v>669</v>
      </c>
      <c r="C24" s="52" t="str">
        <f aca="false">IF(COUNTA(Stmt_Total_Value,Stmt_Charges,Stmt_Statement_Date)&gt;0,"Yes","No")</f>
        <v>No</v>
      </c>
      <c r="D24" s="34"/>
      <c r="E24" s="49" t="s">
        <v>670</v>
      </c>
    </row>
    <row r="25" customFormat="false" ht="15" hidden="false" customHeight="true" outlineLevel="0" collapsed="false">
      <c r="B25" s="9" t="s">
        <v>661</v>
      </c>
      <c r="C25" s="65" t="str">
        <f aca="false">IF(ISBLANK(Stmt_Total_Value),Amount,Stmt_Total_Value)</f>
        <v/>
      </c>
      <c r="D25" s="66" t="str">
        <f aca="false">IF(ISBLANK(Stmt_Total_Value),"Your figure","From your statement")</f>
        <v>Your figure</v>
      </c>
      <c r="E25" s="56" t="s">
        <v>671</v>
      </c>
    </row>
    <row r="26" customFormat="false" ht="15" hidden="false" customHeight="true" outlineLevel="0" collapsed="false">
      <c r="B26" s="9" t="s">
        <v>664</v>
      </c>
      <c r="C26" s="67" t="str">
        <f aca="false">IF(NOT(ISBLANK(Stmt_Charges)),Stmt_Charges,IF(Statement_Uploaded="Yes",0,Yearly_Fees))</f>
        <v/>
      </c>
      <c r="D26" s="66" t="str">
        <f aca="false">IF(NOT(ISBLANK(Stmt_Charges)),"From your statement",IF(Statement_Uploaded="Yes","None shown on your statement","Your figure"))</f>
        <v>Your figure</v>
      </c>
      <c r="E26" s="56" t="s">
        <v>672</v>
      </c>
    </row>
    <row r="27" customFormat="false" ht="21.75" hidden="false" customHeight="true" outlineLevel="0" collapsed="false">
      <c r="B27" s="9" t="s">
        <v>361</v>
      </c>
      <c r="C27" s="52" t="str">
        <f aca="true">IF(ISBLANK(Stmt_Statement_Date),"",IF(TODAY()-Stmt_Statement_Date&gt;Statement_Max_Age_Days,"Needs a look: statement is more than 12 months old","Up to date"))</f>
        <v/>
      </c>
      <c r="D27" s="34"/>
      <c r="E27" s="49" t="s">
        <v>362</v>
      </c>
    </row>
    <row r="29" customFormat="false" ht="15" hidden="false" customHeight="true" outlineLevel="0" collapsed="false">
      <c r="B29" s="15" t="s">
        <v>268</v>
      </c>
      <c r="C29" s="31" t="s">
        <v>269</v>
      </c>
      <c r="D29" s="31" t="s">
        <v>270</v>
      </c>
      <c r="E29" s="31" t="s">
        <v>271</v>
      </c>
      <c r="F29" s="16"/>
      <c r="G29" s="16"/>
    </row>
    <row r="30" customFormat="false" ht="17.25" hidden="false" customHeight="true" outlineLevel="0" collapsed="false">
      <c r="B30" s="28" t="s">
        <v>673</v>
      </c>
      <c r="C30" s="48" t="str">
        <f aca="false">IF(Need_1&lt;&gt;"",Need_1,IF(Adjust_For_Inflation="Yes",Value_Today,Grows_To))</f>
        <v>Choose your years to see this</v>
      </c>
      <c r="D30" s="34" t="s">
        <v>248</v>
      </c>
      <c r="E30" s="49" t="s">
        <v>674</v>
      </c>
    </row>
    <row r="31" customFormat="false" ht="15" hidden="false" customHeight="true" outlineLevel="0" collapsed="false">
      <c r="B31" s="9" t="s">
        <v>675</v>
      </c>
      <c r="C31" s="50" t="str">
        <f aca="false">IF(Need_1&lt;&gt;"",Need_1,Used_Amount*(1+Growth_After_Fees)^Years)</f>
        <v>Choose your years to see this</v>
      </c>
      <c r="D31" s="34" t="s">
        <v>248</v>
      </c>
      <c r="E31" s="49" t="s">
        <v>676</v>
      </c>
    </row>
    <row r="32" customFormat="false" ht="15" hidden="false" customHeight="true" outlineLevel="0" collapsed="false">
      <c r="B32" s="9" t="s">
        <v>634</v>
      </c>
      <c r="C32" s="50" t="str">
        <f aca="false">IF(Need_2&lt;&gt;"",Need_2,IF(Inflation_Choice="","Choose your inflation rate to see this",Grows_To/(1+Inflation_Choice)^Years))</f>
        <v>Choose your years to see this</v>
      </c>
      <c r="D32" s="34" t="s">
        <v>248</v>
      </c>
      <c r="E32" s="49" t="s">
        <v>635</v>
      </c>
    </row>
    <row r="33" customFormat="false" ht="15" hidden="false" customHeight="true" outlineLevel="0" collapsed="false">
      <c r="B33" s="9" t="s">
        <v>677</v>
      </c>
      <c r="C33" s="50" t="str">
        <f aca="false">IF(Need_3&lt;&gt;"",Need_3,Used_Amount*(1+Growth_After_Fees)^MAX(0,Years-Wait_Years))</f>
        <v>Choose your years to see this</v>
      </c>
      <c r="D33" s="34" t="s">
        <v>248</v>
      </c>
      <c r="E33" s="49" t="s">
        <v>678</v>
      </c>
    </row>
    <row r="34" customFormat="false" ht="21.75" hidden="false" customHeight="true" outlineLevel="0" collapsed="false">
      <c r="B34" s="28" t="s">
        <v>679</v>
      </c>
      <c r="C34" s="48" t="str">
        <f aca="false">IF(Need_3&lt;&gt;"",Need_3,IF(Adjust_For_Inflation="Yes",IF(Inflation_Choice="","Choose your inflation rate to see this",(Grows_To-Value_Start_Later)/(1+Inflation_Choice)^Years),Grows_To-Value_Start_Later))</f>
        <v>Choose your years to see this</v>
      </c>
      <c r="D34" s="34" t="s">
        <v>248</v>
      </c>
      <c r="E34" s="49" t="s">
        <v>680</v>
      </c>
    </row>
    <row r="35" customFormat="false" ht="15" hidden="false" customHeight="true" outlineLevel="0" collapsed="false">
      <c r="B35" s="9" t="s">
        <v>681</v>
      </c>
      <c r="C35" s="50" t="str">
        <f aca="false">IF(Need_1&lt;&gt;"",Need_1,Used_Amount*(1+Growth_Rate)^Years-Grows_To)</f>
        <v>Choose your years to see this</v>
      </c>
      <c r="D35" s="34" t="s">
        <v>248</v>
      </c>
      <c r="E35" s="49" t="s">
        <v>682</v>
      </c>
    </row>
    <row r="36" customFormat="false" ht="15" hidden="false" customHeight="true" outlineLevel="0" collapsed="false">
      <c r="B36" s="9" t="s">
        <v>683</v>
      </c>
      <c r="C36" s="71" t="str">
        <f aca="false">IF(Need_4&lt;&gt;"",Need_4,(1+Growth_Rate)*(1-Used_Yearly_Fees)-1)</f>
        <v>Choose your yearly fees to see this</v>
      </c>
      <c r="D36" s="34"/>
      <c r="E36" s="49" t="s">
        <v>684</v>
      </c>
    </row>
    <row r="37" customFormat="false" ht="15" hidden="false" customHeight="true" outlineLevel="0" collapsed="false">
      <c r="B37" s="9" t="s">
        <v>685</v>
      </c>
      <c r="C37" s="71" t="str">
        <f aca="false">IF(Need_5&lt;&gt;"",Need_5,IF(Inflation_Choice="","Choose your inflation rate to see this",(1+Growth_After_Fees)/(1+Inflation_Choice)-1))</f>
        <v>Choose your yearly fees to see this</v>
      </c>
      <c r="D37" s="34"/>
      <c r="E37" s="49" t="s">
        <v>686</v>
      </c>
    </row>
    <row r="38" customFormat="false" ht="15" hidden="false" customHeight="true" outlineLevel="0" collapsed="false">
      <c r="B38" s="75"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5"/>
      <c r="D38" s="75"/>
      <c r="E38" s="75"/>
    </row>
    <row r="40" customFormat="false" ht="15" hidden="false" customHeight="true" outlineLevel="0" collapsed="false">
      <c r="B40" s="15" t="s">
        <v>301</v>
      </c>
      <c r="C40" s="16"/>
      <c r="D40" s="16"/>
      <c r="E40" s="16"/>
      <c r="F40" s="16"/>
      <c r="G40" s="16"/>
    </row>
    <row r="41" customFormat="false" ht="13.5" hidden="false" customHeight="true" outlineLevel="0" collapsed="false">
      <c r="B41" s="53" t="s">
        <v>687</v>
      </c>
      <c r="C41" s="53"/>
      <c r="D41" s="53"/>
      <c r="E41" s="53"/>
    </row>
    <row r="42" customFormat="false" ht="13.5" hidden="false" customHeight="true" outlineLevel="0" collapsed="false">
      <c r="B42" s="53" t="s">
        <v>688</v>
      </c>
      <c r="C42" s="53"/>
      <c r="D42" s="53"/>
      <c r="E42" s="53"/>
    </row>
    <row r="43" customFormat="false" ht="13.5" hidden="false" customHeight="true" outlineLevel="0" collapsed="false">
      <c r="B43" s="53" t="s">
        <v>689</v>
      </c>
      <c r="C43" s="53"/>
      <c r="D43" s="53"/>
      <c r="E43" s="53"/>
    </row>
    <row r="44" customFormat="false" ht="13.5" hidden="false" customHeight="true" outlineLevel="0" collapsed="false">
      <c r="B44" s="54" t="s">
        <v>304</v>
      </c>
      <c r="C44" s="54"/>
      <c r="D44" s="54"/>
      <c r="E44" s="54"/>
    </row>
    <row r="45" customFormat="false" ht="13.5" hidden="false" customHeight="true" outlineLevel="0" collapsed="false">
      <c r="B45" s="53" t="s">
        <v>690</v>
      </c>
      <c r="C45" s="53"/>
      <c r="D45" s="53"/>
      <c r="E45" s="53"/>
    </row>
    <row r="46" customFormat="false" ht="13.5" hidden="false" customHeight="true" outlineLevel="0" collapsed="false">
      <c r="B46" s="53" t="s">
        <v>691</v>
      </c>
      <c r="C46" s="53"/>
      <c r="D46" s="53"/>
      <c r="E46" s="53"/>
    </row>
    <row r="48" customFormat="false" ht="15" hidden="false" customHeight="true" outlineLevel="0" collapsed="false">
      <c r="B48" s="15" t="s">
        <v>309</v>
      </c>
      <c r="C48" s="16"/>
      <c r="D48" s="16"/>
      <c r="E48" s="16"/>
      <c r="F48" s="16"/>
      <c r="G48" s="16"/>
    </row>
    <row r="49" customFormat="false" ht="15" hidden="false" customHeight="true" outlineLevel="0" collapsed="false">
      <c r="B49" s="9" t="s">
        <v>310</v>
      </c>
      <c r="C49" s="55" t="str">
        <f aca="false">"Grow my wealth (plan kind pot)"</f>
        <v>Grow my wealth (plan kind pot)</v>
      </c>
      <c r="E49" s="56" t="s">
        <v>644</v>
      </c>
    </row>
    <row r="50" customFormat="false" ht="15" hidden="false" customHeight="true" outlineLevel="0" collapsed="false">
      <c r="B50" s="9" t="s">
        <v>645</v>
      </c>
      <c r="C50" s="57" t="str">
        <f aca="false">IF(Need_1&lt;&gt;"",Need_1,IF(Inflation_Choice="","Choose an inflation rate first",ROUND(Value_Today,0)))</f>
        <v>Choose your years to see this</v>
      </c>
      <c r="E50" s="56" t="s">
        <v>646</v>
      </c>
    </row>
    <row r="51" customFormat="false" ht="15" hidden="false" customHeight="true" outlineLevel="0" collapsed="false">
      <c r="B51" s="9" t="s">
        <v>316</v>
      </c>
      <c r="C51" s="58" t="str">
        <f aca="false">IF(Need_6&lt;&gt;"",Need_6,Years)</f>
        <v>Choose your years to see this</v>
      </c>
      <c r="E51" s="56" t="s">
        <v>611</v>
      </c>
    </row>
    <row r="52" customFormat="false" ht="15" hidden="false" customHeight="true" outlineLevel="0" collapsed="false">
      <c r="B52" s="9" t="s">
        <v>612</v>
      </c>
      <c r="C52" s="76" t="str">
        <f aca="false">IF(Inflation_Choice="","Choose an inflation rate first",Inflation_Choice)</f>
        <v>Choose an inflation rate first</v>
      </c>
      <c r="E52" s="56" t="s">
        <v>613</v>
      </c>
    </row>
    <row r="53" customFormat="false" ht="13.5" hidden="false" customHeight="true" outlineLevel="0" collapsed="false">
      <c r="B53" s="60" t="s">
        <v>692</v>
      </c>
      <c r="C53" s="60"/>
      <c r="D53" s="60"/>
      <c r="E53" s="60"/>
    </row>
    <row r="55" customFormat="false" ht="15" hidden="false" customHeight="true" outlineLevel="0" collapsed="false">
      <c r="B55" s="15" t="s">
        <v>318</v>
      </c>
      <c r="C55" s="16"/>
      <c r="D55" s="16"/>
      <c r="E55" s="16"/>
      <c r="F55" s="16"/>
      <c r="G55" s="16"/>
    </row>
    <row r="56" customFormat="false" ht="15" hidden="false" customHeight="true" outlineLevel="0" collapsed="false">
      <c r="B56" s="59" t="s">
        <v>693</v>
      </c>
      <c r="C56" s="59"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9" t="s">
        <v>694</v>
      </c>
      <c r="C57" s="59"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9" t="s">
        <v>695</v>
      </c>
      <c r="C58" s="59"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9" t="s">
        <v>696</v>
      </c>
      <c r="C59" s="59" t="str">
        <f aca="false">IF(NOT(ISNUMBER(Used_Yearly_Fees)),IF(Used_Yearly_Fees="",IF(Yearly_Fees="","Choose your yearly fees to see this",""),Used_Yearly_Fees),"")</f>
        <v>Choose your yearly fees to see this</v>
      </c>
    </row>
    <row r="60" customFormat="false" ht="15" hidden="false" customHeight="true" outlineLevel="0" collapsed="false">
      <c r="B60" s="59" t="s">
        <v>697</v>
      </c>
      <c r="C60" s="59"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9" t="s">
        <v>651</v>
      </c>
      <c r="C61" s="59"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698</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699</v>
      </c>
      <c r="E1" s="3" t="s">
        <v>700</v>
      </c>
    </row>
    <row r="2" customFormat="false" ht="15" hidden="false" customHeight="true" outlineLevel="0" collapsed="false">
      <c r="B2" s="28" t="s">
        <v>701</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702</v>
      </c>
    </row>
    <row r="5" customFormat="false" ht="15" hidden="false" customHeight="true" outlineLevel="0" collapsed="false">
      <c r="B5" s="15" t="s">
        <v>242</v>
      </c>
      <c r="C5" s="31" t="s">
        <v>243</v>
      </c>
      <c r="D5" s="31" t="s">
        <v>244</v>
      </c>
      <c r="E5" s="31" t="s">
        <v>245</v>
      </c>
      <c r="F5" s="32" t="s">
        <v>246</v>
      </c>
      <c r="G5" s="16"/>
    </row>
    <row r="6" customFormat="false" ht="21.75" hidden="false" customHeight="true" outlineLevel="0" collapsed="false">
      <c r="B6" s="9" t="s">
        <v>703</v>
      </c>
      <c r="C6" s="33"/>
      <c r="D6" s="34" t="s">
        <v>248</v>
      </c>
      <c r="E6" s="35" t="s">
        <v>704</v>
      </c>
      <c r="F6" s="36" t="n">
        <v>2500</v>
      </c>
      <c r="G6" s="37" t="str">
        <f aca="false">IF(AND(ISNUMBER(C6),N(C6)&lt;500),"",IF(ISBLANK(C6),IF(Fill_Example="Yes",F6,""),C6))</f>
        <v/>
      </c>
    </row>
    <row r="7" customFormat="false" ht="21.75" hidden="false" customHeight="true" outlineLevel="0" collapsed="false">
      <c r="B7" s="9" t="s">
        <v>705</v>
      </c>
      <c r="C7" s="45"/>
      <c r="D7" s="34" t="s">
        <v>706</v>
      </c>
      <c r="E7" s="42" t="s">
        <v>707</v>
      </c>
      <c r="F7" s="46" t="n">
        <f aca="false">AS_Months</f>
        <v>6</v>
      </c>
      <c r="G7" s="47" t="n">
        <f aca="false">IF(ISBLANK(C7),F7,C7)</f>
        <v>6</v>
      </c>
    </row>
    <row r="8" customFormat="false" ht="15" hidden="false" customHeight="true" outlineLevel="0" collapsed="false">
      <c r="B8" s="9" t="s">
        <v>708</v>
      </c>
      <c r="C8" s="45"/>
      <c r="D8" s="34" t="s">
        <v>261</v>
      </c>
      <c r="E8" s="35" t="s">
        <v>709</v>
      </c>
      <c r="F8" s="46" t="n">
        <v>2</v>
      </c>
      <c r="G8" s="47" t="str">
        <f aca="false">IF(ISBLANK(C8),IF(Fill_Example="Yes",F8,""),C8)</f>
        <v/>
      </c>
    </row>
    <row r="9" customFormat="false" ht="21.75" hidden="false" customHeight="true" outlineLevel="0" collapsed="false">
      <c r="B9" s="9" t="s">
        <v>710</v>
      </c>
      <c r="C9" s="33"/>
      <c r="D9" s="34" t="s">
        <v>248</v>
      </c>
      <c r="E9" s="35" t="s">
        <v>711</v>
      </c>
      <c r="F9" s="36" t="n">
        <v>6250</v>
      </c>
      <c r="G9" s="37" t="str">
        <f aca="false">IF(ISBLANK(C9),IF(Fill_Example="Yes",F9,""),C9)</f>
        <v/>
      </c>
    </row>
    <row r="11" customFormat="false" ht="15" hidden="false" customHeight="true" outlineLevel="0" collapsed="false">
      <c r="B11" s="15" t="s">
        <v>268</v>
      </c>
      <c r="C11" s="31" t="s">
        <v>269</v>
      </c>
      <c r="D11" s="31" t="s">
        <v>270</v>
      </c>
      <c r="E11" s="31" t="s">
        <v>271</v>
      </c>
      <c r="F11" s="16"/>
      <c r="G11" s="16"/>
    </row>
    <row r="12" customFormat="false" ht="23.25" hidden="false" customHeight="true" outlineLevel="0" collapsed="false">
      <c r="B12" s="28" t="s">
        <v>712</v>
      </c>
      <c r="C12" s="77" t="str">
        <f aca="false">IF(Need_1&lt;&gt;"",Need_1,Savings/Essential_Spending)</f>
        <v>Choose your essential monthly spending to see this</v>
      </c>
      <c r="D12" s="70" t="str">
        <f aca="false">IF(Need_1&lt;&gt;"",Need_1,IF(ROUND(Months_Covered,1)=1,"1 month",FIXED(Months_Covered,1)&amp;" months"))</f>
        <v>Choose your essential monthly spending to see this</v>
      </c>
      <c r="E12" s="49" t="s">
        <v>713</v>
      </c>
    </row>
    <row r="13" customFormat="false" ht="17.25" hidden="false" customHeight="true" outlineLevel="0" collapsed="false">
      <c r="B13" s="28" t="s">
        <v>714</v>
      </c>
      <c r="C13" s="48" t="str">
        <f aca="false">IF(Need_2&lt;&gt;"",Need_2,Essential_Spending*Months_Wanted)</f>
        <v>Choose your essential monthly spending to see this</v>
      </c>
      <c r="D13" s="34" t="s">
        <v>248</v>
      </c>
      <c r="E13" s="49" t="s">
        <v>715</v>
      </c>
    </row>
    <row r="14" customFormat="false" ht="17.25" hidden="false" customHeight="true" outlineLevel="0" collapsed="false">
      <c r="B14" s="28" t="s">
        <v>716</v>
      </c>
      <c r="C14" s="48" t="str">
        <f aca="false">IF(Need_3&lt;&gt;"",Need_3,MAX(0,Target-Savings))</f>
        <v>Choose your essential monthly spending to see this</v>
      </c>
      <c r="D14" s="34" t="s">
        <v>248</v>
      </c>
      <c r="E14" s="49" t="s">
        <v>717</v>
      </c>
    </row>
    <row r="16" customFormat="false" ht="15" hidden="false" customHeight="true" outlineLevel="0" collapsed="false">
      <c r="B16" s="15" t="s">
        <v>301</v>
      </c>
      <c r="C16" s="16"/>
      <c r="D16" s="16"/>
      <c r="E16" s="16"/>
      <c r="F16" s="16"/>
      <c r="G16" s="16"/>
    </row>
    <row r="17" customFormat="false" ht="13.5" hidden="false" customHeight="true" outlineLevel="0" collapsed="false">
      <c r="B17" s="53" t="s">
        <v>718</v>
      </c>
      <c r="C17" s="53"/>
      <c r="D17" s="53"/>
      <c r="E17" s="53"/>
    </row>
    <row r="18" customFormat="false" ht="13.5" hidden="false" customHeight="true" outlineLevel="0" collapsed="false">
      <c r="B18" s="54" t="s">
        <v>304</v>
      </c>
      <c r="C18" s="54"/>
      <c r="D18" s="54"/>
      <c r="E18" s="54"/>
    </row>
    <row r="19" customFormat="false" ht="13.5" hidden="false" customHeight="true" outlineLevel="0" collapsed="false">
      <c r="B19" s="53" t="s">
        <v>719</v>
      </c>
      <c r="C19" s="53"/>
      <c r="D19" s="53"/>
      <c r="E19" s="53"/>
    </row>
    <row r="21" customFormat="false" ht="15" hidden="false" customHeight="true" outlineLevel="0" collapsed="false">
      <c r="B21" s="15" t="s">
        <v>309</v>
      </c>
      <c r="C21" s="16"/>
      <c r="D21" s="16"/>
      <c r="E21" s="16"/>
      <c r="F21" s="16"/>
      <c r="G21" s="16"/>
    </row>
    <row r="22" customFormat="false" ht="15" hidden="false" customHeight="true" outlineLevel="0" collapsed="false">
      <c r="B22" s="9" t="s">
        <v>310</v>
      </c>
      <c r="C22" s="55" t="str">
        <f aca="false">IF(Need_3&lt;&gt;"",Need_3,IF(Still_To_Build&gt;0,"Emergency fund (plan kind safety: a reserve, not a spend)","No goal (emergency fund already in place)"))</f>
        <v>Choose your essential monthly spending to see this</v>
      </c>
      <c r="E22" s="56" t="s">
        <v>720</v>
      </c>
    </row>
    <row r="23" customFormat="false" ht="15" hidden="false" customHeight="true" outlineLevel="0" collapsed="false">
      <c r="B23" s="9" t="s">
        <v>645</v>
      </c>
      <c r="C23" s="57" t="str">
        <f aca="false">IF(Need_3&lt;&gt;"",Need_3,IF(Still_To_Build&gt;0,ROUND(Target,0),"—"))</f>
        <v>Choose your essential monthly spending to see this</v>
      </c>
      <c r="E23" s="56" t="s">
        <v>721</v>
      </c>
    </row>
    <row r="24" customFormat="false" ht="15" hidden="false" customHeight="true" outlineLevel="0" collapsed="false">
      <c r="B24" s="9" t="s">
        <v>314</v>
      </c>
      <c r="C24" s="57" t="str">
        <f aca="false">IF(Need_4&lt;&gt;"",Need_4,Savings)</f>
        <v>Choose your easy-access savings to see this</v>
      </c>
      <c r="E24" s="56" t="s">
        <v>722</v>
      </c>
    </row>
    <row r="25" customFormat="false" ht="15" hidden="false" customHeight="true" outlineLevel="0" collapsed="false">
      <c r="B25" s="9" t="s">
        <v>316</v>
      </c>
      <c r="C25" s="58" t="str">
        <f aca="false">IF(Need_5&lt;&gt;"",Need_5,Safety_Goal_Years)</f>
        <v>Choose your years to build the emergency fund to see this</v>
      </c>
      <c r="E25" s="56" t="s">
        <v>723</v>
      </c>
    </row>
    <row r="27" customFormat="false" ht="15" hidden="false" customHeight="true" outlineLevel="0" collapsed="false">
      <c r="B27" s="15" t="s">
        <v>318</v>
      </c>
      <c r="C27" s="16"/>
      <c r="D27" s="16"/>
      <c r="E27" s="16"/>
      <c r="F27" s="16"/>
      <c r="G27" s="16"/>
    </row>
    <row r="28" customFormat="false" ht="15" hidden="false" customHeight="true" outlineLevel="0" collapsed="false">
      <c r="B28" s="59" t="s">
        <v>724</v>
      </c>
      <c r="C28" s="59"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9" t="s">
        <v>725</v>
      </c>
      <c r="C29" s="59" t="str">
        <f aca="false">IF(Essential_Spending="","Choose your essential monthly spending to see this","")</f>
        <v>Choose your essential monthly spending to see this</v>
      </c>
    </row>
    <row r="30" customFormat="false" ht="15" hidden="false" customHeight="true" outlineLevel="0" collapsed="false">
      <c r="B30" s="59" t="s">
        <v>726</v>
      </c>
      <c r="C30" s="59"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9" t="s">
        <v>727</v>
      </c>
      <c r="C31" s="59" t="str">
        <f aca="false">IF(Savings="","Choose your easy-access savings to see this","")</f>
        <v>Choose your easy-access savings to see this</v>
      </c>
    </row>
    <row r="32" customFormat="false" ht="15" hidden="false" customHeight="true" outlineLevel="0" collapsed="false">
      <c r="B32" s="59" t="s">
        <v>728</v>
      </c>
      <c r="C32" s="59"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729</v>
      </c>
      <c r="E1" s="3" t="s">
        <v>730</v>
      </c>
    </row>
    <row r="2" customFormat="false" ht="15" hidden="false" customHeight="true" outlineLevel="0" collapsed="false">
      <c r="B2" s="28" t="s">
        <v>731</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732</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733</v>
      </c>
      <c r="C10" s="60"/>
      <c r="D10" s="60"/>
      <c r="E10" s="60"/>
    </row>
    <row r="11" customFormat="false" ht="15" hidden="false" customHeight="true" outlineLevel="0" collapsed="false">
      <c r="B11" s="9" t="s">
        <v>734</v>
      </c>
      <c r="C11" s="61"/>
      <c r="D11" s="34" t="s">
        <v>248</v>
      </c>
      <c r="E11" s="35" t="s">
        <v>735</v>
      </c>
      <c r="G11" s="59" t="s">
        <v>335</v>
      </c>
    </row>
    <row r="12" customFormat="false" ht="15" hidden="false" customHeight="true" outlineLevel="0" collapsed="false">
      <c r="B12" s="9" t="s">
        <v>736</v>
      </c>
      <c r="C12" s="61"/>
      <c r="D12" s="34" t="s">
        <v>248</v>
      </c>
      <c r="E12" s="35" t="s">
        <v>341</v>
      </c>
      <c r="G12" s="59" t="s">
        <v>335</v>
      </c>
    </row>
    <row r="13" customFormat="false" ht="15" hidden="false" customHeight="true" outlineLevel="0" collapsed="false">
      <c r="B13" s="9" t="s">
        <v>737</v>
      </c>
      <c r="C13" s="61"/>
      <c r="D13" s="34" t="s">
        <v>248</v>
      </c>
      <c r="E13" s="35" t="s">
        <v>341</v>
      </c>
      <c r="G13" s="59" t="s">
        <v>335</v>
      </c>
    </row>
    <row r="14" customFormat="false" ht="15" hidden="false" customHeight="true" outlineLevel="0" collapsed="false">
      <c r="B14" s="9" t="s">
        <v>738</v>
      </c>
      <c r="C14" s="63"/>
      <c r="D14" s="34" t="s">
        <v>739</v>
      </c>
      <c r="E14" s="35" t="s">
        <v>740</v>
      </c>
      <c r="G14" s="59" t="s">
        <v>335</v>
      </c>
    </row>
    <row r="15" customFormat="false" ht="15" hidden="false" customHeight="true" outlineLevel="0" collapsed="false">
      <c r="B15" s="9" t="s">
        <v>741</v>
      </c>
      <c r="C15" s="61"/>
      <c r="D15" s="34" t="s">
        <v>248</v>
      </c>
      <c r="E15" s="35" t="s">
        <v>658</v>
      </c>
      <c r="G15" s="59" t="s">
        <v>335</v>
      </c>
    </row>
    <row r="16" customFormat="false" ht="15" hidden="false" customHeight="true" outlineLevel="0" collapsed="false">
      <c r="B16" s="9" t="s">
        <v>742</v>
      </c>
      <c r="C16" s="78"/>
      <c r="D16" s="34" t="s">
        <v>255</v>
      </c>
      <c r="E16" s="35" t="s">
        <v>743</v>
      </c>
      <c r="G16" s="59" t="s">
        <v>335</v>
      </c>
    </row>
    <row r="17" customFormat="false" ht="15" hidden="false" customHeight="true" outlineLevel="0" collapsed="false">
      <c r="B17" s="9" t="s">
        <v>659</v>
      </c>
      <c r="C17" s="62"/>
      <c r="D17" s="34" t="s">
        <v>259</v>
      </c>
      <c r="E17" s="35" t="s">
        <v>660</v>
      </c>
      <c r="G17" s="59" t="s">
        <v>335</v>
      </c>
    </row>
    <row r="18" customFormat="false" ht="15" hidden="false" customHeight="true" outlineLevel="0" collapsed="false">
      <c r="B18" s="9" t="s">
        <v>342</v>
      </c>
      <c r="C18" s="64"/>
      <c r="D18" s="34" t="s">
        <v>343</v>
      </c>
      <c r="E18" s="35" t="s">
        <v>344</v>
      </c>
      <c r="G18" s="59" t="s">
        <v>335</v>
      </c>
    </row>
    <row r="20" customFormat="false" ht="15" hidden="false" customHeight="true" outlineLevel="0" collapsed="false">
      <c r="B20" s="15" t="s">
        <v>345</v>
      </c>
      <c r="C20" s="31" t="s">
        <v>243</v>
      </c>
      <c r="D20" s="31" t="s">
        <v>244</v>
      </c>
      <c r="E20" s="31" t="s">
        <v>245</v>
      </c>
      <c r="F20" s="32" t="s">
        <v>246</v>
      </c>
      <c r="G20" s="16"/>
    </row>
    <row r="21" customFormat="false" ht="21.75" hidden="false" customHeight="true" outlineLevel="0" collapsed="false">
      <c r="B21" s="9" t="s">
        <v>744</v>
      </c>
      <c r="C21" s="45"/>
      <c r="D21" s="34" t="s">
        <v>739</v>
      </c>
      <c r="E21" s="35" t="s">
        <v>745</v>
      </c>
      <c r="F21" s="46" t="n">
        <v>40</v>
      </c>
      <c r="G21" s="47" t="str">
        <f aca="false">IF(ISBLANK(C21),IF(Fill_Example="Yes",F21,""),C21)</f>
        <v/>
      </c>
    </row>
    <row r="22" customFormat="false" ht="21.75" hidden="false" customHeight="true" outlineLevel="0" collapsed="false">
      <c r="B22" s="9" t="s">
        <v>746</v>
      </c>
      <c r="C22" s="45"/>
      <c r="D22" s="34" t="s">
        <v>739</v>
      </c>
      <c r="E22" s="42" t="s">
        <v>747</v>
      </c>
      <c r="F22" s="46" t="n">
        <v>65</v>
      </c>
      <c r="G22" s="47" t="str">
        <f aca="false">IF(ISBLANK(C22),IF(Fill_Example="Yes",F22,""),C22)</f>
        <v/>
      </c>
    </row>
    <row r="23" customFormat="false" ht="21.75" hidden="false" customHeight="true" outlineLevel="0" collapsed="false">
      <c r="B23" s="9" t="s">
        <v>748</v>
      </c>
      <c r="C23" s="33"/>
      <c r="D23" s="34" t="s">
        <v>248</v>
      </c>
      <c r="E23" s="35" t="s">
        <v>749</v>
      </c>
      <c r="F23" s="36" t="n">
        <v>60000</v>
      </c>
      <c r="G23" s="37" t="str">
        <f aca="false">IF(ISBLANK(C23),IF(Pens_Value_Total&gt;0,Pens_Value_Total,IF(Fill_Example="Yes",F23,"")),C23)</f>
        <v/>
      </c>
    </row>
    <row r="24" customFormat="false" ht="21.75" hidden="false" customHeight="true" outlineLevel="0" collapsed="false">
      <c r="B24" s="9" t="s">
        <v>750</v>
      </c>
      <c r="C24" s="33"/>
      <c r="D24" s="34" t="s">
        <v>248</v>
      </c>
      <c r="E24" s="35" t="s">
        <v>751</v>
      </c>
      <c r="F24" s="36" t="n">
        <v>500</v>
      </c>
      <c r="G24" s="37" t="str">
        <f aca="false">IF(ISBLANK(C24),IF(Pens_Monthly_Total&gt;0,Pens_Monthly_Total,IF(Fill_Example="Yes",F24,"")),C24)</f>
        <v/>
      </c>
    </row>
    <row r="25" customFormat="false" ht="21.75" hidden="false" customHeight="true" outlineLevel="0" collapsed="false">
      <c r="B25" s="9" t="s">
        <v>752</v>
      </c>
      <c r="C25" s="33"/>
      <c r="D25" s="34" t="s">
        <v>248</v>
      </c>
      <c r="E25" s="35" t="s">
        <v>753</v>
      </c>
      <c r="F25" s="36" t="n">
        <v>40000</v>
      </c>
      <c r="G25" s="37" t="str">
        <f aca="false">IF(ISBLANK(C25),IF(Fill_Example="Yes",F25,""),C25)</f>
        <v/>
      </c>
    </row>
    <row r="26" customFormat="false" ht="43.5" hidden="false" customHeight="true" outlineLevel="0" collapsed="false">
      <c r="B26" s="9" t="s">
        <v>754</v>
      </c>
      <c r="C26" s="33"/>
      <c r="D26" s="34" t="s">
        <v>248</v>
      </c>
      <c r="E26" s="42"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6" t="n">
        <f aca="false">ROUND(State_Pension_Year,0)</f>
        <v>15564</v>
      </c>
      <c r="G26" s="37" t="str">
        <f aca="false">IF(ISBLANK(C26),IF(Fill_Example="Yes",F26,""),C26)</f>
        <v/>
      </c>
    </row>
    <row r="27" customFormat="false" ht="21.75" hidden="false" customHeight="true" outlineLevel="0" collapsed="false">
      <c r="B27" s="9" t="s">
        <v>755</v>
      </c>
      <c r="C27" s="41"/>
      <c r="D27" s="34" t="s">
        <v>259</v>
      </c>
      <c r="E27" s="42" t="s">
        <v>756</v>
      </c>
      <c r="F27" s="43" t="n">
        <f aca="false">AS_Pen</f>
        <v>0.045</v>
      </c>
      <c r="G27" s="44" t="n">
        <f aca="false">IF(ISBLANK(C27),F27,C27)</f>
        <v>0.045</v>
      </c>
    </row>
    <row r="28" customFormat="false" ht="21.75" hidden="false" customHeight="true" outlineLevel="0" collapsed="false">
      <c r="B28" s="9" t="s">
        <v>757</v>
      </c>
      <c r="C28" s="41"/>
      <c r="D28" s="34" t="s">
        <v>259</v>
      </c>
      <c r="E28" s="42" t="s">
        <v>758</v>
      </c>
      <c r="F28" s="43" t="n">
        <f aca="false">AS_Wage</f>
        <v>0.03</v>
      </c>
      <c r="G28" s="44" t="n">
        <f aca="false">IF(ISBLANK(C28),F28,C28)</f>
        <v>0.03</v>
      </c>
    </row>
    <row r="29" customFormat="false" ht="21.75" hidden="false" customHeight="true" outlineLevel="0" collapsed="false">
      <c r="B29" s="9" t="s">
        <v>759</v>
      </c>
      <c r="C29" s="45"/>
      <c r="D29" s="34"/>
      <c r="E29" s="42" t="s">
        <v>760</v>
      </c>
      <c r="F29" s="46" t="n">
        <f aca="false">Set_retireMult</f>
        <v>25</v>
      </c>
      <c r="G29" s="47" t="n">
        <f aca="false">IF(ISBLANK(C29),F29,C29)</f>
        <v>25</v>
      </c>
    </row>
    <row r="30" customFormat="false" ht="21.75" hidden="false" customHeight="true" outlineLevel="0" collapsed="false">
      <c r="B30" s="9" t="s">
        <v>761</v>
      </c>
      <c r="C30" s="41"/>
      <c r="D30" s="34" t="s">
        <v>259</v>
      </c>
      <c r="E30" s="42"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3" t="n">
        <f aca="false">IF(ISNUMBER(Suggest_Fund_Charges),Suggest_Fund_Charges,"")</f>
        <v>0.01</v>
      </c>
      <c r="G30" s="44" t="str">
        <f aca="false">IF(ISBLANK(C30),IF(Fill_Example="Yes",F30,""),C30)</f>
        <v/>
      </c>
    </row>
    <row r="31" customFormat="false" ht="21.75" hidden="false" customHeight="true" outlineLevel="0" collapsed="false">
      <c r="B31" s="9" t="s">
        <v>762</v>
      </c>
      <c r="C31" s="41"/>
      <c r="D31" s="34" t="s">
        <v>259</v>
      </c>
      <c r="E31" s="42"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3" t="n">
        <f aca="false">AS_LumpPct</f>
        <v>0.25</v>
      </c>
      <c r="G31" s="44" t="n">
        <f aca="false">IF(ISBLANK(C31),F31,C31)</f>
        <v>0.25</v>
      </c>
    </row>
    <row r="32" customFormat="false" ht="15" hidden="false" customHeight="true" outlineLevel="0" collapsed="false">
      <c r="B32" s="9" t="s">
        <v>763</v>
      </c>
      <c r="C32" s="45"/>
      <c r="D32" s="34" t="s">
        <v>261</v>
      </c>
      <c r="E32" s="35" t="s">
        <v>764</v>
      </c>
      <c r="F32" s="46" t="n">
        <v>0</v>
      </c>
      <c r="G32" s="47" t="n">
        <f aca="false">IF(ISBLANK(C32),F32,C32)</f>
        <v>0</v>
      </c>
    </row>
    <row r="33" customFormat="false" ht="15" hidden="false" customHeight="true" outlineLevel="0" collapsed="false">
      <c r="B33" s="9" t="s">
        <v>765</v>
      </c>
      <c r="C33" s="33"/>
      <c r="D33" s="34" t="s">
        <v>248</v>
      </c>
      <c r="E33" s="35" t="s">
        <v>407</v>
      </c>
      <c r="F33" s="36" t="n">
        <v>0</v>
      </c>
      <c r="G33" s="37" t="n">
        <f aca="false">IF(ISBLANK(C33),F33,C33)</f>
        <v>0</v>
      </c>
    </row>
    <row r="34" customFormat="false" ht="15" hidden="false" customHeight="true" outlineLevel="0" collapsed="false">
      <c r="B34" s="9" t="s">
        <v>766</v>
      </c>
      <c r="C34" s="33"/>
      <c r="D34" s="34" t="s">
        <v>248</v>
      </c>
      <c r="E34" s="35" t="str">
        <f aca="false">"Type 3 · optional · Optional: leave blank for none. Allowed: €0 to "&amp;TEXT(Max_Money_Input,"€#,##0")&amp;" · steps of €500"</f>
        <v>Type 3 · optional · Optional: leave blank for none. Allowed: €0 to €200,000 · steps of €500</v>
      </c>
      <c r="F34" s="36" t="n">
        <v>0</v>
      </c>
      <c r="G34" s="37" t="n">
        <f aca="false">IF(ISBLANK(C34),F34,C34)</f>
        <v>0</v>
      </c>
    </row>
    <row r="35" customFormat="false" ht="18.75" hidden="false" customHeight="true" outlineLevel="0" collapsed="false">
      <c r="B35" s="9" t="s">
        <v>767</v>
      </c>
      <c r="C35" s="45"/>
      <c r="D35" s="34" t="s">
        <v>739</v>
      </c>
      <c r="E35" s="42" t="s">
        <v>768</v>
      </c>
      <c r="F35" s="46" t="n">
        <f aca="false">AS_AccessAge</f>
        <v>60</v>
      </c>
      <c r="G35" s="47" t="n">
        <f aca="false">IF(ISBLANK(C35),F35,C35)</f>
        <v>60</v>
      </c>
    </row>
    <row r="36" customFormat="false" ht="15" hidden="false" customHeight="true" outlineLevel="0" collapsed="false">
      <c r="B36" s="15" t="s">
        <v>354</v>
      </c>
      <c r="C36" s="16"/>
      <c r="D36" s="16"/>
      <c r="E36" s="16"/>
      <c r="F36" s="16"/>
      <c r="G36" s="16"/>
    </row>
    <row r="37" customFormat="false" ht="15" hidden="false" customHeight="true" outlineLevel="0" collapsed="false">
      <c r="B37" s="9" t="s">
        <v>748</v>
      </c>
      <c r="C37" s="65" t="str">
        <f aca="false">IF(ISBLANK(Stmt_Fund_Value),Pension_Today,Stmt_Fund_Value)</f>
        <v/>
      </c>
      <c r="D37" s="66" t="str">
        <f aca="false">IF(ISBLANK(Stmt_Fund_Value),"Your figure","From your statement")</f>
        <v>Your figure</v>
      </c>
      <c r="E37" s="56" t="s">
        <v>769</v>
      </c>
    </row>
    <row r="38" customFormat="false" ht="15" hidden="false" customHeight="true" outlineLevel="0" collapsed="false">
      <c r="B38" s="9" t="s">
        <v>750</v>
      </c>
      <c r="C38" s="65" t="str">
        <f aca="false">IF(COUNT(Stmt_You_Monthly,Stmt_Employer_Monthly)=0,Monthly_Contribution,SUM(Stmt_You_Monthly,Stmt_Employer_Monthly))</f>
        <v/>
      </c>
      <c r="D38" s="66" t="str">
        <f aca="false">IF(COUNT(Stmt_You_Monthly,Stmt_Employer_Monthly)=0,"Your figure","From your statement")</f>
        <v>Your figure</v>
      </c>
      <c r="E38" s="56" t="s">
        <v>770</v>
      </c>
    </row>
    <row r="39" customFormat="false" ht="15" hidden="false" customHeight="true" outlineLevel="0" collapsed="false">
      <c r="B39" s="9" t="s">
        <v>771</v>
      </c>
      <c r="C39" s="67" t="n">
        <f aca="false">IF(ISBLANK(Stmt_Charges),Growth_Rate,IF(OR(Growth_Rate="",Typical_Pension_Charges=""),"",Growth_Rate+Typical_Pension_Charges-Stmt_Charges))</f>
        <v>0.045</v>
      </c>
      <c r="D39" s="66" t="str">
        <f aca="false">IF(ISBLANK(Stmt_Charges),"Your figure","Adjusted for your statement's charges")</f>
        <v>Your figure</v>
      </c>
      <c r="E39" s="56" t="s">
        <v>772</v>
      </c>
    </row>
    <row r="40" customFormat="false" ht="21.75" hidden="false" customHeight="true" outlineLevel="0" collapsed="false">
      <c r="B40" s="9" t="s">
        <v>773</v>
      </c>
      <c r="C40" s="52" t="str">
        <f aca="false">IF(Need_1&lt;&gt;"",Need_1,IF(AND(NOT(ISBLANK(Stmt_Projected_Fund)),Stmt_NRA=Retirement_Age+Retire_Later,Save_More=0),"Yes","No"))</f>
        <v>Choose your retirement age to see this</v>
      </c>
      <c r="D40" s="34"/>
      <c r="E40" s="49" t="s">
        <v>774</v>
      </c>
    </row>
    <row r="41" customFormat="false" ht="21.75" hidden="false" customHeight="true" outlineLevel="0" collapsed="false">
      <c r="B41" s="9" t="s">
        <v>361</v>
      </c>
      <c r="C41" s="52" t="str">
        <f aca="true">IF(ISBLANK(Stmt_Statement_Date),"",IF(TODAY()-Stmt_Statement_Date&gt;Statement_Max_Age_Days,"Needs a look: statement is more than 12 months old","Up to date"))</f>
        <v/>
      </c>
      <c r="D41" s="34"/>
      <c r="E41" s="49" t="s">
        <v>362</v>
      </c>
    </row>
    <row r="43" customFormat="false" ht="15" hidden="false" customHeight="true" outlineLevel="0" collapsed="false">
      <c r="B43" s="15" t="s">
        <v>268</v>
      </c>
      <c r="C43" s="31" t="s">
        <v>269</v>
      </c>
      <c r="D43" s="31" t="s">
        <v>270</v>
      </c>
      <c r="E43" s="31" t="s">
        <v>271</v>
      </c>
      <c r="F43" s="16"/>
      <c r="G43" s="16"/>
    </row>
    <row r="44" customFormat="false" ht="17.25" hidden="false" customHeight="true" outlineLevel="0" collapsed="false">
      <c r="B44" s="28" t="s">
        <v>775</v>
      </c>
      <c r="C44" s="48" t="str">
        <f aca="false">IF(Need_2&lt;&gt;"",Need_2,IF(ISNUMBER(Fund_Today),Target_Today-Fund_Today,Fund_Today))</f>
        <v>Choose your age to see this</v>
      </c>
      <c r="D44" s="70" t="str">
        <f aca="false">IF(Need_2&lt;&gt;"",Need_2,IF(ISNUMBER(Gap_Today),IF(Gap_Today&gt;0,"Gap of "&amp;TEXT(Gap_Today,"€#,##0")&amp;" in today's money","On track: no gap"),Gap_Today))</f>
        <v>Choose your age to see this</v>
      </c>
      <c r="E44" s="49" t="s">
        <v>776</v>
      </c>
    </row>
    <row r="45" customFormat="false" ht="17.25" hidden="false" customHeight="true" outlineLevel="0" collapsed="false">
      <c r="B45" s="28" t="s">
        <v>777</v>
      </c>
      <c r="C45" s="48" t="str">
        <f aca="false">IF(Need_3&lt;&gt;"",Need_3,IF(Use_Statement_Projection="Yes",Stmt_Projected_Fund,Calculated_Fund))</f>
        <v>Choose your age to see this</v>
      </c>
      <c r="D45" s="70" t="str">
        <f aca="false">IF(Need_3&lt;&gt;"",Need_3,IF(Use_Statement_Projection="Yes","From your statement","Calculated"))</f>
        <v>Choose your age to see this</v>
      </c>
      <c r="E45" s="49" t="s">
        <v>778</v>
      </c>
    </row>
    <row r="46" customFormat="false" ht="42.75" hidden="false" customHeight="true" outlineLevel="0" collapsed="false">
      <c r="B46" s="28" t="s">
        <v>779</v>
      </c>
      <c r="C46" s="48" t="str">
        <f aca="false">IF(Need_3&lt;&gt;"",Need_3,IF(AND(Use_Statement_Projection="Yes",Stmt_Projection_Today&lt;&gt;"No"),Stmt_Projected_Fund,IF(Inflation_Choice="","Choose your inflation rate to see this",Projected_Fund/(1+Inflation_Choice)^Years_To_Retirement)))</f>
        <v>Choose your age to see this</v>
      </c>
      <c r="D46" s="34" t="s">
        <v>248</v>
      </c>
      <c r="E46" s="49" t="s">
        <v>780</v>
      </c>
    </row>
    <row r="47" customFormat="false" ht="15" hidden="false" customHeight="true" outlineLevel="0" collapsed="false">
      <c r="B47" s="9" t="s">
        <v>781</v>
      </c>
      <c r="C47" s="50" t="str">
        <f aca="false">IF(Need_3&lt;&gt;"",Need_3,Used_Pension_Today*(1+Used_Growth_Rate)^Years_To_Retirement+Contributions_Grow_To)</f>
        <v>Choose your age to see this</v>
      </c>
      <c r="D47" s="34" t="s">
        <v>248</v>
      </c>
      <c r="E47" s="49" t="s">
        <v>782</v>
      </c>
    </row>
    <row r="48" customFormat="false" ht="17.25" hidden="false" customHeight="true" outlineLevel="0" collapsed="false">
      <c r="B48" s="28" t="s">
        <v>783</v>
      </c>
      <c r="C48" s="48" t="str">
        <f aca="false">IF(Need_4&lt;&gt;"",Need_4,MAX(0,Desired_Income-Spend_Less-Other_Income)*Retire_Multiple+Bridge_Years*MIN(Other_Income,MAX(0,Desired_Income-Spend_Less)))</f>
        <v>Choose your desired retirement income to see this</v>
      </c>
      <c r="D48" s="34" t="s">
        <v>248</v>
      </c>
      <c r="E48" s="49" t="s">
        <v>784</v>
      </c>
    </row>
    <row r="49" customFormat="false" ht="15" hidden="false" customHeight="true" outlineLevel="0" collapsed="false">
      <c r="B49" s="9" t="s">
        <v>785</v>
      </c>
      <c r="C49" s="73" t="str">
        <f aca="false">IF(Need_1&lt;&gt;"",Need_1,MAX(0,State_Pension_Age-(Retirement_Age+Retire_Later)))</f>
        <v>Choose your retirement age to see this</v>
      </c>
      <c r="D49" s="34" t="s">
        <v>261</v>
      </c>
      <c r="E49" s="49" t="s">
        <v>786</v>
      </c>
    </row>
    <row r="50" customFormat="false" ht="15" hidden="false" customHeight="true" outlineLevel="0" collapsed="false">
      <c r="B50" s="9" t="s">
        <v>787</v>
      </c>
      <c r="C50" s="50" t="str">
        <f aca="false">IF(Need_5&lt;&gt;"",Need_5,Projected_Fund*MIN(Lump_Sum_Pct,Lump_Sum_Max_Pct))</f>
        <v>Choose your age to see this</v>
      </c>
      <c r="D50" s="34" t="s">
        <v>248</v>
      </c>
      <c r="E50" s="49"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788</v>
      </c>
      <c r="C51" s="50" t="str">
        <f aca="false">IF(Need_5&lt;&gt;"",Need_5,Lump_Sum_Rate*MAX(0,MIN(Lump_Sum,Lump_Sum_Cap)-Lump_Sum_Tax_Free)+Rate_Higher*MAX(0,Lump_Sum-Lump_Sum_Cap))</f>
        <v>Choose your age to see this</v>
      </c>
      <c r="D51" s="34" t="s">
        <v>248</v>
      </c>
      <c r="E51" s="49" t="s">
        <v>789</v>
      </c>
    </row>
    <row r="52" customFormat="false" ht="15" hidden="false" customHeight="true" outlineLevel="0" collapsed="false">
      <c r="B52" s="9" t="s">
        <v>790</v>
      </c>
      <c r="C52" s="50" t="str">
        <f aca="false">IF(Need_5&lt;&gt;"",Need_5,Lump_Sum-Lump_Sum_Tax)</f>
        <v>Choose your age to see this</v>
      </c>
      <c r="D52" s="34" t="s">
        <v>248</v>
      </c>
      <c r="E52" s="49" t="s">
        <v>791</v>
      </c>
    </row>
    <row r="53" customFormat="false" ht="15" hidden="false" customHeight="true" outlineLevel="0" collapsed="false">
      <c r="B53" s="79" t="s">
        <v>792</v>
      </c>
      <c r="C53" s="80" t="str">
        <f aca="false">IF(Need_1&lt;&gt;"","",IF(Retirement_Age+Retire_Later&lt;Access_Age,"Most pensions can't be taken before 60 (PRSA and personal pensions; some occupational schemes allow it from 50). Until then you would live on savings and other income.",""))</f>
        <v/>
      </c>
      <c r="D53" s="80"/>
      <c r="E53" s="80"/>
    </row>
    <row r="54" customFormat="false" ht="15" hidden="false" customHeight="true" outlineLevel="0" collapsed="false">
      <c r="B54" s="79" t="s">
        <v>792</v>
      </c>
      <c r="C54" s="80" t="str">
        <f aca="false">IF(Need_3&lt;&gt;"","",IF(AND(ISNUMBER(Fund_Today),IF(ISNUMBER(Fund_Today),Fund_Today,0)&gt;SFT_2026),"Your fund in today's money is above the Standard Fund Threshold (€2.2m in 2026, rising to €2.8m by 2029; later years are not set yet): the excess is taxed at "&amp;TEXT(SFT_Tax,"0%")&amp;".",""))</f>
        <v/>
      </c>
      <c r="D54" s="80"/>
      <c r="E54" s="80"/>
    </row>
    <row r="55" customFormat="false" ht="15" hidden="false" customHeight="true" outlineLevel="0" collapsed="false">
      <c r="B55" s="9" t="s">
        <v>793</v>
      </c>
      <c r="C55" s="73" t="str">
        <f aca="false">IF(Need_6&lt;&gt;"",Need_6,MAX(1,Retirement_Age+Retire_Later-Age))</f>
        <v>Choose your age to see this</v>
      </c>
      <c r="D55" s="34" t="s">
        <v>261</v>
      </c>
      <c r="E55" s="49" t="s">
        <v>794</v>
      </c>
    </row>
    <row r="56" customFormat="false" ht="15" hidden="false" customHeight="true" outlineLevel="0" collapsed="false">
      <c r="B56" s="9" t="s">
        <v>795</v>
      </c>
      <c r="C56" s="50" t="str">
        <f aca="false">IF(Need_7&lt;&gt;"",Need_7,Used_Monthly_Contribution+Save_More)</f>
        <v>Choose your monthly contributions to see this</v>
      </c>
      <c r="D56" s="34" t="s">
        <v>248</v>
      </c>
      <c r="E56" s="49" t="s">
        <v>796</v>
      </c>
    </row>
    <row r="57" customFormat="false" ht="21.75" hidden="false" customHeight="true" outlineLevel="0" collapsed="false">
      <c r="B57" s="9" t="s">
        <v>797</v>
      </c>
      <c r="C57" s="50" t="str">
        <f aca="false">IF(Need_8&lt;&gt;"",Need_8,IF(Used_Growth_Rate=Wage,12*Contribution*Years_To_Retirement*(1+Used_Growth_Rate)^(Years_To_Retirement-1),12*Contribution*((1+Used_Growth_Rate)^Years_To_Retirement-(1+Wage)^Years_To_Retirement)/(Used_Growth_Rate-Wage)))</f>
        <v>Choose your age to see this</v>
      </c>
      <c r="D57" s="34" t="s">
        <v>248</v>
      </c>
      <c r="E57" s="49" t="s">
        <v>798</v>
      </c>
    </row>
    <row r="59" customFormat="false" ht="15" hidden="false" customHeight="true" outlineLevel="0" collapsed="false">
      <c r="B59" s="15" t="s">
        <v>301</v>
      </c>
      <c r="C59" s="16"/>
      <c r="D59" s="16"/>
      <c r="E59" s="16"/>
      <c r="F59" s="16"/>
      <c r="G59" s="16"/>
    </row>
    <row r="60" customFormat="false" ht="27.75" hidden="false" customHeight="true" outlineLevel="0" collapsed="false">
      <c r="B60" s="53" t="s">
        <v>799</v>
      </c>
      <c r="C60" s="53"/>
      <c r="D60" s="53"/>
      <c r="E60" s="53"/>
    </row>
    <row r="61" customFormat="false" ht="27.75" hidden="false" customHeight="true" outlineLevel="0" collapsed="false">
      <c r="B61" s="53" t="s">
        <v>800</v>
      </c>
      <c r="C61" s="53"/>
      <c r="D61" s="53"/>
      <c r="E61" s="53"/>
    </row>
    <row r="62" customFormat="false" ht="27.75" hidden="false" customHeight="true" outlineLevel="0" collapsed="false">
      <c r="B62" s="53" t="s">
        <v>801</v>
      </c>
      <c r="C62" s="53"/>
      <c r="D62" s="53"/>
      <c r="E62" s="53"/>
    </row>
    <row r="63" customFormat="false" ht="27.75" hidden="false" customHeight="true" outlineLevel="0" collapsed="false">
      <c r="B63" s="53"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3"/>
      <c r="D63" s="53"/>
      <c r="E63" s="53"/>
    </row>
    <row r="64" customFormat="false" ht="13.5" hidden="false" customHeight="true" outlineLevel="0" collapsed="false">
      <c r="B64" s="54" t="s">
        <v>304</v>
      </c>
      <c r="C64" s="54"/>
      <c r="D64" s="54"/>
      <c r="E64" s="54"/>
    </row>
    <row r="65" customFormat="false" ht="13.5" hidden="false" customHeight="true" outlineLevel="0" collapsed="false">
      <c r="B65" s="53" t="s">
        <v>802</v>
      </c>
      <c r="C65" s="53"/>
      <c r="D65" s="53"/>
      <c r="E65" s="53"/>
    </row>
    <row r="66" customFormat="false" ht="27.75" hidden="false" customHeight="true" outlineLevel="0" collapsed="false">
      <c r="B66" s="53" t="s">
        <v>803</v>
      </c>
      <c r="C66" s="53"/>
      <c r="D66" s="53"/>
      <c r="E66" s="53"/>
    </row>
    <row r="67" customFormat="false" ht="13.5" hidden="false" customHeight="true" outlineLevel="0" collapsed="false">
      <c r="B67" s="53" t="s">
        <v>804</v>
      </c>
      <c r="C67" s="53"/>
      <c r="D67" s="53"/>
      <c r="E67" s="53"/>
    </row>
    <row r="69" customFormat="false" ht="15" hidden="false" customHeight="true" outlineLevel="0" collapsed="false">
      <c r="B69" s="15" t="s">
        <v>309</v>
      </c>
      <c r="C69" s="16"/>
      <c r="D69" s="16"/>
      <c r="E69" s="16"/>
      <c r="F69" s="16"/>
      <c r="G69" s="16"/>
    </row>
    <row r="70" customFormat="false" ht="15" hidden="false" customHeight="true" outlineLevel="0" collapsed="false">
      <c r="B70" s="9" t="s">
        <v>310</v>
      </c>
      <c r="C70" s="55" t="str">
        <f aca="false">"Update your retirement goal (no new goal)"</f>
        <v>Update your retirement goal (no new goal)</v>
      </c>
      <c r="E70" s="56" t="s">
        <v>805</v>
      </c>
    </row>
    <row r="71" customFormat="false" ht="15" hidden="false" customHeight="true" outlineLevel="0" collapsed="false">
      <c r="B71" s="9" t="s">
        <v>806</v>
      </c>
      <c r="C71" s="57" t="str">
        <f aca="false">IF(Need_9&lt;&gt;"",Need_9,Desired_Income-Spend_Less)</f>
        <v>Choose your desired retirement income to see this</v>
      </c>
      <c r="E71" s="56" t="s">
        <v>807</v>
      </c>
    </row>
    <row r="72" customFormat="false" ht="15" hidden="false" customHeight="true" outlineLevel="0" collapsed="false">
      <c r="B72" s="9" t="s">
        <v>808</v>
      </c>
      <c r="C72" s="58" t="str">
        <f aca="false">IF(Need_1&lt;&gt;"",Need_1,Retirement_Age+Retire_Later)</f>
        <v>Choose your retirement age to see this</v>
      </c>
      <c r="E72" s="56" t="s">
        <v>809</v>
      </c>
    </row>
    <row r="73" customFormat="false" ht="15" hidden="false" customHeight="true" outlineLevel="0" collapsed="false">
      <c r="B73" s="9" t="s">
        <v>612</v>
      </c>
      <c r="C73" s="76" t="str">
        <f aca="false">IF(Inflation_Choice="","Choose an inflation rate first",Inflation_Choice)</f>
        <v>Choose an inflation rate first</v>
      </c>
      <c r="E73" s="56" t="s">
        <v>613</v>
      </c>
    </row>
    <row r="74" customFormat="false" ht="13.5" hidden="false" customHeight="true" outlineLevel="0" collapsed="false">
      <c r="B74" s="60" t="s">
        <v>810</v>
      </c>
      <c r="C74" s="60"/>
      <c r="D74" s="60"/>
      <c r="E74" s="60"/>
    </row>
    <row r="76" customFormat="false" ht="15" hidden="false" customHeight="true" outlineLevel="0" collapsed="false">
      <c r="B76" s="15" t="s">
        <v>318</v>
      </c>
      <c r="C76" s="16"/>
      <c r="D76" s="16"/>
      <c r="E76" s="16"/>
      <c r="F76" s="16"/>
      <c r="G76" s="16"/>
    </row>
    <row r="77" customFormat="false" ht="15" hidden="false" customHeight="true" outlineLevel="0" collapsed="false">
      <c r="B77" s="59" t="s">
        <v>811</v>
      </c>
      <c r="C77" s="59"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9" t="s">
        <v>812</v>
      </c>
      <c r="C78" s="59"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9" t="s">
        <v>813</v>
      </c>
      <c r="C79" s="59"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9" t="s">
        <v>814</v>
      </c>
      <c r="C80" s="59"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9" t="s">
        <v>815</v>
      </c>
      <c r="C81" s="59"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9" t="s">
        <v>816</v>
      </c>
      <c r="C82" s="59"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9" t="s">
        <v>817</v>
      </c>
      <c r="C83" s="59"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9" t="s">
        <v>818</v>
      </c>
      <c r="C84" s="59"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9" t="s">
        <v>819</v>
      </c>
      <c r="C85" s="59"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820</v>
      </c>
      <c r="E1" s="3" t="s">
        <v>821</v>
      </c>
    </row>
    <row r="2" customFormat="false" ht="15" hidden="false" customHeight="true" outlineLevel="0" collapsed="false">
      <c r="B2" s="28" t="s">
        <v>822</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823</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824</v>
      </c>
      <c r="C10" s="60"/>
      <c r="D10" s="60"/>
      <c r="E10" s="60"/>
    </row>
    <row r="11" customFormat="false" ht="15" hidden="false" customHeight="true" outlineLevel="0" collapsed="false">
      <c r="B11" s="9" t="s">
        <v>659</v>
      </c>
      <c r="C11" s="62"/>
      <c r="D11" s="34" t="s">
        <v>259</v>
      </c>
      <c r="E11" s="35" t="s">
        <v>660</v>
      </c>
      <c r="G11" s="59" t="s">
        <v>335</v>
      </c>
    </row>
    <row r="12" customFormat="false" ht="15" hidden="false" customHeight="true" outlineLevel="0" collapsed="false">
      <c r="B12" s="9" t="s">
        <v>342</v>
      </c>
      <c r="C12" s="64"/>
      <c r="D12" s="34" t="s">
        <v>343</v>
      </c>
      <c r="E12" s="35" t="s">
        <v>344</v>
      </c>
      <c r="G12" s="59" t="s">
        <v>335</v>
      </c>
    </row>
    <row r="14" customFormat="false" ht="15" hidden="false" customHeight="true" outlineLevel="0" collapsed="false">
      <c r="B14" s="15" t="s">
        <v>345</v>
      </c>
      <c r="C14" s="31" t="s">
        <v>243</v>
      </c>
      <c r="D14" s="31" t="s">
        <v>244</v>
      </c>
      <c r="E14" s="31" t="s">
        <v>245</v>
      </c>
      <c r="F14" s="32" t="s">
        <v>246</v>
      </c>
      <c r="G14" s="16"/>
    </row>
    <row r="15" customFormat="false" ht="21.75" hidden="false" customHeight="true" outlineLevel="0" collapsed="false">
      <c r="B15" s="9" t="s">
        <v>825</v>
      </c>
      <c r="C15" s="33"/>
      <c r="D15" s="34" t="s">
        <v>248</v>
      </c>
      <c r="E15" s="35" t="s">
        <v>249</v>
      </c>
      <c r="F15" s="36" t="n">
        <v>60000</v>
      </c>
      <c r="G15" s="37" t="str">
        <f aca="false">IF(ISBLANK(C15),IF(Fill_Example="Yes",F15,""),C15)</f>
        <v/>
      </c>
    </row>
    <row r="16" customFormat="false" ht="15" hidden="false" customHeight="true" outlineLevel="0" collapsed="false">
      <c r="B16" s="9" t="s">
        <v>826</v>
      </c>
      <c r="C16" s="41"/>
      <c r="D16" s="34" t="s">
        <v>259</v>
      </c>
      <c r="E16" s="35" t="s">
        <v>827</v>
      </c>
      <c r="F16" s="43" t="n">
        <v>0.02</v>
      </c>
      <c r="G16" s="44" t="str">
        <f aca="false">IF(ISBLANK(C16),IF(Fill_Example="Yes",F16,""),C16)</f>
        <v/>
      </c>
    </row>
    <row r="17" customFormat="false" ht="21.75" hidden="false" customHeight="true" outlineLevel="0" collapsed="false">
      <c r="B17" s="9" t="s">
        <v>793</v>
      </c>
      <c r="C17" s="45"/>
      <c r="D17" s="34" t="s">
        <v>261</v>
      </c>
      <c r="E17" s="35" t="s">
        <v>828</v>
      </c>
      <c r="F17" s="46" t="n">
        <v>25</v>
      </c>
      <c r="G17" s="47" t="str">
        <f aca="false">IF(ISBLANK(C17),IF(Fill_Example="Yes",F17,""),C17)</f>
        <v/>
      </c>
    </row>
    <row r="18" customFormat="false" ht="21.75" hidden="false" customHeight="true" outlineLevel="0" collapsed="false">
      <c r="B18" s="9" t="s">
        <v>829</v>
      </c>
      <c r="C18" s="41"/>
      <c r="D18" s="34" t="s">
        <v>259</v>
      </c>
      <c r="E18" s="42" t="s">
        <v>756</v>
      </c>
      <c r="F18" s="43" t="n">
        <f aca="false">AS_Pen</f>
        <v>0.045</v>
      </c>
      <c r="G18" s="44" t="n">
        <f aca="false">IF(ISBLANK(C18),F18,C18)</f>
        <v>0.045</v>
      </c>
    </row>
    <row r="19" customFormat="false" ht="21.75" hidden="false" customHeight="true" outlineLevel="0" collapsed="false">
      <c r="B19" s="9" t="s">
        <v>761</v>
      </c>
      <c r="C19" s="41"/>
      <c r="D19" s="34" t="s">
        <v>259</v>
      </c>
      <c r="E19" s="42"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3" t="n">
        <f aca="false">IF(ISNUMBER(Suggest_Fund_Charges),Suggest_Fund_Charges,"")</f>
        <v>0.01</v>
      </c>
      <c r="G19" s="44" t="str">
        <f aca="false">IF(ISBLANK(C19),IF(Fill_Example="Yes",F19,""),C19)</f>
        <v/>
      </c>
    </row>
    <row r="20" customFormat="false" ht="33" hidden="false" customHeight="true" outlineLevel="0" collapsed="false">
      <c r="B20" s="9" t="s">
        <v>830</v>
      </c>
      <c r="C20" s="81"/>
      <c r="D20" s="34" t="s">
        <v>831</v>
      </c>
      <c r="E20" s="42" t="s">
        <v>832</v>
      </c>
      <c r="F20" s="82" t="str">
        <f aca="false">TE_Marginal_Rate</f>
        <v>Choose your tax status to see this</v>
      </c>
      <c r="G20" s="83" t="str">
        <f aca="false">IF(ISBLANK(C20),IF(Fill_Example="Yes",F20,""),C20)</f>
        <v/>
      </c>
    </row>
    <row r="21" customFormat="false" ht="21.75" hidden="false" customHeight="true" outlineLevel="0" collapsed="false">
      <c r="B21" s="9" t="s">
        <v>833</v>
      </c>
      <c r="C21" s="45"/>
      <c r="D21" s="34" t="s">
        <v>739</v>
      </c>
      <c r="E21" s="35" t="s">
        <v>834</v>
      </c>
      <c r="F21" s="46" t="n">
        <v>40</v>
      </c>
      <c r="G21" s="47" t="str">
        <f aca="false">IF(ISBLANK(C21),IF(Fill_Example="Yes",F21,""),C21)</f>
        <v/>
      </c>
    </row>
    <row r="22" customFormat="false" ht="15" hidden="false" customHeight="true" outlineLevel="0" collapsed="false">
      <c r="B22" s="9" t="s">
        <v>835</v>
      </c>
      <c r="C22" s="33"/>
      <c r="D22" s="34" t="s">
        <v>248</v>
      </c>
      <c r="E22" s="35" t="s">
        <v>836</v>
      </c>
      <c r="F22" s="36" t="n">
        <v>0</v>
      </c>
      <c r="G22" s="37" t="n">
        <f aca="false">IF(ISBLANK(C22),IF(Pens_Own_Total&gt;0,Pens_Own_Total*12,F22),C22)</f>
        <v>0</v>
      </c>
    </row>
    <row r="24" customFormat="false" ht="15" hidden="false" customHeight="true" outlineLevel="0" collapsed="false">
      <c r="B24" s="15" t="s">
        <v>354</v>
      </c>
      <c r="C24" s="16"/>
      <c r="D24" s="16"/>
      <c r="E24" s="16"/>
      <c r="F24" s="16"/>
      <c r="G24" s="16"/>
    </row>
    <row r="25" customFormat="false" ht="15" hidden="false" customHeight="true" outlineLevel="0" collapsed="false">
      <c r="B25" s="9" t="s">
        <v>837</v>
      </c>
      <c r="C25" s="67" t="n">
        <f aca="false">IF(ISBLANK(Stmt_Charges),Growth_Rate,IF(OR(Growth_Rate="",Typical_Pension_Charges=""),"",Growth_Rate+Typical_Pension_Charges-Stmt_Charges))</f>
        <v>0.045</v>
      </c>
      <c r="D25" s="66" t="str">
        <f aca="false">IF(ISBLANK(Stmt_Charges),"Your figure","Adjusted for your statement's charges")</f>
        <v>Your figure</v>
      </c>
      <c r="E25" s="56" t="s">
        <v>772</v>
      </c>
    </row>
    <row r="26" customFormat="false" ht="21.75" hidden="false" customHeight="true" outlineLevel="0" collapsed="false">
      <c r="B26" s="9" t="s">
        <v>361</v>
      </c>
      <c r="C26" s="52" t="str">
        <f aca="true">IF(ISBLANK(Stmt_Statement_Date),"",IF(TODAY()-Stmt_Statement_Date&gt;Statement_Max_Age_Days,"Needs a look: statement is more than 12 months old","Up to date"))</f>
        <v/>
      </c>
      <c r="D26" s="34"/>
      <c r="E26" s="49" t="s">
        <v>362</v>
      </c>
    </row>
    <row r="28" customFormat="false" ht="15" hidden="false" customHeight="true" outlineLevel="0" collapsed="false">
      <c r="B28" s="15" t="s">
        <v>268</v>
      </c>
      <c r="C28" s="31" t="s">
        <v>269</v>
      </c>
      <c r="D28" s="31" t="s">
        <v>270</v>
      </c>
      <c r="E28" s="31" t="s">
        <v>271</v>
      </c>
      <c r="F28" s="16"/>
      <c r="G28" s="16"/>
    </row>
    <row r="29" customFormat="false" ht="17.25" hidden="false" customHeight="true" outlineLevel="0" collapsed="false">
      <c r="B29" s="28" t="s">
        <v>838</v>
      </c>
      <c r="C29" s="48" t="str">
        <f aca="false">IF(Need_1&lt;&gt;"",Need_1,FV((1+Used_Growth_Rate)^(1/12)-1,Years*12,-Extra_Per_Month))</f>
        <v>Choose your salary to see this</v>
      </c>
      <c r="D29" s="34" t="s">
        <v>248</v>
      </c>
      <c r="E29" s="49" t="s">
        <v>839</v>
      </c>
    </row>
    <row r="30" customFormat="false" ht="17.25" hidden="false" customHeight="true" outlineLevel="0" collapsed="false">
      <c r="B30" s="28" t="s">
        <v>634</v>
      </c>
      <c r="C30" s="48" t="str">
        <f aca="false">IF(Need_2&lt;&gt;"",Need_2,IF(Inflation_Choice="","Choose your inflation rate to see this",Grows_To/(1+Inflation_Choice)^Years))</f>
        <v>Choose your salary to see this</v>
      </c>
      <c r="D30" s="34" t="s">
        <v>248</v>
      </c>
      <c r="E30" s="49" t="s">
        <v>635</v>
      </c>
    </row>
    <row r="31" customFormat="false" ht="15" hidden="false" customHeight="true" outlineLevel="0" collapsed="false">
      <c r="B31" s="9" t="s">
        <v>840</v>
      </c>
      <c r="C31" s="50" t="str">
        <f aca="false">IF(Need_3&lt;&gt;"",Need_3,Salary*Increase_Pct/12)</f>
        <v>Choose your salary to see this</v>
      </c>
      <c r="D31" s="34" t="s">
        <v>248</v>
      </c>
      <c r="E31" s="49" t="s">
        <v>841</v>
      </c>
    </row>
    <row r="32" customFormat="false" ht="15" hidden="false" customHeight="true" outlineLevel="0" collapsed="false">
      <c r="B32" s="9" t="s">
        <v>842</v>
      </c>
      <c r="C32" s="50" t="str">
        <f aca="false">IF(Need_4&lt;&gt;"",Need_4,Extra_Per_Month-Relief_Per_Month)</f>
        <v>Choose your salary to see this</v>
      </c>
      <c r="D32" s="34" t="s">
        <v>248</v>
      </c>
      <c r="E32" s="49" t="s">
        <v>843</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50" t="str">
        <f aca="false">IF(Need_5&lt;&gt;"",Need_5,LOOKUP(Age,Relief_Age_From,Relief_Age_Pct)*MIN(Salary,Relief_Earnings_Cap))</f>
        <v>Choose your salary to see this</v>
      </c>
      <c r="D33" s="34" t="s">
        <v>248</v>
      </c>
      <c r="E33" s="49" t="s">
        <v>844</v>
      </c>
    </row>
    <row r="34" customFormat="false" ht="15" hidden="false" customHeight="true" outlineLevel="0" collapsed="false">
      <c r="B34" s="9" t="s">
        <v>845</v>
      </c>
      <c r="C34" s="50" t="str">
        <f aca="false">IF(Need_5&lt;&gt;"",Need_5,MAX(0,Relief_Limit_Year-Existing_Pension_Year))</f>
        <v>Choose your salary to see this</v>
      </c>
      <c r="D34" s="34" t="s">
        <v>248</v>
      </c>
      <c r="E34" s="49" t="s">
        <v>846</v>
      </c>
    </row>
    <row r="35" customFormat="false" ht="15" hidden="false" customHeight="true" outlineLevel="0" collapsed="false">
      <c r="B35" s="9" t="s">
        <v>847</v>
      </c>
      <c r="C35" s="50" t="str">
        <f aca="false">IF(Need_6&lt;&gt;"",Need_6,MIN(Extra_Per_Month*12,Relief_Room_Year))</f>
        <v>Choose your salary to see this</v>
      </c>
      <c r="D35" s="34" t="s">
        <v>248</v>
      </c>
      <c r="E35" s="49" t="s">
        <v>848</v>
      </c>
    </row>
    <row r="36" customFormat="false" ht="15" hidden="false" customHeight="true" outlineLevel="0" collapsed="false">
      <c r="B36" s="9" t="s">
        <v>849</v>
      </c>
      <c r="C36" s="50" t="str">
        <f aca="false">IF(Need_4&lt;&gt;"",Need_4,Relieved_Year*Tax_Rate/12)</f>
        <v>Choose your salary to see this</v>
      </c>
      <c r="D36" s="34" t="s">
        <v>248</v>
      </c>
      <c r="E36" s="49" t="s">
        <v>850</v>
      </c>
    </row>
    <row r="38" customFormat="false" ht="15" hidden="false" customHeight="true" outlineLevel="0" collapsed="false">
      <c r="B38" s="15" t="s">
        <v>301</v>
      </c>
      <c r="C38" s="16"/>
      <c r="D38" s="16"/>
      <c r="E38" s="16"/>
      <c r="F38" s="16"/>
      <c r="G38" s="16"/>
    </row>
    <row r="39" customFormat="false" ht="13.5" hidden="false" customHeight="true" outlineLevel="0" collapsed="false">
      <c r="B39" s="53" t="s">
        <v>851</v>
      </c>
      <c r="C39" s="53"/>
      <c r="D39" s="53"/>
      <c r="E39" s="53"/>
    </row>
    <row r="40" customFormat="false" ht="13.5" hidden="false" customHeight="true" outlineLevel="0" collapsed="false">
      <c r="B40" s="53" t="s">
        <v>852</v>
      </c>
      <c r="C40" s="53"/>
      <c r="D40" s="53"/>
      <c r="E40" s="53"/>
    </row>
    <row r="41" customFormat="false" ht="13.5" hidden="false" customHeight="true" outlineLevel="0" collapsed="false">
      <c r="B41" s="54" t="s">
        <v>304</v>
      </c>
      <c r="C41" s="54"/>
      <c r="D41" s="54"/>
      <c r="E41" s="54"/>
    </row>
    <row r="42" customFormat="false" ht="13.5" hidden="false" customHeight="true" outlineLevel="0" collapsed="false">
      <c r="B42" s="53" t="s">
        <v>853</v>
      </c>
      <c r="C42" s="53"/>
      <c r="D42" s="53"/>
      <c r="E42" s="53"/>
    </row>
    <row r="43" customFormat="false" ht="13.5" hidden="false" customHeight="true" outlineLevel="0" collapsed="false">
      <c r="B43" s="53"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3"/>
      <c r="D43" s="53"/>
      <c r="E43" s="53"/>
    </row>
    <row r="45" customFormat="false" ht="15" hidden="false" customHeight="true" outlineLevel="0" collapsed="false">
      <c r="B45" s="15" t="s">
        <v>309</v>
      </c>
      <c r="C45" s="16"/>
      <c r="D45" s="16"/>
      <c r="E45" s="16"/>
      <c r="F45" s="16"/>
      <c r="G45" s="16"/>
    </row>
    <row r="46" customFormat="false" ht="15" hidden="false" customHeight="true" outlineLevel="0" collapsed="false">
      <c r="B46" s="9" t="s">
        <v>310</v>
      </c>
      <c r="C46" s="55" t="str">
        <f aca="false">"No goal: raise the plan's pension contribution instead"</f>
        <v>No goal: raise the plan's pension contribution instead</v>
      </c>
      <c r="E46" s="56" t="s">
        <v>854</v>
      </c>
    </row>
    <row r="47" customFormat="false" ht="15" hidden="false" customHeight="true" outlineLevel="0" collapsed="false">
      <c r="B47" s="9" t="s">
        <v>855</v>
      </c>
      <c r="C47" s="57" t="str">
        <f aca="false">IF(Need_3&lt;&gt;"",Need_3,Extra_Per_Month)</f>
        <v>Choose your salary to see this</v>
      </c>
      <c r="E47" s="56" t="s">
        <v>856</v>
      </c>
    </row>
    <row r="48" customFormat="false" ht="13.5" hidden="false" customHeight="true" outlineLevel="0" collapsed="false">
      <c r="B48" s="60" t="s">
        <v>857</v>
      </c>
      <c r="C48" s="60"/>
      <c r="D48" s="60"/>
      <c r="E48" s="60"/>
    </row>
    <row r="50" customFormat="false" ht="15" hidden="false" customHeight="true" outlineLevel="0" collapsed="false">
      <c r="B50" s="15" t="s">
        <v>318</v>
      </c>
      <c r="C50" s="16"/>
      <c r="D50" s="16"/>
      <c r="E50" s="16"/>
      <c r="F50" s="16"/>
      <c r="G50" s="16"/>
    </row>
    <row r="51" customFormat="false" ht="15" hidden="false" customHeight="true" outlineLevel="0" collapsed="false">
      <c r="B51" s="59" t="s">
        <v>858</v>
      </c>
      <c r="C51" s="59"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9" t="s">
        <v>859</v>
      </c>
      <c r="C52" s="59"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9" t="s">
        <v>860</v>
      </c>
      <c r="C53" s="59" t="str">
        <f aca="false">IF(Salary="","Choose your salary to see this",IF(Increase_Pct="","Choose your contribution increase to see this",""))</f>
        <v>Choose your salary to see this</v>
      </c>
    </row>
    <row r="54" customFormat="false" ht="15" hidden="false" customHeight="true" outlineLevel="0" collapsed="false">
      <c r="B54" s="59" t="s">
        <v>861</v>
      </c>
      <c r="C54" s="59"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9" t="s">
        <v>862</v>
      </c>
      <c r="C55" s="59" t="str">
        <f aca="false">IF(Salary="","Choose your salary to see this",IF(Age="","Choose your age to see this",""))</f>
        <v>Choose your salary to see this</v>
      </c>
    </row>
    <row r="56" customFormat="false" ht="15" hidden="false" customHeight="true" outlineLevel="0" collapsed="false">
      <c r="B56" s="59" t="s">
        <v>863</v>
      </c>
      <c r="C56" s="59"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864</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865</v>
      </c>
      <c r="E1" s="3" t="s">
        <v>866</v>
      </c>
    </row>
    <row r="2" customFormat="false" ht="15" hidden="false" customHeight="true" outlineLevel="0" collapsed="false">
      <c r="B2" s="28" t="s">
        <v>867</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868</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869</v>
      </c>
      <c r="C10" s="60"/>
      <c r="D10" s="60"/>
      <c r="E10" s="60"/>
    </row>
    <row r="11" customFormat="false" ht="15" hidden="false" customHeight="true" outlineLevel="0" collapsed="false">
      <c r="B11" s="9" t="s">
        <v>659</v>
      </c>
      <c r="C11" s="62"/>
      <c r="D11" s="34" t="s">
        <v>259</v>
      </c>
      <c r="E11" s="35" t="s">
        <v>660</v>
      </c>
      <c r="G11" s="59" t="s">
        <v>335</v>
      </c>
    </row>
    <row r="12" customFormat="false" ht="15" hidden="false" customHeight="true" outlineLevel="0" collapsed="false">
      <c r="B12" s="9" t="s">
        <v>342</v>
      </c>
      <c r="C12" s="64"/>
      <c r="D12" s="34" t="s">
        <v>343</v>
      </c>
      <c r="E12" s="35" t="s">
        <v>344</v>
      </c>
      <c r="G12" s="59" t="s">
        <v>335</v>
      </c>
    </row>
    <row r="14" customFormat="false" ht="15" hidden="false" customHeight="true" outlineLevel="0" collapsed="false">
      <c r="B14" s="15" t="s">
        <v>345</v>
      </c>
      <c r="C14" s="31" t="s">
        <v>243</v>
      </c>
      <c r="D14" s="31" t="s">
        <v>244</v>
      </c>
      <c r="E14" s="31" t="s">
        <v>245</v>
      </c>
      <c r="F14" s="32" t="s">
        <v>246</v>
      </c>
      <c r="G14" s="16"/>
    </row>
    <row r="15" customFormat="false" ht="15" hidden="false" customHeight="true" outlineLevel="0" collapsed="false">
      <c r="B15" s="9" t="s">
        <v>870</v>
      </c>
      <c r="C15" s="33"/>
      <c r="D15" s="34" t="s">
        <v>248</v>
      </c>
      <c r="E15" s="35" t="s">
        <v>871</v>
      </c>
      <c r="F15" s="36" t="n">
        <v>200</v>
      </c>
      <c r="G15" s="37" t="str">
        <f aca="false">IF(ISBLANK(C15),IF(Fill_Example="Yes",F15,""),C15)</f>
        <v/>
      </c>
    </row>
    <row r="16" customFormat="false" ht="21.75" hidden="false" customHeight="true" outlineLevel="0" collapsed="false">
      <c r="B16" s="9" t="s">
        <v>872</v>
      </c>
      <c r="C16" s="33"/>
      <c r="D16" s="34" t="s">
        <v>248</v>
      </c>
      <c r="E16" s="35" t="s">
        <v>249</v>
      </c>
      <c r="F16" s="36" t="n">
        <v>60000</v>
      </c>
      <c r="G16" s="37" t="str">
        <f aca="false">IF(ISBLANK(C16),IF(Fill_Example="Yes",F16,""),C16)</f>
        <v/>
      </c>
    </row>
    <row r="17" customFormat="false" ht="21.75" hidden="false" customHeight="true" outlineLevel="0" collapsed="false">
      <c r="B17" s="9" t="s">
        <v>793</v>
      </c>
      <c r="C17" s="45"/>
      <c r="D17" s="34" t="s">
        <v>261</v>
      </c>
      <c r="E17" s="35" t="s">
        <v>873</v>
      </c>
      <c r="F17" s="46" t="n">
        <v>15</v>
      </c>
      <c r="G17" s="47" t="str">
        <f aca="false">IF(ISBLANK(C17),IF(Fill_Example="Yes",F17,""),C17)</f>
        <v/>
      </c>
    </row>
    <row r="18" customFormat="false" ht="21.75" hidden="false" customHeight="true" outlineLevel="0" collapsed="false">
      <c r="B18" s="9" t="s">
        <v>829</v>
      </c>
      <c r="C18" s="41"/>
      <c r="D18" s="34" t="s">
        <v>259</v>
      </c>
      <c r="E18" s="42" t="s">
        <v>756</v>
      </c>
      <c r="F18" s="43" t="n">
        <f aca="false">AS_Pen</f>
        <v>0.045</v>
      </c>
      <c r="G18" s="44" t="n">
        <f aca="false">IF(ISBLANK(C18),F18,C18)</f>
        <v>0.045</v>
      </c>
    </row>
    <row r="19" customFormat="false" ht="21.75" hidden="false" customHeight="true" outlineLevel="0" collapsed="false">
      <c r="B19" s="9" t="s">
        <v>761</v>
      </c>
      <c r="C19" s="41"/>
      <c r="D19" s="34" t="s">
        <v>259</v>
      </c>
      <c r="E19" s="42"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3" t="n">
        <f aca="false">IF(ISNUMBER(Suggest_Fund_Charges),Suggest_Fund_Charges,"")</f>
        <v>0.01</v>
      </c>
      <c r="G19" s="44" t="str">
        <f aca="false">IF(ISBLANK(C19),IF(Fill_Example="Yes",F19,""),C19)</f>
        <v/>
      </c>
    </row>
    <row r="20" customFormat="false" ht="33" hidden="false" customHeight="true" outlineLevel="0" collapsed="false">
      <c r="B20" s="9" t="s">
        <v>830</v>
      </c>
      <c r="C20" s="81"/>
      <c r="D20" s="34" t="s">
        <v>831</v>
      </c>
      <c r="E20" s="42" t="s">
        <v>832</v>
      </c>
      <c r="F20" s="82" t="str">
        <f aca="false">TE_Marginal_Rate</f>
        <v>Choose your tax status to see this</v>
      </c>
      <c r="G20" s="83" t="str">
        <f aca="false">IF(ISBLANK(C20),IF(Fill_Example="Yes",F20,""),C20)</f>
        <v/>
      </c>
    </row>
    <row r="21" customFormat="false" ht="21.75" hidden="false" customHeight="true" outlineLevel="0" collapsed="false">
      <c r="B21" s="9" t="s">
        <v>833</v>
      </c>
      <c r="C21" s="45"/>
      <c r="D21" s="34" t="s">
        <v>739</v>
      </c>
      <c r="E21" s="35" t="s">
        <v>834</v>
      </c>
      <c r="F21" s="46" t="n">
        <v>40</v>
      </c>
      <c r="G21" s="47" t="str">
        <f aca="false">IF(ISBLANK(C21),IF(Fill_Example="Yes",F21,""),C21)</f>
        <v/>
      </c>
    </row>
    <row r="22" customFormat="false" ht="15" hidden="false" customHeight="true" outlineLevel="0" collapsed="false">
      <c r="B22" s="9" t="s">
        <v>835</v>
      </c>
      <c r="C22" s="33"/>
      <c r="D22" s="34" t="s">
        <v>248</v>
      </c>
      <c r="E22" s="35" t="s">
        <v>836</v>
      </c>
      <c r="F22" s="36" t="n">
        <v>0</v>
      </c>
      <c r="G22" s="37" t="n">
        <f aca="false">IF(ISBLANK(C22),IF(Pens_Own_Total&gt;0,Pens_Own_Total*12,F22),C22)</f>
        <v>0</v>
      </c>
    </row>
    <row r="24" customFormat="false" ht="15" hidden="false" customHeight="true" outlineLevel="0" collapsed="false">
      <c r="B24" s="15" t="s">
        <v>354</v>
      </c>
      <c r="C24" s="16"/>
      <c r="D24" s="16"/>
      <c r="E24" s="16"/>
      <c r="F24" s="16"/>
      <c r="G24" s="16"/>
    </row>
    <row r="25" customFormat="false" ht="15" hidden="false" customHeight="true" outlineLevel="0" collapsed="false">
      <c r="B25" s="9" t="s">
        <v>837</v>
      </c>
      <c r="C25" s="67" t="n">
        <f aca="false">IF(ISBLANK(Stmt_Charges),Growth_Rate,IF(OR(Growth_Rate="",Typical_Pension_Charges=""),"",Growth_Rate+Typical_Pension_Charges-Stmt_Charges))</f>
        <v>0.045</v>
      </c>
      <c r="D25" s="66" t="str">
        <f aca="false">IF(ISBLANK(Stmt_Charges),"Your figure","Adjusted for your statement's charges")</f>
        <v>Your figure</v>
      </c>
      <c r="E25" s="56" t="s">
        <v>772</v>
      </c>
    </row>
    <row r="26" customFormat="false" ht="21.75" hidden="false" customHeight="true" outlineLevel="0" collapsed="false">
      <c r="B26" s="9" t="s">
        <v>361</v>
      </c>
      <c r="C26" s="52" t="str">
        <f aca="true">IF(ISBLANK(Stmt_Statement_Date),"",IF(TODAY()-Stmt_Statement_Date&gt;Statement_Max_Age_Days,"Needs a look: statement is more than 12 months old","Up to date"))</f>
        <v/>
      </c>
      <c r="D26" s="34"/>
      <c r="E26" s="49" t="s">
        <v>362</v>
      </c>
    </row>
    <row r="28" customFormat="false" ht="15" hidden="false" customHeight="true" outlineLevel="0" collapsed="false">
      <c r="B28" s="15" t="s">
        <v>268</v>
      </c>
      <c r="C28" s="31" t="s">
        <v>269</v>
      </c>
      <c r="D28" s="31" t="s">
        <v>270</v>
      </c>
      <c r="E28" s="31" t="s">
        <v>271</v>
      </c>
      <c r="F28" s="16"/>
      <c r="G28" s="16"/>
    </row>
    <row r="29" customFormat="false" ht="17.25" hidden="false" customHeight="true" outlineLevel="0" collapsed="false">
      <c r="B29" s="28" t="s">
        <v>874</v>
      </c>
      <c r="C29" s="48" t="str">
        <f aca="false">IF(Need_1&lt;&gt;"",Need_1,FV((1+Used_Growth_Rate)^(1/12)-1,Years*12,-AVC_Per_Month))</f>
        <v>Choose your AVC per month to see this</v>
      </c>
      <c r="D29" s="34" t="s">
        <v>248</v>
      </c>
      <c r="E29" s="49" t="s">
        <v>875</v>
      </c>
    </row>
    <row r="30" customFormat="false" ht="17.25" hidden="false" customHeight="true" outlineLevel="0" collapsed="false">
      <c r="B30" s="28" t="s">
        <v>634</v>
      </c>
      <c r="C30" s="48" t="str">
        <f aca="false">IF(Need_2&lt;&gt;"",Need_2,IF(Inflation_Choice="","Choose your inflation rate to see this",Grows_To/(1+Inflation_Choice)^Years))</f>
        <v>Choose your AVC per month to see this</v>
      </c>
      <c r="D30" s="34" t="s">
        <v>248</v>
      </c>
      <c r="E30" s="49" t="s">
        <v>635</v>
      </c>
    </row>
    <row r="31" customFormat="false" ht="15" hidden="false" customHeight="true" outlineLevel="0" collapsed="false">
      <c r="B31" s="9" t="s">
        <v>636</v>
      </c>
      <c r="C31" s="50" t="str">
        <f aca="false">IF(Need_3&lt;&gt;"",Need_3,AVC_Per_Month*12*Years)</f>
        <v>Choose your AVC per month to see this</v>
      </c>
      <c r="D31" s="34" t="s">
        <v>248</v>
      </c>
      <c r="E31" s="49" t="s">
        <v>876</v>
      </c>
    </row>
    <row r="32" customFormat="false" ht="15" hidden="false" customHeight="true" outlineLevel="0" collapsed="false">
      <c r="B32" s="9" t="s">
        <v>877</v>
      </c>
      <c r="C32" s="50" t="str">
        <f aca="false">IF(Need_4&lt;&gt;"",Need_4,Net_Cost_Per_Month*12*Years)</f>
        <v>Choose your AVC per month to see this</v>
      </c>
      <c r="D32" s="34" t="s">
        <v>248</v>
      </c>
      <c r="E32" s="49" t="s">
        <v>878</v>
      </c>
    </row>
    <row r="33" customFormat="false" ht="15" hidden="false" customHeight="true" outlineLevel="0" collapsed="false">
      <c r="B33" s="9" t="s">
        <v>879</v>
      </c>
      <c r="C33" s="50" t="str">
        <f aca="false">IF(Need_5&lt;&gt;"",Need_5,AVC_Per_Month-Relief_Per_Month)</f>
        <v>Choose your AVC per month to see this</v>
      </c>
      <c r="D33" s="34" t="s">
        <v>248</v>
      </c>
      <c r="E33" s="49" t="s">
        <v>880</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50" t="str">
        <f aca="false">IF(Need_6&lt;&gt;"",Need_6,LOOKUP(Age,Relief_Age_From,Relief_Age_Pct)*MIN(Salary,Relief_Earnings_Cap))</f>
        <v>Choose your salary to see this</v>
      </c>
      <c r="D34" s="34" t="s">
        <v>248</v>
      </c>
      <c r="E34" s="49" t="s">
        <v>844</v>
      </c>
    </row>
    <row r="35" customFormat="false" ht="15" hidden="false" customHeight="true" outlineLevel="0" collapsed="false">
      <c r="B35" s="9" t="s">
        <v>845</v>
      </c>
      <c r="C35" s="50" t="str">
        <f aca="false">IF(Need_6&lt;&gt;"",Need_6,MAX(0,Relief_Limit_Year-Existing_Pension_Year))</f>
        <v>Choose your salary to see this</v>
      </c>
      <c r="D35" s="34" t="s">
        <v>248</v>
      </c>
      <c r="E35" s="49" t="s">
        <v>846</v>
      </c>
    </row>
    <row r="36" customFormat="false" ht="15" hidden="false" customHeight="true" outlineLevel="0" collapsed="false">
      <c r="B36" s="9" t="s">
        <v>881</v>
      </c>
      <c r="C36" s="50" t="str">
        <f aca="false">IF(Need_7&lt;&gt;"",Need_7,MIN(AVC_Per_Month*12,Relief_Room_Year))</f>
        <v>Choose your AVC per month to see this</v>
      </c>
      <c r="D36" s="34" t="s">
        <v>248</v>
      </c>
      <c r="E36" s="49" t="s">
        <v>882</v>
      </c>
    </row>
    <row r="37" customFormat="false" ht="15" hidden="false" customHeight="true" outlineLevel="0" collapsed="false">
      <c r="B37" s="9" t="s">
        <v>849</v>
      </c>
      <c r="C37" s="50" t="str">
        <f aca="false">IF(Need_5&lt;&gt;"",Need_5,Relieved_Year*Tax_Rate/12)</f>
        <v>Choose your AVC per month to see this</v>
      </c>
      <c r="D37" s="34" t="s">
        <v>248</v>
      </c>
      <c r="E37" s="49" t="s">
        <v>850</v>
      </c>
    </row>
    <row r="39" customFormat="false" ht="15" hidden="false" customHeight="true" outlineLevel="0" collapsed="false">
      <c r="B39" s="15" t="s">
        <v>301</v>
      </c>
      <c r="C39" s="16"/>
      <c r="D39" s="16"/>
      <c r="E39" s="16"/>
      <c r="F39" s="16"/>
      <c r="G39" s="16"/>
    </row>
    <row r="40" customFormat="false" ht="27.75" hidden="false" customHeight="true" outlineLevel="0" collapsed="false">
      <c r="B40" s="53"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3"/>
      <c r="D40" s="53"/>
      <c r="E40" s="53"/>
    </row>
    <row r="41" customFormat="false" ht="13.5" hidden="false" customHeight="true" outlineLevel="0" collapsed="false">
      <c r="B41" s="54" t="s">
        <v>304</v>
      </c>
      <c r="C41" s="54"/>
      <c r="D41" s="54"/>
      <c r="E41" s="54"/>
    </row>
    <row r="42" customFormat="false" ht="13.5" hidden="false" customHeight="true" outlineLevel="0" collapsed="false">
      <c r="B42" s="53" t="s">
        <v>853</v>
      </c>
      <c r="C42" s="53"/>
      <c r="D42" s="53"/>
      <c r="E42" s="53"/>
    </row>
    <row r="43" customFormat="false" ht="13.5" hidden="false" customHeight="true" outlineLevel="0" collapsed="false">
      <c r="B43" s="53" t="s">
        <v>883</v>
      </c>
      <c r="C43" s="53"/>
      <c r="D43" s="53"/>
      <c r="E43" s="53"/>
    </row>
    <row r="45" customFormat="false" ht="15" hidden="false" customHeight="true" outlineLevel="0" collapsed="false">
      <c r="B45" s="15" t="s">
        <v>309</v>
      </c>
      <c r="C45" s="16"/>
      <c r="D45" s="16"/>
      <c r="E45" s="16"/>
      <c r="F45" s="16"/>
      <c r="G45" s="16"/>
    </row>
    <row r="46" customFormat="false" ht="15" hidden="false" customHeight="true" outlineLevel="0" collapsed="false">
      <c r="B46" s="9" t="s">
        <v>310</v>
      </c>
      <c r="C46" s="55" t="str">
        <f aca="false">"No goal: raise the plan's pension contribution instead"</f>
        <v>No goal: raise the plan's pension contribution instead</v>
      </c>
      <c r="E46" s="56" t="s">
        <v>854</v>
      </c>
    </row>
    <row r="47" customFormat="false" ht="15" hidden="false" customHeight="true" outlineLevel="0" collapsed="false">
      <c r="B47" s="9" t="s">
        <v>855</v>
      </c>
      <c r="C47" s="57" t="str">
        <f aca="false">IF(Need_8&lt;&gt;"",Need_8,AVC_Per_Month)</f>
        <v>Choose your AVC per month to see this</v>
      </c>
      <c r="E47" s="56" t="s">
        <v>884</v>
      </c>
    </row>
    <row r="49" customFormat="false" ht="15" hidden="false" customHeight="true" outlineLevel="0" collapsed="false">
      <c r="B49" s="15" t="s">
        <v>318</v>
      </c>
      <c r="C49" s="16"/>
      <c r="D49" s="16"/>
      <c r="E49" s="16"/>
      <c r="F49" s="16"/>
      <c r="G49" s="16"/>
    </row>
    <row r="50" customFormat="false" ht="15" hidden="false" customHeight="true" outlineLevel="0" collapsed="false">
      <c r="B50" s="59" t="s">
        <v>885</v>
      </c>
      <c r="C50" s="59"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9" t="s">
        <v>886</v>
      </c>
      <c r="C51" s="59"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9" t="s">
        <v>887</v>
      </c>
      <c r="C52" s="59" t="str">
        <f aca="false">IF(AVC_Per_Month="","Choose your AVC per month to see this",IF(Years="","Choose your years to retirement to see this",""))</f>
        <v>Choose your AVC per month to see this</v>
      </c>
    </row>
    <row r="53" customFormat="false" ht="15" hidden="false" customHeight="true" outlineLevel="0" collapsed="false">
      <c r="B53" s="59" t="s">
        <v>888</v>
      </c>
      <c r="C53" s="59"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9" t="s">
        <v>889</v>
      </c>
      <c r="C54" s="59"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9" t="s">
        <v>862</v>
      </c>
      <c r="C55" s="59" t="str">
        <f aca="false">IF(Salary="","Choose your salary to see this",IF(Age="","Choose your age to see this",""))</f>
        <v>Choose your salary to see this</v>
      </c>
    </row>
    <row r="56" customFormat="false" ht="15" hidden="false" customHeight="true" outlineLevel="0" collapsed="false">
      <c r="B56" s="59" t="s">
        <v>890</v>
      </c>
      <c r="C56" s="59"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9" t="s">
        <v>891</v>
      </c>
      <c r="C57" s="59"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892</v>
      </c>
      <c r="E1" s="3" t="s">
        <v>893</v>
      </c>
    </row>
    <row r="2" customFormat="false" ht="15" hidden="false" customHeight="true" outlineLevel="0" collapsed="false">
      <c r="B2" s="28" t="s">
        <v>894</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895</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896</v>
      </c>
      <c r="C10" s="60"/>
      <c r="D10" s="60"/>
      <c r="E10" s="60"/>
    </row>
    <row r="11" customFormat="false" ht="15" hidden="false" customHeight="true" outlineLevel="0" collapsed="false">
      <c r="B11" s="9" t="s">
        <v>741</v>
      </c>
      <c r="C11" s="61"/>
      <c r="D11" s="34" t="s">
        <v>248</v>
      </c>
      <c r="E11" s="35" t="s">
        <v>658</v>
      </c>
      <c r="G11" s="59" t="s">
        <v>335</v>
      </c>
    </row>
    <row r="12" customFormat="false" ht="15" hidden="false" customHeight="true" outlineLevel="0" collapsed="false">
      <c r="B12" s="9" t="s">
        <v>734</v>
      </c>
      <c r="C12" s="61"/>
      <c r="D12" s="34" t="s">
        <v>248</v>
      </c>
      <c r="E12" s="35" t="s">
        <v>735</v>
      </c>
      <c r="G12" s="59" t="s">
        <v>335</v>
      </c>
    </row>
    <row r="13" customFormat="false" ht="15" hidden="false" customHeight="true" outlineLevel="0" collapsed="false">
      <c r="B13" s="9" t="s">
        <v>342</v>
      </c>
      <c r="C13" s="64"/>
      <c r="D13" s="34" t="s">
        <v>343</v>
      </c>
      <c r="E13" s="35" t="s">
        <v>344</v>
      </c>
      <c r="G13" s="59" t="s">
        <v>335</v>
      </c>
    </row>
    <row r="15" customFormat="false" ht="15" hidden="false" customHeight="true" outlineLevel="0" collapsed="false">
      <c r="B15" s="15" t="s">
        <v>345</v>
      </c>
      <c r="C15" s="31" t="s">
        <v>243</v>
      </c>
      <c r="D15" s="31" t="s">
        <v>244</v>
      </c>
      <c r="E15" s="31" t="s">
        <v>245</v>
      </c>
      <c r="F15" s="32" t="s">
        <v>246</v>
      </c>
      <c r="G15" s="16"/>
    </row>
    <row r="16" customFormat="false" ht="21.75" hidden="false" customHeight="true" outlineLevel="0" collapsed="false">
      <c r="B16" s="9" t="s">
        <v>897</v>
      </c>
      <c r="C16" s="33"/>
      <c r="D16" s="34" t="s">
        <v>248</v>
      </c>
      <c r="E16" s="35" t="s">
        <v>898</v>
      </c>
      <c r="F16" s="36" t="n">
        <v>400000</v>
      </c>
      <c r="G16" s="37" t="str">
        <f aca="false">IF(AND(ISNUMBER(C16),N(C16)&lt;10000),"",IF(ISBLANK(C16),IF(Fill_Example="Yes",F16,""),C16))</f>
        <v/>
      </c>
    </row>
    <row r="17" customFormat="false" ht="15" hidden="false" customHeight="true" outlineLevel="0" collapsed="false">
      <c r="B17" s="9" t="s">
        <v>899</v>
      </c>
      <c r="C17" s="33"/>
      <c r="D17" s="34" t="s">
        <v>248</v>
      </c>
      <c r="E17" s="35" t="s">
        <v>900</v>
      </c>
      <c r="F17" s="36" t="n">
        <v>24000</v>
      </c>
      <c r="G17" s="37" t="str">
        <f aca="false">IF(ISBLANK(C17),IF(Fill_Example="Yes",F17,""),C17)</f>
        <v/>
      </c>
    </row>
    <row r="18" customFormat="false" ht="21.75" hidden="false" customHeight="true" outlineLevel="0" collapsed="false">
      <c r="B18" s="9" t="s">
        <v>901</v>
      </c>
      <c r="C18" s="41"/>
      <c r="D18" s="34" t="s">
        <v>259</v>
      </c>
      <c r="E18" s="42" t="s">
        <v>902</v>
      </c>
      <c r="F18" s="43" t="n">
        <f aca="false">AS_PenRet</f>
        <v>0.0315</v>
      </c>
      <c r="G18" s="44" t="n">
        <f aca="false">IF(ISBLANK(C18),F18,C18)</f>
        <v>0.0315</v>
      </c>
    </row>
    <row r="19" customFormat="false" ht="21.75" hidden="false" customHeight="true" outlineLevel="0" collapsed="false">
      <c r="B19" s="9" t="s">
        <v>903</v>
      </c>
      <c r="C19" s="38"/>
      <c r="D19" s="34"/>
      <c r="E19" s="42" t="s">
        <v>904</v>
      </c>
      <c r="F19" s="39" t="str">
        <f aca="false">IF(Set_ddTiming="end","End of year","Start of year")</f>
        <v>Start of year</v>
      </c>
      <c r="G19" s="40" t="str">
        <f aca="false">IF(ISBLANK(C19),F19,C19)</f>
        <v>Start of year</v>
      </c>
    </row>
    <row r="20" customFormat="false" ht="21.75" hidden="false" customHeight="true" outlineLevel="0" collapsed="false">
      <c r="B20" s="9" t="s">
        <v>905</v>
      </c>
      <c r="C20" s="45"/>
      <c r="D20" s="34" t="s">
        <v>739</v>
      </c>
      <c r="E20" s="42" t="s">
        <v>906</v>
      </c>
      <c r="F20" s="46" t="n">
        <v>66</v>
      </c>
      <c r="G20" s="47" t="str">
        <f aca="false">IF(ISBLANK(C20),IF(Fill_Example="Yes",F20,""),C20)</f>
        <v/>
      </c>
    </row>
    <row r="21" customFormat="false" ht="21.75" hidden="false" customHeight="true" outlineLevel="0" collapsed="false">
      <c r="B21" s="9" t="s">
        <v>907</v>
      </c>
      <c r="C21" s="45"/>
      <c r="D21" s="34" t="s">
        <v>739</v>
      </c>
      <c r="E21" s="42" t="s">
        <v>908</v>
      </c>
      <c r="F21" s="46" t="n">
        <v>90</v>
      </c>
      <c r="G21" s="47" t="str">
        <f aca="false">IF(ISBLANK(C21),IF(Fill_Example="Yes",F21,""),C21)</f>
        <v/>
      </c>
    </row>
    <row r="23" customFormat="false" ht="15" hidden="false" customHeight="true" outlineLevel="0" collapsed="false">
      <c r="B23" s="15" t="s">
        <v>354</v>
      </c>
      <c r="C23" s="16"/>
      <c r="D23" s="16"/>
      <c r="E23" s="16"/>
      <c r="F23" s="16"/>
      <c r="G23" s="16"/>
    </row>
    <row r="24" customFormat="false" ht="15" hidden="false" customHeight="true" outlineLevel="0" collapsed="false">
      <c r="B24" s="9" t="s">
        <v>897</v>
      </c>
      <c r="C24" s="65" t="str">
        <f aca="false">IF(NOT(ISBLANK(Stmt_Projected_Fund)),Stmt_Projected_Fund,IF(NOT(ISBLANK(Stmt_Fund_Value)),Stmt_Fund_Value,Retirement_Savings))</f>
        <v/>
      </c>
      <c r="D24" s="66" t="str">
        <f aca="false">IF(NOT(ISBLANK(Stmt_Projected_Fund)),"From your statement (projected fund)",IF(NOT(ISBLANK(Stmt_Fund_Value)),"From your statement (fund value today)","Your figure"))</f>
        <v>Your figure</v>
      </c>
      <c r="E24" s="56" t="s">
        <v>909</v>
      </c>
    </row>
    <row r="25" customFormat="false" ht="21.75" hidden="false" customHeight="true" outlineLevel="0" collapsed="false">
      <c r="B25" s="9" t="s">
        <v>361</v>
      </c>
      <c r="C25" s="52" t="str">
        <f aca="true">IF(ISBLANK(Stmt_Statement_Date),"",IF(TODAY()-Stmt_Statement_Date&gt;Statement_Max_Age_Days,"Needs a look: statement is more than 12 months old","Up to date"))</f>
        <v/>
      </c>
      <c r="D25" s="34"/>
      <c r="E25" s="49" t="s">
        <v>362</v>
      </c>
    </row>
    <row r="27" customFormat="false" ht="15" hidden="false" customHeight="true" outlineLevel="0" collapsed="false">
      <c r="B27" s="15" t="s">
        <v>268</v>
      </c>
      <c r="C27" s="31" t="s">
        <v>269</v>
      </c>
      <c r="D27" s="31" t="s">
        <v>270</v>
      </c>
      <c r="E27" s="31" t="s">
        <v>271</v>
      </c>
      <c r="F27" s="16"/>
      <c r="G27" s="16"/>
    </row>
    <row r="28" customFormat="false" ht="23.25" hidden="false" customHeight="true" outlineLevel="0" collapsed="false">
      <c r="B28" s="28" t="s">
        <v>910</v>
      </c>
      <c r="C28" s="69" t="str">
        <f aca="false">IF(Need_1&lt;&gt;"",Need_1,IF(Inflation_Choice="","Choose your inflation rate to see this",SUM(W_paid)))</f>
        <v>Choose your yearly withdrawal to see this</v>
      </c>
      <c r="D28" s="70" t="str">
        <f aca="false">IF(Need_1&lt;&gt;"",Need_1,IF(ISNUMBER(Years_Lasting),IF(Years_Lasting&gt;=Cap_Years,Cap_Years&amp;"+ years",IF(Years_Lasting&lt;1,"Less than a year",Years_Lasting&amp;IF(Years_Lasting=1," year"," years"))),"Choose your inflation rate to see this"))</f>
        <v>Choose your yearly withdrawal to see this</v>
      </c>
      <c r="E28" s="49" t="s">
        <v>911</v>
      </c>
    </row>
    <row r="29" customFormat="false" ht="23.25" hidden="false" customHeight="true" outlineLevel="0" collapsed="false">
      <c r="B29" s="28" t="s">
        <v>912</v>
      </c>
      <c r="C29" s="69" t="str">
        <f aca="false">IF(Need_2&lt;&gt;"",Need_2,IF(ISNUMBER(Years_Lasting),IF(Years_Lasting&gt;=Cap_Years,"Beyond "&amp;Plan_To_Age,IF(Years_Lasting&lt;1,"Less than a year",Age_At_Start+Years_Lasting)),"Choose your inflation rate to see this"))</f>
        <v>Choose your yearly withdrawal to see this</v>
      </c>
      <c r="D29" s="70"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9" t="s">
        <v>913</v>
      </c>
    </row>
    <row r="30" customFormat="false" ht="15" hidden="false" customHeight="true" outlineLevel="0" collapsed="false">
      <c r="B30" s="9" t="s">
        <v>914</v>
      </c>
      <c r="C30" s="84" t="str">
        <f aca="false">IF(Need_3&lt;&gt;"",Need_3,Yearly_Withdrawal/Used_Retirement_Savings)</f>
        <v>Choose your yearly withdrawal to see this</v>
      </c>
      <c r="D30" s="34" t="s">
        <v>259</v>
      </c>
      <c r="E30" s="49" t="s">
        <v>915</v>
      </c>
    </row>
    <row r="31" customFormat="false" ht="15" hidden="false" customHeight="true" outlineLevel="0" collapsed="false">
      <c r="B31" s="15" t="s">
        <v>916</v>
      </c>
      <c r="C31" s="16"/>
      <c r="D31" s="16"/>
      <c r="E31" s="16"/>
      <c r="F31" s="16"/>
      <c r="G31" s="16"/>
    </row>
    <row r="32" customFormat="false" ht="27.75" hidden="false" customHeight="true" outlineLevel="0" collapsed="false">
      <c r="B32" s="85" t="s">
        <v>917</v>
      </c>
      <c r="C32" s="85" t="s">
        <v>918</v>
      </c>
      <c r="D32" s="85" t="s">
        <v>919</v>
      </c>
      <c r="E32" s="85" t="s">
        <v>920</v>
      </c>
      <c r="F32" s="85" t="s">
        <v>921</v>
      </c>
    </row>
    <row r="33" customFormat="false" ht="15" hidden="false" customHeight="true" outlineLevel="0" collapsed="false">
      <c r="B33" s="86" t="n">
        <v>1</v>
      </c>
      <c r="C33" s="87" t="str">
        <f aca="false">IF(Need_1&lt;&gt;"","",Yearly_Withdrawal)</f>
        <v/>
      </c>
      <c r="D33" s="87" t="str">
        <f aca="false">IF(Need_1&lt;&gt;"","",Used_Retirement_Savings)</f>
        <v/>
      </c>
      <c r="E33" s="86" t="str">
        <f aca="false">IF(Need_1&lt;&gt;"","",IF(Withdrawal_Timing="Start of year",IF(D33&gt;=C33,1,0),IF(D33*(1+Growth_Rate)&gt;=C33,1,0)))</f>
        <v/>
      </c>
      <c r="F33" s="87" t="str">
        <f aca="false">IF(Need_1&lt;&gt;"","",IF(E33=1,IF(Withdrawal_Timing="Start of year",(D33-C33)*(1+Growth_Rate),D33*(1+Growth_Rate)-C33),0))</f>
        <v/>
      </c>
    </row>
    <row r="34" customFormat="false" ht="15" hidden="false" customHeight="true" outlineLevel="0" collapsed="false">
      <c r="B34" s="86" t="n">
        <v>2</v>
      </c>
      <c r="C34" s="87" t="str">
        <f aca="false">IF(Need_1&lt;&gt;"","",C33*(1+Inflation_Choice))</f>
        <v/>
      </c>
      <c r="D34" s="87" t="str">
        <f aca="false">IF(Need_1&lt;&gt;"","",F33)</f>
        <v/>
      </c>
      <c r="E34" s="86" t="str">
        <f aca="false">IF(Need_1&lt;&gt;"","",IF(Withdrawal_Timing="Start of year",IF(D34&gt;=C34,1,0),IF(D34*(1+Growth_Rate)&gt;=C34,1,0)))</f>
        <v/>
      </c>
      <c r="F34" s="87" t="str">
        <f aca="false">IF(Need_1&lt;&gt;"","",IF(E34=1,IF(Withdrawal_Timing="Start of year",(D34-C34)*(1+Growth_Rate),D34*(1+Growth_Rate)-C34),0))</f>
        <v/>
      </c>
    </row>
    <row r="35" customFormat="false" ht="15" hidden="false" customHeight="true" outlineLevel="0" collapsed="false">
      <c r="B35" s="86" t="n">
        <v>3</v>
      </c>
      <c r="C35" s="87" t="str">
        <f aca="false">IF(Need_1&lt;&gt;"","",C34*(1+Inflation_Choice))</f>
        <v/>
      </c>
      <c r="D35" s="87" t="str">
        <f aca="false">IF(Need_1&lt;&gt;"","",F34)</f>
        <v/>
      </c>
      <c r="E35" s="86" t="str">
        <f aca="false">IF(Need_1&lt;&gt;"","",IF(Withdrawal_Timing="Start of year",IF(D35&gt;=C35,1,0),IF(D35*(1+Growth_Rate)&gt;=C35,1,0)))</f>
        <v/>
      </c>
      <c r="F35" s="87" t="str">
        <f aca="false">IF(Need_1&lt;&gt;"","",IF(E35=1,IF(Withdrawal_Timing="Start of year",(D35-C35)*(1+Growth_Rate),D35*(1+Growth_Rate)-C35),0))</f>
        <v/>
      </c>
    </row>
    <row r="36" customFormat="false" ht="15" hidden="false" customHeight="true" outlineLevel="0" collapsed="false">
      <c r="B36" s="86" t="n">
        <v>4</v>
      </c>
      <c r="C36" s="87" t="str">
        <f aca="false">IF(Need_1&lt;&gt;"","",C35*(1+Inflation_Choice))</f>
        <v/>
      </c>
      <c r="D36" s="87" t="str">
        <f aca="false">IF(Need_1&lt;&gt;"","",F35)</f>
        <v/>
      </c>
      <c r="E36" s="86" t="str">
        <f aca="false">IF(Need_1&lt;&gt;"","",IF(Withdrawal_Timing="Start of year",IF(D36&gt;=C36,1,0),IF(D36*(1+Growth_Rate)&gt;=C36,1,0)))</f>
        <v/>
      </c>
      <c r="F36" s="87" t="str">
        <f aca="false">IF(Need_1&lt;&gt;"","",IF(E36=1,IF(Withdrawal_Timing="Start of year",(D36-C36)*(1+Growth_Rate),D36*(1+Growth_Rate)-C36),0))</f>
        <v/>
      </c>
    </row>
    <row r="37" customFormat="false" ht="15" hidden="false" customHeight="true" outlineLevel="0" collapsed="false">
      <c r="B37" s="86" t="n">
        <v>5</v>
      </c>
      <c r="C37" s="87" t="str">
        <f aca="false">IF(Need_1&lt;&gt;"","",C36*(1+Inflation_Choice))</f>
        <v/>
      </c>
      <c r="D37" s="87" t="str">
        <f aca="false">IF(Need_1&lt;&gt;"","",F36)</f>
        <v/>
      </c>
      <c r="E37" s="86" t="str">
        <f aca="false">IF(Need_1&lt;&gt;"","",IF(Withdrawal_Timing="Start of year",IF(D37&gt;=C37,1,0),IF(D37*(1+Growth_Rate)&gt;=C37,1,0)))</f>
        <v/>
      </c>
      <c r="F37" s="87" t="str">
        <f aca="false">IF(Need_1&lt;&gt;"","",IF(E37=1,IF(Withdrawal_Timing="Start of year",(D37-C37)*(1+Growth_Rate),D37*(1+Growth_Rate)-C37),0))</f>
        <v/>
      </c>
    </row>
    <row r="38" customFormat="false" ht="15" hidden="false" customHeight="true" outlineLevel="0" collapsed="false">
      <c r="B38" s="86" t="n">
        <v>6</v>
      </c>
      <c r="C38" s="87" t="str">
        <f aca="false">IF(Need_1&lt;&gt;"","",C37*(1+Inflation_Choice))</f>
        <v/>
      </c>
      <c r="D38" s="87" t="str">
        <f aca="false">IF(Need_1&lt;&gt;"","",F37)</f>
        <v/>
      </c>
      <c r="E38" s="86" t="str">
        <f aca="false">IF(Need_1&lt;&gt;"","",IF(Withdrawal_Timing="Start of year",IF(D38&gt;=C38,1,0),IF(D38*(1+Growth_Rate)&gt;=C38,1,0)))</f>
        <v/>
      </c>
      <c r="F38" s="87" t="str">
        <f aca="false">IF(Need_1&lt;&gt;"","",IF(E38=1,IF(Withdrawal_Timing="Start of year",(D38-C38)*(1+Growth_Rate),D38*(1+Growth_Rate)-C38),0))</f>
        <v/>
      </c>
    </row>
    <row r="39" customFormat="false" ht="15" hidden="false" customHeight="true" outlineLevel="0" collapsed="false">
      <c r="B39" s="86" t="n">
        <v>7</v>
      </c>
      <c r="C39" s="87" t="str">
        <f aca="false">IF(Need_1&lt;&gt;"","",C38*(1+Inflation_Choice))</f>
        <v/>
      </c>
      <c r="D39" s="87" t="str">
        <f aca="false">IF(Need_1&lt;&gt;"","",F38)</f>
        <v/>
      </c>
      <c r="E39" s="86" t="str">
        <f aca="false">IF(Need_1&lt;&gt;"","",IF(Withdrawal_Timing="Start of year",IF(D39&gt;=C39,1,0),IF(D39*(1+Growth_Rate)&gt;=C39,1,0)))</f>
        <v/>
      </c>
      <c r="F39" s="87" t="str">
        <f aca="false">IF(Need_1&lt;&gt;"","",IF(E39=1,IF(Withdrawal_Timing="Start of year",(D39-C39)*(1+Growth_Rate),D39*(1+Growth_Rate)-C39),0))</f>
        <v/>
      </c>
    </row>
    <row r="40" customFormat="false" ht="15" hidden="false" customHeight="true" outlineLevel="0" collapsed="false">
      <c r="B40" s="86" t="n">
        <v>8</v>
      </c>
      <c r="C40" s="87" t="str">
        <f aca="false">IF(Need_1&lt;&gt;"","",C39*(1+Inflation_Choice))</f>
        <v/>
      </c>
      <c r="D40" s="87" t="str">
        <f aca="false">IF(Need_1&lt;&gt;"","",F39)</f>
        <v/>
      </c>
      <c r="E40" s="86" t="str">
        <f aca="false">IF(Need_1&lt;&gt;"","",IF(Withdrawal_Timing="Start of year",IF(D40&gt;=C40,1,0),IF(D40*(1+Growth_Rate)&gt;=C40,1,0)))</f>
        <v/>
      </c>
      <c r="F40" s="87" t="str">
        <f aca="false">IF(Need_1&lt;&gt;"","",IF(E40=1,IF(Withdrawal_Timing="Start of year",(D40-C40)*(1+Growth_Rate),D40*(1+Growth_Rate)-C40),0))</f>
        <v/>
      </c>
    </row>
    <row r="41" customFormat="false" ht="15" hidden="false" customHeight="true" outlineLevel="0" collapsed="false">
      <c r="B41" s="86" t="n">
        <v>9</v>
      </c>
      <c r="C41" s="87" t="str">
        <f aca="false">IF(Need_1&lt;&gt;"","",C40*(1+Inflation_Choice))</f>
        <v/>
      </c>
      <c r="D41" s="87" t="str">
        <f aca="false">IF(Need_1&lt;&gt;"","",F40)</f>
        <v/>
      </c>
      <c r="E41" s="86" t="str">
        <f aca="false">IF(Need_1&lt;&gt;"","",IF(Withdrawal_Timing="Start of year",IF(D41&gt;=C41,1,0),IF(D41*(1+Growth_Rate)&gt;=C41,1,0)))</f>
        <v/>
      </c>
      <c r="F41" s="87" t="str">
        <f aca="false">IF(Need_1&lt;&gt;"","",IF(E41=1,IF(Withdrawal_Timing="Start of year",(D41-C41)*(1+Growth_Rate),D41*(1+Growth_Rate)-C41),0))</f>
        <v/>
      </c>
    </row>
    <row r="42" customFormat="false" ht="15" hidden="false" customHeight="true" outlineLevel="0" collapsed="false">
      <c r="B42" s="86" t="n">
        <v>10</v>
      </c>
      <c r="C42" s="87" t="str">
        <f aca="false">IF(Need_1&lt;&gt;"","",C41*(1+Inflation_Choice))</f>
        <v/>
      </c>
      <c r="D42" s="87" t="str">
        <f aca="false">IF(Need_1&lt;&gt;"","",F41)</f>
        <v/>
      </c>
      <c r="E42" s="86" t="str">
        <f aca="false">IF(Need_1&lt;&gt;"","",IF(Withdrawal_Timing="Start of year",IF(D42&gt;=C42,1,0),IF(D42*(1+Growth_Rate)&gt;=C42,1,0)))</f>
        <v/>
      </c>
      <c r="F42" s="87" t="str">
        <f aca="false">IF(Need_1&lt;&gt;"","",IF(E42=1,IF(Withdrawal_Timing="Start of year",(D42-C42)*(1+Growth_Rate),D42*(1+Growth_Rate)-C42),0))</f>
        <v/>
      </c>
    </row>
    <row r="43" customFormat="false" ht="15" hidden="false" customHeight="true" outlineLevel="0" collapsed="false">
      <c r="B43" s="86" t="n">
        <v>11</v>
      </c>
      <c r="C43" s="87" t="str">
        <f aca="false">IF(Need_1&lt;&gt;"","",C42*(1+Inflation_Choice))</f>
        <v/>
      </c>
      <c r="D43" s="87" t="str">
        <f aca="false">IF(Need_1&lt;&gt;"","",F42)</f>
        <v/>
      </c>
      <c r="E43" s="86" t="str">
        <f aca="false">IF(Need_1&lt;&gt;"","",IF(Withdrawal_Timing="Start of year",IF(D43&gt;=C43,1,0),IF(D43*(1+Growth_Rate)&gt;=C43,1,0)))</f>
        <v/>
      </c>
      <c r="F43" s="87" t="str">
        <f aca="false">IF(Need_1&lt;&gt;"","",IF(E43=1,IF(Withdrawal_Timing="Start of year",(D43-C43)*(1+Growth_Rate),D43*(1+Growth_Rate)-C43),0))</f>
        <v/>
      </c>
    </row>
    <row r="44" customFormat="false" ht="15" hidden="false" customHeight="true" outlineLevel="0" collapsed="false">
      <c r="B44" s="86" t="n">
        <v>12</v>
      </c>
      <c r="C44" s="87" t="str">
        <f aca="false">IF(Need_1&lt;&gt;"","",C43*(1+Inflation_Choice))</f>
        <v/>
      </c>
      <c r="D44" s="87" t="str">
        <f aca="false">IF(Need_1&lt;&gt;"","",F43)</f>
        <v/>
      </c>
      <c r="E44" s="86" t="str">
        <f aca="false">IF(Need_1&lt;&gt;"","",IF(Withdrawal_Timing="Start of year",IF(D44&gt;=C44,1,0),IF(D44*(1+Growth_Rate)&gt;=C44,1,0)))</f>
        <v/>
      </c>
      <c r="F44" s="87" t="str">
        <f aca="false">IF(Need_1&lt;&gt;"","",IF(E44=1,IF(Withdrawal_Timing="Start of year",(D44-C44)*(1+Growth_Rate),D44*(1+Growth_Rate)-C44),0))</f>
        <v/>
      </c>
    </row>
    <row r="45" customFormat="false" ht="15" hidden="false" customHeight="true" outlineLevel="0" collapsed="false">
      <c r="B45" s="86" t="n">
        <v>13</v>
      </c>
      <c r="C45" s="87" t="str">
        <f aca="false">IF(Need_1&lt;&gt;"","",C44*(1+Inflation_Choice))</f>
        <v/>
      </c>
      <c r="D45" s="87" t="str">
        <f aca="false">IF(Need_1&lt;&gt;"","",F44)</f>
        <v/>
      </c>
      <c r="E45" s="86" t="str">
        <f aca="false">IF(Need_1&lt;&gt;"","",IF(Withdrawal_Timing="Start of year",IF(D45&gt;=C45,1,0),IF(D45*(1+Growth_Rate)&gt;=C45,1,0)))</f>
        <v/>
      </c>
      <c r="F45" s="87" t="str">
        <f aca="false">IF(Need_1&lt;&gt;"","",IF(E45=1,IF(Withdrawal_Timing="Start of year",(D45-C45)*(1+Growth_Rate),D45*(1+Growth_Rate)-C45),0))</f>
        <v/>
      </c>
    </row>
    <row r="46" customFormat="false" ht="15" hidden="false" customHeight="true" outlineLevel="0" collapsed="false">
      <c r="B46" s="86" t="n">
        <v>14</v>
      </c>
      <c r="C46" s="87" t="str">
        <f aca="false">IF(Need_1&lt;&gt;"","",C45*(1+Inflation_Choice))</f>
        <v/>
      </c>
      <c r="D46" s="87" t="str">
        <f aca="false">IF(Need_1&lt;&gt;"","",F45)</f>
        <v/>
      </c>
      <c r="E46" s="86" t="str">
        <f aca="false">IF(Need_1&lt;&gt;"","",IF(Withdrawal_Timing="Start of year",IF(D46&gt;=C46,1,0),IF(D46*(1+Growth_Rate)&gt;=C46,1,0)))</f>
        <v/>
      </c>
      <c r="F46" s="87" t="str">
        <f aca="false">IF(Need_1&lt;&gt;"","",IF(E46=1,IF(Withdrawal_Timing="Start of year",(D46-C46)*(1+Growth_Rate),D46*(1+Growth_Rate)-C46),0))</f>
        <v/>
      </c>
    </row>
    <row r="47" customFormat="false" ht="15" hidden="false" customHeight="true" outlineLevel="0" collapsed="false">
      <c r="B47" s="86" t="n">
        <v>15</v>
      </c>
      <c r="C47" s="87" t="str">
        <f aca="false">IF(Need_1&lt;&gt;"","",C46*(1+Inflation_Choice))</f>
        <v/>
      </c>
      <c r="D47" s="87" t="str">
        <f aca="false">IF(Need_1&lt;&gt;"","",F46)</f>
        <v/>
      </c>
      <c r="E47" s="86" t="str">
        <f aca="false">IF(Need_1&lt;&gt;"","",IF(Withdrawal_Timing="Start of year",IF(D47&gt;=C47,1,0),IF(D47*(1+Growth_Rate)&gt;=C47,1,0)))</f>
        <v/>
      </c>
      <c r="F47" s="87" t="str">
        <f aca="false">IF(Need_1&lt;&gt;"","",IF(E47=1,IF(Withdrawal_Timing="Start of year",(D47-C47)*(1+Growth_Rate),D47*(1+Growth_Rate)-C47),0))</f>
        <v/>
      </c>
    </row>
    <row r="48" customFormat="false" ht="15" hidden="false" customHeight="true" outlineLevel="0" collapsed="false">
      <c r="B48" s="86" t="n">
        <v>16</v>
      </c>
      <c r="C48" s="87" t="str">
        <f aca="false">IF(Need_1&lt;&gt;"","",C47*(1+Inflation_Choice))</f>
        <v/>
      </c>
      <c r="D48" s="87" t="str">
        <f aca="false">IF(Need_1&lt;&gt;"","",F47)</f>
        <v/>
      </c>
      <c r="E48" s="86" t="str">
        <f aca="false">IF(Need_1&lt;&gt;"","",IF(Withdrawal_Timing="Start of year",IF(D48&gt;=C48,1,0),IF(D48*(1+Growth_Rate)&gt;=C48,1,0)))</f>
        <v/>
      </c>
      <c r="F48" s="87" t="str">
        <f aca="false">IF(Need_1&lt;&gt;"","",IF(E48=1,IF(Withdrawal_Timing="Start of year",(D48-C48)*(1+Growth_Rate),D48*(1+Growth_Rate)-C48),0))</f>
        <v/>
      </c>
    </row>
    <row r="49" customFormat="false" ht="15" hidden="false" customHeight="true" outlineLevel="0" collapsed="false">
      <c r="B49" s="86" t="n">
        <v>17</v>
      </c>
      <c r="C49" s="87" t="str">
        <f aca="false">IF(Need_1&lt;&gt;"","",C48*(1+Inflation_Choice))</f>
        <v/>
      </c>
      <c r="D49" s="87" t="str">
        <f aca="false">IF(Need_1&lt;&gt;"","",F48)</f>
        <v/>
      </c>
      <c r="E49" s="86" t="str">
        <f aca="false">IF(Need_1&lt;&gt;"","",IF(Withdrawal_Timing="Start of year",IF(D49&gt;=C49,1,0),IF(D49*(1+Growth_Rate)&gt;=C49,1,0)))</f>
        <v/>
      </c>
      <c r="F49" s="87" t="str">
        <f aca="false">IF(Need_1&lt;&gt;"","",IF(E49=1,IF(Withdrawal_Timing="Start of year",(D49-C49)*(1+Growth_Rate),D49*(1+Growth_Rate)-C49),0))</f>
        <v/>
      </c>
    </row>
    <row r="50" customFormat="false" ht="15" hidden="false" customHeight="true" outlineLevel="0" collapsed="false">
      <c r="B50" s="86" t="n">
        <v>18</v>
      </c>
      <c r="C50" s="87" t="str">
        <f aca="false">IF(Need_1&lt;&gt;"","",C49*(1+Inflation_Choice))</f>
        <v/>
      </c>
      <c r="D50" s="87" t="str">
        <f aca="false">IF(Need_1&lt;&gt;"","",F49)</f>
        <v/>
      </c>
      <c r="E50" s="86" t="str">
        <f aca="false">IF(Need_1&lt;&gt;"","",IF(Withdrawal_Timing="Start of year",IF(D50&gt;=C50,1,0),IF(D50*(1+Growth_Rate)&gt;=C50,1,0)))</f>
        <v/>
      </c>
      <c r="F50" s="87" t="str">
        <f aca="false">IF(Need_1&lt;&gt;"","",IF(E50=1,IF(Withdrawal_Timing="Start of year",(D50-C50)*(1+Growth_Rate),D50*(1+Growth_Rate)-C50),0))</f>
        <v/>
      </c>
    </row>
    <row r="51" customFormat="false" ht="15" hidden="false" customHeight="true" outlineLevel="0" collapsed="false">
      <c r="B51" s="86" t="n">
        <v>19</v>
      </c>
      <c r="C51" s="87" t="str">
        <f aca="false">IF(Need_1&lt;&gt;"","",C50*(1+Inflation_Choice))</f>
        <v/>
      </c>
      <c r="D51" s="87" t="str">
        <f aca="false">IF(Need_1&lt;&gt;"","",F50)</f>
        <v/>
      </c>
      <c r="E51" s="86" t="str">
        <f aca="false">IF(Need_1&lt;&gt;"","",IF(Withdrawal_Timing="Start of year",IF(D51&gt;=C51,1,0),IF(D51*(1+Growth_Rate)&gt;=C51,1,0)))</f>
        <v/>
      </c>
      <c r="F51" s="87" t="str">
        <f aca="false">IF(Need_1&lt;&gt;"","",IF(E51=1,IF(Withdrawal_Timing="Start of year",(D51-C51)*(1+Growth_Rate),D51*(1+Growth_Rate)-C51),0))</f>
        <v/>
      </c>
    </row>
    <row r="52" customFormat="false" ht="15" hidden="false" customHeight="true" outlineLevel="0" collapsed="false">
      <c r="B52" s="86" t="n">
        <v>20</v>
      </c>
      <c r="C52" s="87" t="str">
        <f aca="false">IF(Need_1&lt;&gt;"","",C51*(1+Inflation_Choice))</f>
        <v/>
      </c>
      <c r="D52" s="87" t="str">
        <f aca="false">IF(Need_1&lt;&gt;"","",F51)</f>
        <v/>
      </c>
      <c r="E52" s="86" t="str">
        <f aca="false">IF(Need_1&lt;&gt;"","",IF(Withdrawal_Timing="Start of year",IF(D52&gt;=C52,1,0),IF(D52*(1+Growth_Rate)&gt;=C52,1,0)))</f>
        <v/>
      </c>
      <c r="F52" s="87" t="str">
        <f aca="false">IF(Need_1&lt;&gt;"","",IF(E52=1,IF(Withdrawal_Timing="Start of year",(D52-C52)*(1+Growth_Rate),D52*(1+Growth_Rate)-C52),0))</f>
        <v/>
      </c>
    </row>
    <row r="53" customFormat="false" ht="15" hidden="false" customHeight="true" outlineLevel="0" collapsed="false">
      <c r="B53" s="86" t="n">
        <v>21</v>
      </c>
      <c r="C53" s="87" t="str">
        <f aca="false">IF(Need_1&lt;&gt;"","",C52*(1+Inflation_Choice))</f>
        <v/>
      </c>
      <c r="D53" s="87" t="str">
        <f aca="false">IF(Need_1&lt;&gt;"","",F52)</f>
        <v/>
      </c>
      <c r="E53" s="86" t="str">
        <f aca="false">IF(Need_1&lt;&gt;"","",IF(Withdrawal_Timing="Start of year",IF(D53&gt;=C53,1,0),IF(D53*(1+Growth_Rate)&gt;=C53,1,0)))</f>
        <v/>
      </c>
      <c r="F53" s="87" t="str">
        <f aca="false">IF(Need_1&lt;&gt;"","",IF(E53=1,IF(Withdrawal_Timing="Start of year",(D53-C53)*(1+Growth_Rate),D53*(1+Growth_Rate)-C53),0))</f>
        <v/>
      </c>
    </row>
    <row r="54" customFormat="false" ht="15" hidden="false" customHeight="true" outlineLevel="0" collapsed="false">
      <c r="B54" s="86" t="n">
        <v>22</v>
      </c>
      <c r="C54" s="87" t="str">
        <f aca="false">IF(Need_1&lt;&gt;"","",C53*(1+Inflation_Choice))</f>
        <v/>
      </c>
      <c r="D54" s="87" t="str">
        <f aca="false">IF(Need_1&lt;&gt;"","",F53)</f>
        <v/>
      </c>
      <c r="E54" s="86" t="str">
        <f aca="false">IF(Need_1&lt;&gt;"","",IF(Withdrawal_Timing="Start of year",IF(D54&gt;=C54,1,0),IF(D54*(1+Growth_Rate)&gt;=C54,1,0)))</f>
        <v/>
      </c>
      <c r="F54" s="87" t="str">
        <f aca="false">IF(Need_1&lt;&gt;"","",IF(E54=1,IF(Withdrawal_Timing="Start of year",(D54-C54)*(1+Growth_Rate),D54*(1+Growth_Rate)-C54),0))</f>
        <v/>
      </c>
    </row>
    <row r="55" customFormat="false" ht="15" hidden="false" customHeight="true" outlineLevel="0" collapsed="false">
      <c r="B55" s="86" t="n">
        <v>23</v>
      </c>
      <c r="C55" s="87" t="str">
        <f aca="false">IF(Need_1&lt;&gt;"","",C54*(1+Inflation_Choice))</f>
        <v/>
      </c>
      <c r="D55" s="87" t="str">
        <f aca="false">IF(Need_1&lt;&gt;"","",F54)</f>
        <v/>
      </c>
      <c r="E55" s="86" t="str">
        <f aca="false">IF(Need_1&lt;&gt;"","",IF(Withdrawal_Timing="Start of year",IF(D55&gt;=C55,1,0),IF(D55*(1+Growth_Rate)&gt;=C55,1,0)))</f>
        <v/>
      </c>
      <c r="F55" s="87" t="str">
        <f aca="false">IF(Need_1&lt;&gt;"","",IF(E55=1,IF(Withdrawal_Timing="Start of year",(D55-C55)*(1+Growth_Rate),D55*(1+Growth_Rate)-C55),0))</f>
        <v/>
      </c>
    </row>
    <row r="56" customFormat="false" ht="15" hidden="false" customHeight="true" outlineLevel="0" collapsed="false">
      <c r="B56" s="86" t="n">
        <v>24</v>
      </c>
      <c r="C56" s="87" t="str">
        <f aca="false">IF(Need_1&lt;&gt;"","",C55*(1+Inflation_Choice))</f>
        <v/>
      </c>
      <c r="D56" s="87" t="str">
        <f aca="false">IF(Need_1&lt;&gt;"","",F55)</f>
        <v/>
      </c>
      <c r="E56" s="86" t="str">
        <f aca="false">IF(Need_1&lt;&gt;"","",IF(Withdrawal_Timing="Start of year",IF(D56&gt;=C56,1,0),IF(D56*(1+Growth_Rate)&gt;=C56,1,0)))</f>
        <v/>
      </c>
      <c r="F56" s="87" t="str">
        <f aca="false">IF(Need_1&lt;&gt;"","",IF(E56=1,IF(Withdrawal_Timing="Start of year",(D56-C56)*(1+Growth_Rate),D56*(1+Growth_Rate)-C56),0))</f>
        <v/>
      </c>
    </row>
    <row r="57" customFormat="false" ht="15" hidden="false" customHeight="true" outlineLevel="0" collapsed="false">
      <c r="B57" s="86" t="n">
        <v>25</v>
      </c>
      <c r="C57" s="87" t="str">
        <f aca="false">IF(Need_1&lt;&gt;"","",C56*(1+Inflation_Choice))</f>
        <v/>
      </c>
      <c r="D57" s="87" t="str">
        <f aca="false">IF(Need_1&lt;&gt;"","",F56)</f>
        <v/>
      </c>
      <c r="E57" s="86" t="str">
        <f aca="false">IF(Need_1&lt;&gt;"","",IF(Withdrawal_Timing="Start of year",IF(D57&gt;=C57,1,0),IF(D57*(1+Growth_Rate)&gt;=C57,1,0)))</f>
        <v/>
      </c>
      <c r="F57" s="87" t="str">
        <f aca="false">IF(Need_1&lt;&gt;"","",IF(E57=1,IF(Withdrawal_Timing="Start of year",(D57-C57)*(1+Growth_Rate),D57*(1+Growth_Rate)-C57),0))</f>
        <v/>
      </c>
    </row>
    <row r="58" customFormat="false" ht="15" hidden="false" customHeight="true" outlineLevel="0" collapsed="false">
      <c r="B58" s="86" t="n">
        <v>26</v>
      </c>
      <c r="C58" s="87" t="str">
        <f aca="false">IF(Need_1&lt;&gt;"","",C57*(1+Inflation_Choice))</f>
        <v/>
      </c>
      <c r="D58" s="87" t="str">
        <f aca="false">IF(Need_1&lt;&gt;"","",F57)</f>
        <v/>
      </c>
      <c r="E58" s="86" t="str">
        <f aca="false">IF(Need_1&lt;&gt;"","",IF(Withdrawal_Timing="Start of year",IF(D58&gt;=C58,1,0),IF(D58*(1+Growth_Rate)&gt;=C58,1,0)))</f>
        <v/>
      </c>
      <c r="F58" s="87" t="str">
        <f aca="false">IF(Need_1&lt;&gt;"","",IF(E58=1,IF(Withdrawal_Timing="Start of year",(D58-C58)*(1+Growth_Rate),D58*(1+Growth_Rate)-C58),0))</f>
        <v/>
      </c>
    </row>
    <row r="59" customFormat="false" ht="15" hidden="false" customHeight="true" outlineLevel="0" collapsed="false">
      <c r="B59" s="86" t="n">
        <v>27</v>
      </c>
      <c r="C59" s="87" t="str">
        <f aca="false">IF(Need_1&lt;&gt;"","",C58*(1+Inflation_Choice))</f>
        <v/>
      </c>
      <c r="D59" s="87" t="str">
        <f aca="false">IF(Need_1&lt;&gt;"","",F58)</f>
        <v/>
      </c>
      <c r="E59" s="86" t="str">
        <f aca="false">IF(Need_1&lt;&gt;"","",IF(Withdrawal_Timing="Start of year",IF(D59&gt;=C59,1,0),IF(D59*(1+Growth_Rate)&gt;=C59,1,0)))</f>
        <v/>
      </c>
      <c r="F59" s="87" t="str">
        <f aca="false">IF(Need_1&lt;&gt;"","",IF(E59=1,IF(Withdrawal_Timing="Start of year",(D59-C59)*(1+Growth_Rate),D59*(1+Growth_Rate)-C59),0))</f>
        <v/>
      </c>
    </row>
    <row r="60" customFormat="false" ht="15" hidden="false" customHeight="true" outlineLevel="0" collapsed="false">
      <c r="B60" s="86" t="n">
        <v>28</v>
      </c>
      <c r="C60" s="87" t="str">
        <f aca="false">IF(Need_1&lt;&gt;"","",C59*(1+Inflation_Choice))</f>
        <v/>
      </c>
      <c r="D60" s="87" t="str">
        <f aca="false">IF(Need_1&lt;&gt;"","",F59)</f>
        <v/>
      </c>
      <c r="E60" s="86" t="str">
        <f aca="false">IF(Need_1&lt;&gt;"","",IF(Withdrawal_Timing="Start of year",IF(D60&gt;=C60,1,0),IF(D60*(1+Growth_Rate)&gt;=C60,1,0)))</f>
        <v/>
      </c>
      <c r="F60" s="87" t="str">
        <f aca="false">IF(Need_1&lt;&gt;"","",IF(E60=1,IF(Withdrawal_Timing="Start of year",(D60-C60)*(1+Growth_Rate),D60*(1+Growth_Rate)-C60),0))</f>
        <v/>
      </c>
    </row>
    <row r="61" customFormat="false" ht="15" hidden="false" customHeight="true" outlineLevel="0" collapsed="false">
      <c r="B61" s="86" t="n">
        <v>29</v>
      </c>
      <c r="C61" s="87" t="str">
        <f aca="false">IF(Need_1&lt;&gt;"","",C60*(1+Inflation_Choice))</f>
        <v/>
      </c>
      <c r="D61" s="87" t="str">
        <f aca="false">IF(Need_1&lt;&gt;"","",F60)</f>
        <v/>
      </c>
      <c r="E61" s="86" t="str">
        <f aca="false">IF(Need_1&lt;&gt;"","",IF(Withdrawal_Timing="Start of year",IF(D61&gt;=C61,1,0),IF(D61*(1+Growth_Rate)&gt;=C61,1,0)))</f>
        <v/>
      </c>
      <c r="F61" s="87" t="str">
        <f aca="false">IF(Need_1&lt;&gt;"","",IF(E61=1,IF(Withdrawal_Timing="Start of year",(D61-C61)*(1+Growth_Rate),D61*(1+Growth_Rate)-C61),0))</f>
        <v/>
      </c>
    </row>
    <row r="62" customFormat="false" ht="15" hidden="false" customHeight="true" outlineLevel="0" collapsed="false">
      <c r="B62" s="86" t="n">
        <v>30</v>
      </c>
      <c r="C62" s="87" t="str">
        <f aca="false">IF(Need_1&lt;&gt;"","",C61*(1+Inflation_Choice))</f>
        <v/>
      </c>
      <c r="D62" s="87" t="str">
        <f aca="false">IF(Need_1&lt;&gt;"","",F61)</f>
        <v/>
      </c>
      <c r="E62" s="86" t="str">
        <f aca="false">IF(Need_1&lt;&gt;"","",IF(Withdrawal_Timing="Start of year",IF(D62&gt;=C62,1,0),IF(D62*(1+Growth_Rate)&gt;=C62,1,0)))</f>
        <v/>
      </c>
      <c r="F62" s="87" t="str">
        <f aca="false">IF(Need_1&lt;&gt;"","",IF(E62=1,IF(Withdrawal_Timing="Start of year",(D62-C62)*(1+Growth_Rate),D62*(1+Growth_Rate)-C62),0))</f>
        <v/>
      </c>
    </row>
    <row r="63" customFormat="false" ht="15" hidden="false" customHeight="true" outlineLevel="0" collapsed="false">
      <c r="B63" s="86" t="n">
        <v>31</v>
      </c>
      <c r="C63" s="87" t="str">
        <f aca="false">IF(Need_1&lt;&gt;"","",C62*(1+Inflation_Choice))</f>
        <v/>
      </c>
      <c r="D63" s="87" t="str">
        <f aca="false">IF(Need_1&lt;&gt;"","",F62)</f>
        <v/>
      </c>
      <c r="E63" s="86" t="str">
        <f aca="false">IF(Need_1&lt;&gt;"","",IF(Withdrawal_Timing="Start of year",IF(D63&gt;=C63,1,0),IF(D63*(1+Growth_Rate)&gt;=C63,1,0)))</f>
        <v/>
      </c>
      <c r="F63" s="87" t="str">
        <f aca="false">IF(Need_1&lt;&gt;"","",IF(E63=1,IF(Withdrawal_Timing="Start of year",(D63-C63)*(1+Growth_Rate),D63*(1+Growth_Rate)-C63),0))</f>
        <v/>
      </c>
    </row>
    <row r="64" customFormat="false" ht="15" hidden="false" customHeight="true" outlineLevel="0" collapsed="false">
      <c r="B64" s="86" t="n">
        <v>32</v>
      </c>
      <c r="C64" s="87" t="str">
        <f aca="false">IF(Need_1&lt;&gt;"","",C63*(1+Inflation_Choice))</f>
        <v/>
      </c>
      <c r="D64" s="87" t="str">
        <f aca="false">IF(Need_1&lt;&gt;"","",F63)</f>
        <v/>
      </c>
      <c r="E64" s="86" t="str">
        <f aca="false">IF(Need_1&lt;&gt;"","",IF(Withdrawal_Timing="Start of year",IF(D64&gt;=C64,1,0),IF(D64*(1+Growth_Rate)&gt;=C64,1,0)))</f>
        <v/>
      </c>
      <c r="F64" s="87" t="str">
        <f aca="false">IF(Need_1&lt;&gt;"","",IF(E64=1,IF(Withdrawal_Timing="Start of year",(D64-C64)*(1+Growth_Rate),D64*(1+Growth_Rate)-C64),0))</f>
        <v/>
      </c>
    </row>
    <row r="65" customFormat="false" ht="15" hidden="false" customHeight="true" outlineLevel="0" collapsed="false">
      <c r="B65" s="86" t="n">
        <v>33</v>
      </c>
      <c r="C65" s="87" t="str">
        <f aca="false">IF(Need_1&lt;&gt;"","",C64*(1+Inflation_Choice))</f>
        <v/>
      </c>
      <c r="D65" s="87" t="str">
        <f aca="false">IF(Need_1&lt;&gt;"","",F64)</f>
        <v/>
      </c>
      <c r="E65" s="86" t="str">
        <f aca="false">IF(Need_1&lt;&gt;"","",IF(Withdrawal_Timing="Start of year",IF(D65&gt;=C65,1,0),IF(D65*(1+Growth_Rate)&gt;=C65,1,0)))</f>
        <v/>
      </c>
      <c r="F65" s="87" t="str">
        <f aca="false">IF(Need_1&lt;&gt;"","",IF(E65=1,IF(Withdrawal_Timing="Start of year",(D65-C65)*(1+Growth_Rate),D65*(1+Growth_Rate)-C65),0))</f>
        <v/>
      </c>
    </row>
    <row r="66" customFormat="false" ht="15" hidden="false" customHeight="true" outlineLevel="0" collapsed="false">
      <c r="B66" s="86" t="n">
        <v>34</v>
      </c>
      <c r="C66" s="87" t="str">
        <f aca="false">IF(Need_1&lt;&gt;"","",C65*(1+Inflation_Choice))</f>
        <v/>
      </c>
      <c r="D66" s="87" t="str">
        <f aca="false">IF(Need_1&lt;&gt;"","",F65)</f>
        <v/>
      </c>
      <c r="E66" s="86" t="str">
        <f aca="false">IF(Need_1&lt;&gt;"","",IF(Withdrawal_Timing="Start of year",IF(D66&gt;=C66,1,0),IF(D66*(1+Growth_Rate)&gt;=C66,1,0)))</f>
        <v/>
      </c>
      <c r="F66" s="87" t="str">
        <f aca="false">IF(Need_1&lt;&gt;"","",IF(E66=1,IF(Withdrawal_Timing="Start of year",(D66-C66)*(1+Growth_Rate),D66*(1+Growth_Rate)-C66),0))</f>
        <v/>
      </c>
    </row>
    <row r="67" customFormat="false" ht="15" hidden="false" customHeight="true" outlineLevel="0" collapsed="false">
      <c r="B67" s="86" t="n">
        <v>35</v>
      </c>
      <c r="C67" s="87" t="str">
        <f aca="false">IF(Need_1&lt;&gt;"","",C66*(1+Inflation_Choice))</f>
        <v/>
      </c>
      <c r="D67" s="87" t="str">
        <f aca="false">IF(Need_1&lt;&gt;"","",F66)</f>
        <v/>
      </c>
      <c r="E67" s="86" t="str">
        <f aca="false">IF(Need_1&lt;&gt;"","",IF(Withdrawal_Timing="Start of year",IF(D67&gt;=C67,1,0),IF(D67*(1+Growth_Rate)&gt;=C67,1,0)))</f>
        <v/>
      </c>
      <c r="F67" s="87" t="str">
        <f aca="false">IF(Need_1&lt;&gt;"","",IF(E67=1,IF(Withdrawal_Timing="Start of year",(D67-C67)*(1+Growth_Rate),D67*(1+Growth_Rate)-C67),0))</f>
        <v/>
      </c>
    </row>
    <row r="68" customFormat="false" ht="15" hidden="false" customHeight="true" outlineLevel="0" collapsed="false">
      <c r="B68" s="86" t="n">
        <v>36</v>
      </c>
      <c r="C68" s="87" t="str">
        <f aca="false">IF(Need_1&lt;&gt;"","",C67*(1+Inflation_Choice))</f>
        <v/>
      </c>
      <c r="D68" s="87" t="str">
        <f aca="false">IF(Need_1&lt;&gt;"","",F67)</f>
        <v/>
      </c>
      <c r="E68" s="86" t="str">
        <f aca="false">IF(Need_1&lt;&gt;"","",IF(Withdrawal_Timing="Start of year",IF(D68&gt;=C68,1,0),IF(D68*(1+Growth_Rate)&gt;=C68,1,0)))</f>
        <v/>
      </c>
      <c r="F68" s="87" t="str">
        <f aca="false">IF(Need_1&lt;&gt;"","",IF(E68=1,IF(Withdrawal_Timing="Start of year",(D68-C68)*(1+Growth_Rate),D68*(1+Growth_Rate)-C68),0))</f>
        <v/>
      </c>
    </row>
    <row r="69" customFormat="false" ht="15" hidden="false" customHeight="true" outlineLevel="0" collapsed="false">
      <c r="B69" s="86" t="n">
        <v>37</v>
      </c>
      <c r="C69" s="87" t="str">
        <f aca="false">IF(Need_1&lt;&gt;"","",C68*(1+Inflation_Choice))</f>
        <v/>
      </c>
      <c r="D69" s="87" t="str">
        <f aca="false">IF(Need_1&lt;&gt;"","",F68)</f>
        <v/>
      </c>
      <c r="E69" s="86" t="str">
        <f aca="false">IF(Need_1&lt;&gt;"","",IF(Withdrawal_Timing="Start of year",IF(D69&gt;=C69,1,0),IF(D69*(1+Growth_Rate)&gt;=C69,1,0)))</f>
        <v/>
      </c>
      <c r="F69" s="87" t="str">
        <f aca="false">IF(Need_1&lt;&gt;"","",IF(E69=1,IF(Withdrawal_Timing="Start of year",(D69-C69)*(1+Growth_Rate),D69*(1+Growth_Rate)-C69),0))</f>
        <v/>
      </c>
    </row>
    <row r="70" customFormat="false" ht="15" hidden="false" customHeight="true" outlineLevel="0" collapsed="false">
      <c r="B70" s="86" t="n">
        <v>38</v>
      </c>
      <c r="C70" s="87" t="str">
        <f aca="false">IF(Need_1&lt;&gt;"","",C69*(1+Inflation_Choice))</f>
        <v/>
      </c>
      <c r="D70" s="87" t="str">
        <f aca="false">IF(Need_1&lt;&gt;"","",F69)</f>
        <v/>
      </c>
      <c r="E70" s="86" t="str">
        <f aca="false">IF(Need_1&lt;&gt;"","",IF(Withdrawal_Timing="Start of year",IF(D70&gt;=C70,1,0),IF(D70*(1+Growth_Rate)&gt;=C70,1,0)))</f>
        <v/>
      </c>
      <c r="F70" s="87" t="str">
        <f aca="false">IF(Need_1&lt;&gt;"","",IF(E70=1,IF(Withdrawal_Timing="Start of year",(D70-C70)*(1+Growth_Rate),D70*(1+Growth_Rate)-C70),0))</f>
        <v/>
      </c>
    </row>
    <row r="71" customFormat="false" ht="15" hidden="false" customHeight="true" outlineLevel="0" collapsed="false">
      <c r="B71" s="86" t="n">
        <v>39</v>
      </c>
      <c r="C71" s="87" t="str">
        <f aca="false">IF(Need_1&lt;&gt;"","",C70*(1+Inflation_Choice))</f>
        <v/>
      </c>
      <c r="D71" s="87" t="str">
        <f aca="false">IF(Need_1&lt;&gt;"","",F70)</f>
        <v/>
      </c>
      <c r="E71" s="86" t="str">
        <f aca="false">IF(Need_1&lt;&gt;"","",IF(Withdrawal_Timing="Start of year",IF(D71&gt;=C71,1,0),IF(D71*(1+Growth_Rate)&gt;=C71,1,0)))</f>
        <v/>
      </c>
      <c r="F71" s="87" t="str">
        <f aca="false">IF(Need_1&lt;&gt;"","",IF(E71=1,IF(Withdrawal_Timing="Start of year",(D71-C71)*(1+Growth_Rate),D71*(1+Growth_Rate)-C71),0))</f>
        <v/>
      </c>
    </row>
    <row r="72" customFormat="false" ht="15" hidden="false" customHeight="true" outlineLevel="0" collapsed="false">
      <c r="B72" s="86" t="n">
        <v>40</v>
      </c>
      <c r="C72" s="87" t="str">
        <f aca="false">IF(Need_1&lt;&gt;"","",C71*(1+Inflation_Choice))</f>
        <v/>
      </c>
      <c r="D72" s="87" t="str">
        <f aca="false">IF(Need_1&lt;&gt;"","",F71)</f>
        <v/>
      </c>
      <c r="E72" s="86" t="str">
        <f aca="false">IF(Need_1&lt;&gt;"","",IF(Withdrawal_Timing="Start of year",IF(D72&gt;=C72,1,0),IF(D72*(1+Growth_Rate)&gt;=C72,1,0)))</f>
        <v/>
      </c>
      <c r="F72" s="87" t="str">
        <f aca="false">IF(Need_1&lt;&gt;"","",IF(E72=1,IF(Withdrawal_Timing="Start of year",(D72-C72)*(1+Growth_Rate),D72*(1+Growth_Rate)-C72),0))</f>
        <v/>
      </c>
    </row>
    <row r="73" customFormat="false" ht="15" hidden="false" customHeight="true" outlineLevel="0" collapsed="false">
      <c r="B73" s="86" t="n">
        <v>41</v>
      </c>
      <c r="C73" s="87" t="str">
        <f aca="false">IF(Need_1&lt;&gt;"","",C72*(1+Inflation_Choice))</f>
        <v/>
      </c>
      <c r="D73" s="87" t="str">
        <f aca="false">IF(Need_1&lt;&gt;"","",F72)</f>
        <v/>
      </c>
      <c r="E73" s="86" t="str">
        <f aca="false">IF(Need_1&lt;&gt;"","",IF(Withdrawal_Timing="Start of year",IF(D73&gt;=C73,1,0),IF(D73*(1+Growth_Rate)&gt;=C73,1,0)))</f>
        <v/>
      </c>
      <c r="F73" s="87" t="str">
        <f aca="false">IF(Need_1&lt;&gt;"","",IF(E73=1,IF(Withdrawal_Timing="Start of year",(D73-C73)*(1+Growth_Rate),D73*(1+Growth_Rate)-C73),0))</f>
        <v/>
      </c>
    </row>
    <row r="74" customFormat="false" ht="15" hidden="false" customHeight="true" outlineLevel="0" collapsed="false">
      <c r="B74" s="86" t="n">
        <v>42</v>
      </c>
      <c r="C74" s="87" t="str">
        <f aca="false">IF(Need_1&lt;&gt;"","",C73*(1+Inflation_Choice))</f>
        <v/>
      </c>
      <c r="D74" s="87" t="str">
        <f aca="false">IF(Need_1&lt;&gt;"","",F73)</f>
        <v/>
      </c>
      <c r="E74" s="86" t="str">
        <f aca="false">IF(Need_1&lt;&gt;"","",IF(Withdrawal_Timing="Start of year",IF(D74&gt;=C74,1,0),IF(D74*(1+Growth_Rate)&gt;=C74,1,0)))</f>
        <v/>
      </c>
      <c r="F74" s="87" t="str">
        <f aca="false">IF(Need_1&lt;&gt;"","",IF(E74=1,IF(Withdrawal_Timing="Start of year",(D74-C74)*(1+Growth_Rate),D74*(1+Growth_Rate)-C74),0))</f>
        <v/>
      </c>
    </row>
    <row r="75" customFormat="false" ht="15" hidden="false" customHeight="true" outlineLevel="0" collapsed="false">
      <c r="B75" s="86" t="n">
        <v>43</v>
      </c>
      <c r="C75" s="87" t="str">
        <f aca="false">IF(Need_1&lt;&gt;"","",C74*(1+Inflation_Choice))</f>
        <v/>
      </c>
      <c r="D75" s="87" t="str">
        <f aca="false">IF(Need_1&lt;&gt;"","",F74)</f>
        <v/>
      </c>
      <c r="E75" s="86" t="str">
        <f aca="false">IF(Need_1&lt;&gt;"","",IF(Withdrawal_Timing="Start of year",IF(D75&gt;=C75,1,0),IF(D75*(1+Growth_Rate)&gt;=C75,1,0)))</f>
        <v/>
      </c>
      <c r="F75" s="87" t="str">
        <f aca="false">IF(Need_1&lt;&gt;"","",IF(E75=1,IF(Withdrawal_Timing="Start of year",(D75-C75)*(1+Growth_Rate),D75*(1+Growth_Rate)-C75),0))</f>
        <v/>
      </c>
    </row>
    <row r="76" customFormat="false" ht="15" hidden="false" customHeight="true" outlineLevel="0" collapsed="false">
      <c r="B76" s="86" t="n">
        <v>44</v>
      </c>
      <c r="C76" s="87" t="str">
        <f aca="false">IF(Need_1&lt;&gt;"","",C75*(1+Inflation_Choice))</f>
        <v/>
      </c>
      <c r="D76" s="87" t="str">
        <f aca="false">IF(Need_1&lt;&gt;"","",F75)</f>
        <v/>
      </c>
      <c r="E76" s="86" t="str">
        <f aca="false">IF(Need_1&lt;&gt;"","",IF(Withdrawal_Timing="Start of year",IF(D76&gt;=C76,1,0),IF(D76*(1+Growth_Rate)&gt;=C76,1,0)))</f>
        <v/>
      </c>
      <c r="F76" s="87" t="str">
        <f aca="false">IF(Need_1&lt;&gt;"","",IF(E76=1,IF(Withdrawal_Timing="Start of year",(D76-C76)*(1+Growth_Rate),D76*(1+Growth_Rate)-C76),0))</f>
        <v/>
      </c>
    </row>
    <row r="77" customFormat="false" ht="15" hidden="false" customHeight="true" outlineLevel="0" collapsed="false">
      <c r="B77" s="86" t="n">
        <v>45</v>
      </c>
      <c r="C77" s="87" t="str">
        <f aca="false">IF(Need_1&lt;&gt;"","",C76*(1+Inflation_Choice))</f>
        <v/>
      </c>
      <c r="D77" s="87" t="str">
        <f aca="false">IF(Need_1&lt;&gt;"","",F76)</f>
        <v/>
      </c>
      <c r="E77" s="86" t="str">
        <f aca="false">IF(Need_1&lt;&gt;"","",IF(Withdrawal_Timing="Start of year",IF(D77&gt;=C77,1,0),IF(D77*(1+Growth_Rate)&gt;=C77,1,0)))</f>
        <v/>
      </c>
      <c r="F77" s="87" t="str">
        <f aca="false">IF(Need_1&lt;&gt;"","",IF(E77=1,IF(Withdrawal_Timing="Start of year",(D77-C77)*(1+Growth_Rate),D77*(1+Growth_Rate)-C77),0))</f>
        <v/>
      </c>
    </row>
    <row r="78" customFormat="false" ht="15" hidden="false" customHeight="true" outlineLevel="0" collapsed="false">
      <c r="B78" s="86" t="n">
        <v>46</v>
      </c>
      <c r="C78" s="87" t="str">
        <f aca="false">IF(Need_1&lt;&gt;"","",C77*(1+Inflation_Choice))</f>
        <v/>
      </c>
      <c r="D78" s="87" t="str">
        <f aca="false">IF(Need_1&lt;&gt;"","",F77)</f>
        <v/>
      </c>
      <c r="E78" s="86" t="str">
        <f aca="false">IF(Need_1&lt;&gt;"","",IF(Withdrawal_Timing="Start of year",IF(D78&gt;=C78,1,0),IF(D78*(1+Growth_Rate)&gt;=C78,1,0)))</f>
        <v/>
      </c>
      <c r="F78" s="87" t="str">
        <f aca="false">IF(Need_1&lt;&gt;"","",IF(E78=1,IF(Withdrawal_Timing="Start of year",(D78-C78)*(1+Growth_Rate),D78*(1+Growth_Rate)-C78),0))</f>
        <v/>
      </c>
    </row>
    <row r="79" customFormat="false" ht="15" hidden="false" customHeight="true" outlineLevel="0" collapsed="false">
      <c r="B79" s="86" t="n">
        <v>47</v>
      </c>
      <c r="C79" s="87" t="str">
        <f aca="false">IF(Need_1&lt;&gt;"","",C78*(1+Inflation_Choice))</f>
        <v/>
      </c>
      <c r="D79" s="87" t="str">
        <f aca="false">IF(Need_1&lt;&gt;"","",F78)</f>
        <v/>
      </c>
      <c r="E79" s="86" t="str">
        <f aca="false">IF(Need_1&lt;&gt;"","",IF(Withdrawal_Timing="Start of year",IF(D79&gt;=C79,1,0),IF(D79*(1+Growth_Rate)&gt;=C79,1,0)))</f>
        <v/>
      </c>
      <c r="F79" s="87" t="str">
        <f aca="false">IF(Need_1&lt;&gt;"","",IF(E79=1,IF(Withdrawal_Timing="Start of year",(D79-C79)*(1+Growth_Rate),D79*(1+Growth_Rate)-C79),0))</f>
        <v/>
      </c>
    </row>
    <row r="80" customFormat="false" ht="15" hidden="false" customHeight="true" outlineLevel="0" collapsed="false">
      <c r="B80" s="86" t="n">
        <v>48</v>
      </c>
      <c r="C80" s="87" t="str">
        <f aca="false">IF(Need_1&lt;&gt;"","",C79*(1+Inflation_Choice))</f>
        <v/>
      </c>
      <c r="D80" s="87" t="str">
        <f aca="false">IF(Need_1&lt;&gt;"","",F79)</f>
        <v/>
      </c>
      <c r="E80" s="86" t="str">
        <f aca="false">IF(Need_1&lt;&gt;"","",IF(Withdrawal_Timing="Start of year",IF(D80&gt;=C80,1,0),IF(D80*(1+Growth_Rate)&gt;=C80,1,0)))</f>
        <v/>
      </c>
      <c r="F80" s="87" t="str">
        <f aca="false">IF(Need_1&lt;&gt;"","",IF(E80=1,IF(Withdrawal_Timing="Start of year",(D80-C80)*(1+Growth_Rate),D80*(1+Growth_Rate)-C80),0))</f>
        <v/>
      </c>
    </row>
    <row r="81" customFormat="false" ht="15" hidden="false" customHeight="true" outlineLevel="0" collapsed="false">
      <c r="B81" s="86" t="n">
        <v>49</v>
      </c>
      <c r="C81" s="87" t="str">
        <f aca="false">IF(Need_1&lt;&gt;"","",C80*(1+Inflation_Choice))</f>
        <v/>
      </c>
      <c r="D81" s="87" t="str">
        <f aca="false">IF(Need_1&lt;&gt;"","",F80)</f>
        <v/>
      </c>
      <c r="E81" s="86" t="str">
        <f aca="false">IF(Need_1&lt;&gt;"","",IF(Withdrawal_Timing="Start of year",IF(D81&gt;=C81,1,0),IF(D81*(1+Growth_Rate)&gt;=C81,1,0)))</f>
        <v/>
      </c>
      <c r="F81" s="87" t="str">
        <f aca="false">IF(Need_1&lt;&gt;"","",IF(E81=1,IF(Withdrawal_Timing="Start of year",(D81-C81)*(1+Growth_Rate),D81*(1+Growth_Rate)-C81),0))</f>
        <v/>
      </c>
    </row>
    <row r="82" customFormat="false" ht="15" hidden="false" customHeight="true" outlineLevel="0" collapsed="false">
      <c r="B82" s="86" t="n">
        <v>50</v>
      </c>
      <c r="C82" s="87" t="str">
        <f aca="false">IF(Need_1&lt;&gt;"","",C81*(1+Inflation_Choice))</f>
        <v/>
      </c>
      <c r="D82" s="87" t="str">
        <f aca="false">IF(Need_1&lt;&gt;"","",F81)</f>
        <v/>
      </c>
      <c r="E82" s="86" t="str">
        <f aca="false">IF(Need_1&lt;&gt;"","",IF(Withdrawal_Timing="Start of year",IF(D82&gt;=C82,1,0),IF(D82*(1+Growth_Rate)&gt;=C82,1,0)))</f>
        <v/>
      </c>
      <c r="F82" s="87" t="str">
        <f aca="false">IF(Need_1&lt;&gt;"","",IF(E82=1,IF(Withdrawal_Timing="Start of year",(D82-C82)*(1+Growth_Rate),D82*(1+Growth_Rate)-C82),0))</f>
        <v/>
      </c>
    </row>
    <row r="83" customFormat="false" ht="15" hidden="false" customHeight="true" outlineLevel="0" collapsed="false">
      <c r="B83" s="86" t="n">
        <v>51</v>
      </c>
      <c r="C83" s="87" t="str">
        <f aca="false">IF(Need_1&lt;&gt;"","",C82*(1+Inflation_Choice))</f>
        <v/>
      </c>
      <c r="D83" s="87" t="str">
        <f aca="false">IF(Need_1&lt;&gt;"","",F82)</f>
        <v/>
      </c>
      <c r="E83" s="86" t="str">
        <f aca="false">IF(Need_1&lt;&gt;"","",IF(Withdrawal_Timing="Start of year",IF(D83&gt;=C83,1,0),IF(D83*(1+Growth_Rate)&gt;=C83,1,0)))</f>
        <v/>
      </c>
      <c r="F83" s="87" t="str">
        <f aca="false">IF(Need_1&lt;&gt;"","",IF(E83=1,IF(Withdrawal_Timing="Start of year",(D83-C83)*(1+Growth_Rate),D83*(1+Growth_Rate)-C83),0))</f>
        <v/>
      </c>
    </row>
    <row r="84" customFormat="false" ht="15" hidden="false" customHeight="true" outlineLevel="0" collapsed="false">
      <c r="B84" s="86" t="n">
        <v>52</v>
      </c>
      <c r="C84" s="87" t="str">
        <f aca="false">IF(Need_1&lt;&gt;"","",C83*(1+Inflation_Choice))</f>
        <v/>
      </c>
      <c r="D84" s="87" t="str">
        <f aca="false">IF(Need_1&lt;&gt;"","",F83)</f>
        <v/>
      </c>
      <c r="E84" s="86" t="str">
        <f aca="false">IF(Need_1&lt;&gt;"","",IF(Withdrawal_Timing="Start of year",IF(D84&gt;=C84,1,0),IF(D84*(1+Growth_Rate)&gt;=C84,1,0)))</f>
        <v/>
      </c>
      <c r="F84" s="87" t="str">
        <f aca="false">IF(Need_1&lt;&gt;"","",IF(E84=1,IF(Withdrawal_Timing="Start of year",(D84-C84)*(1+Growth_Rate),D84*(1+Growth_Rate)-C84),0))</f>
        <v/>
      </c>
    </row>
    <row r="85" customFormat="false" ht="15" hidden="false" customHeight="true" outlineLevel="0" collapsed="false">
      <c r="B85" s="86" t="n">
        <v>53</v>
      </c>
      <c r="C85" s="87" t="str">
        <f aca="false">IF(Need_1&lt;&gt;"","",C84*(1+Inflation_Choice))</f>
        <v/>
      </c>
      <c r="D85" s="87" t="str">
        <f aca="false">IF(Need_1&lt;&gt;"","",F84)</f>
        <v/>
      </c>
      <c r="E85" s="86" t="str">
        <f aca="false">IF(Need_1&lt;&gt;"","",IF(Withdrawal_Timing="Start of year",IF(D85&gt;=C85,1,0),IF(D85*(1+Growth_Rate)&gt;=C85,1,0)))</f>
        <v/>
      </c>
      <c r="F85" s="87" t="str">
        <f aca="false">IF(Need_1&lt;&gt;"","",IF(E85=1,IF(Withdrawal_Timing="Start of year",(D85-C85)*(1+Growth_Rate),D85*(1+Growth_Rate)-C85),0))</f>
        <v/>
      </c>
    </row>
    <row r="86" customFormat="false" ht="15" hidden="false" customHeight="true" outlineLevel="0" collapsed="false">
      <c r="B86" s="86" t="n">
        <v>54</v>
      </c>
      <c r="C86" s="87" t="str">
        <f aca="false">IF(Need_1&lt;&gt;"","",C85*(1+Inflation_Choice))</f>
        <v/>
      </c>
      <c r="D86" s="87" t="str">
        <f aca="false">IF(Need_1&lt;&gt;"","",F85)</f>
        <v/>
      </c>
      <c r="E86" s="86" t="str">
        <f aca="false">IF(Need_1&lt;&gt;"","",IF(Withdrawal_Timing="Start of year",IF(D86&gt;=C86,1,0),IF(D86*(1+Growth_Rate)&gt;=C86,1,0)))</f>
        <v/>
      </c>
      <c r="F86" s="87" t="str">
        <f aca="false">IF(Need_1&lt;&gt;"","",IF(E86=1,IF(Withdrawal_Timing="Start of year",(D86-C86)*(1+Growth_Rate),D86*(1+Growth_Rate)-C86),0))</f>
        <v/>
      </c>
    </row>
    <row r="87" customFormat="false" ht="15" hidden="false" customHeight="true" outlineLevel="0" collapsed="false">
      <c r="B87" s="86" t="n">
        <v>55</v>
      </c>
      <c r="C87" s="87" t="str">
        <f aca="false">IF(Need_1&lt;&gt;"","",C86*(1+Inflation_Choice))</f>
        <v/>
      </c>
      <c r="D87" s="87" t="str">
        <f aca="false">IF(Need_1&lt;&gt;"","",F86)</f>
        <v/>
      </c>
      <c r="E87" s="86" t="str">
        <f aca="false">IF(Need_1&lt;&gt;"","",IF(Withdrawal_Timing="Start of year",IF(D87&gt;=C87,1,0),IF(D87*(1+Growth_Rate)&gt;=C87,1,0)))</f>
        <v/>
      </c>
      <c r="F87" s="87" t="str">
        <f aca="false">IF(Need_1&lt;&gt;"","",IF(E87=1,IF(Withdrawal_Timing="Start of year",(D87-C87)*(1+Growth_Rate),D87*(1+Growth_Rate)-C87),0))</f>
        <v/>
      </c>
    </row>
    <row r="88" customFormat="false" ht="15" hidden="false" customHeight="true" outlineLevel="0" collapsed="false">
      <c r="B88" s="86" t="n">
        <v>56</v>
      </c>
      <c r="C88" s="87" t="str">
        <f aca="false">IF(Need_1&lt;&gt;"","",C87*(1+Inflation_Choice))</f>
        <v/>
      </c>
      <c r="D88" s="87" t="str">
        <f aca="false">IF(Need_1&lt;&gt;"","",F87)</f>
        <v/>
      </c>
      <c r="E88" s="86" t="str">
        <f aca="false">IF(Need_1&lt;&gt;"","",IF(Withdrawal_Timing="Start of year",IF(D88&gt;=C88,1,0),IF(D88*(1+Growth_Rate)&gt;=C88,1,0)))</f>
        <v/>
      </c>
      <c r="F88" s="87" t="str">
        <f aca="false">IF(Need_1&lt;&gt;"","",IF(E88=1,IF(Withdrawal_Timing="Start of year",(D88-C88)*(1+Growth_Rate),D88*(1+Growth_Rate)-C88),0))</f>
        <v/>
      </c>
    </row>
    <row r="89" customFormat="false" ht="15" hidden="false" customHeight="true" outlineLevel="0" collapsed="false">
      <c r="B89" s="86" t="n">
        <v>57</v>
      </c>
      <c r="C89" s="87" t="str">
        <f aca="false">IF(Need_1&lt;&gt;"","",C88*(1+Inflation_Choice))</f>
        <v/>
      </c>
      <c r="D89" s="87" t="str">
        <f aca="false">IF(Need_1&lt;&gt;"","",F88)</f>
        <v/>
      </c>
      <c r="E89" s="86" t="str">
        <f aca="false">IF(Need_1&lt;&gt;"","",IF(Withdrawal_Timing="Start of year",IF(D89&gt;=C89,1,0),IF(D89*(1+Growth_Rate)&gt;=C89,1,0)))</f>
        <v/>
      </c>
      <c r="F89" s="87" t="str">
        <f aca="false">IF(Need_1&lt;&gt;"","",IF(E89=1,IF(Withdrawal_Timing="Start of year",(D89-C89)*(1+Growth_Rate),D89*(1+Growth_Rate)-C89),0))</f>
        <v/>
      </c>
    </row>
    <row r="90" customFormat="false" ht="15" hidden="false" customHeight="true" outlineLevel="0" collapsed="false">
      <c r="B90" s="86" t="n">
        <v>58</v>
      </c>
      <c r="C90" s="87" t="str">
        <f aca="false">IF(Need_1&lt;&gt;"","",C89*(1+Inflation_Choice))</f>
        <v/>
      </c>
      <c r="D90" s="87" t="str">
        <f aca="false">IF(Need_1&lt;&gt;"","",F89)</f>
        <v/>
      </c>
      <c r="E90" s="86" t="str">
        <f aca="false">IF(Need_1&lt;&gt;"","",IF(Withdrawal_Timing="Start of year",IF(D90&gt;=C90,1,0),IF(D90*(1+Growth_Rate)&gt;=C90,1,0)))</f>
        <v/>
      </c>
      <c r="F90" s="87" t="str">
        <f aca="false">IF(Need_1&lt;&gt;"","",IF(E90=1,IF(Withdrawal_Timing="Start of year",(D90-C90)*(1+Growth_Rate),D90*(1+Growth_Rate)-C90),0))</f>
        <v/>
      </c>
    </row>
    <row r="91" customFormat="false" ht="15" hidden="false" customHeight="true" outlineLevel="0" collapsed="false">
      <c r="B91" s="86" t="n">
        <v>59</v>
      </c>
      <c r="C91" s="87" t="str">
        <f aca="false">IF(Need_1&lt;&gt;"","",C90*(1+Inflation_Choice))</f>
        <v/>
      </c>
      <c r="D91" s="87" t="str">
        <f aca="false">IF(Need_1&lt;&gt;"","",F90)</f>
        <v/>
      </c>
      <c r="E91" s="86" t="str">
        <f aca="false">IF(Need_1&lt;&gt;"","",IF(Withdrawal_Timing="Start of year",IF(D91&gt;=C91,1,0),IF(D91*(1+Growth_Rate)&gt;=C91,1,0)))</f>
        <v/>
      </c>
      <c r="F91" s="87" t="str">
        <f aca="false">IF(Need_1&lt;&gt;"","",IF(E91=1,IF(Withdrawal_Timing="Start of year",(D91-C91)*(1+Growth_Rate),D91*(1+Growth_Rate)-C91),0))</f>
        <v/>
      </c>
    </row>
    <row r="92" customFormat="false" ht="15" hidden="false" customHeight="true" outlineLevel="0" collapsed="false">
      <c r="B92" s="86" t="n">
        <v>60</v>
      </c>
      <c r="C92" s="87" t="str">
        <f aca="false">IF(Need_1&lt;&gt;"","",C91*(1+Inflation_Choice))</f>
        <v/>
      </c>
      <c r="D92" s="87" t="str">
        <f aca="false">IF(Need_1&lt;&gt;"","",F91)</f>
        <v/>
      </c>
      <c r="E92" s="86" t="str">
        <f aca="false">IF(Need_1&lt;&gt;"","",IF(Withdrawal_Timing="Start of year",IF(D92&gt;=C92,1,0),IF(D92*(1+Growth_Rate)&gt;=C92,1,0)))</f>
        <v/>
      </c>
      <c r="F92" s="87" t="str">
        <f aca="false">IF(Need_1&lt;&gt;"","",IF(E92=1,IF(Withdrawal_Timing="Start of year",(D92-C92)*(1+Growth_Rate),D92*(1+Growth_Rate)-C92),0))</f>
        <v/>
      </c>
    </row>
    <row r="95" customFormat="false" ht="15" hidden="false" customHeight="true" outlineLevel="0" collapsed="false">
      <c r="B95" s="15" t="s">
        <v>301</v>
      </c>
      <c r="C95" s="16"/>
      <c r="D95" s="16"/>
      <c r="E95" s="16"/>
      <c r="F95" s="16"/>
      <c r="G95" s="16"/>
    </row>
    <row r="96" customFormat="false" ht="27.75" hidden="false" customHeight="true" outlineLevel="0" collapsed="false">
      <c r="B96" s="53" t="s">
        <v>922</v>
      </c>
      <c r="C96" s="53"/>
      <c r="D96" s="53"/>
      <c r="E96" s="53"/>
    </row>
    <row r="97" customFormat="false" ht="13.5" hidden="false" customHeight="true" outlineLevel="0" collapsed="false">
      <c r="B97" s="53" t="s">
        <v>923</v>
      </c>
      <c r="C97" s="53"/>
      <c r="D97" s="53"/>
      <c r="E97" s="53"/>
    </row>
    <row r="98" customFormat="false" ht="13.5" hidden="false" customHeight="true" outlineLevel="0" collapsed="false">
      <c r="B98" s="54" t="s">
        <v>304</v>
      </c>
      <c r="C98" s="54"/>
      <c r="D98" s="54"/>
      <c r="E98" s="54"/>
    </row>
    <row r="99" customFormat="false" ht="13.5" hidden="false" customHeight="true" outlineLevel="0" collapsed="false">
      <c r="B99" s="53" t="s">
        <v>924</v>
      </c>
      <c r="C99" s="53"/>
      <c r="D99" s="53"/>
      <c r="E99" s="53"/>
    </row>
    <row r="100" customFormat="false" ht="13.5" hidden="false" customHeight="true" outlineLevel="0" collapsed="false">
      <c r="B100" s="53" t="s">
        <v>925</v>
      </c>
      <c r="C100" s="53"/>
      <c r="D100" s="53"/>
      <c r="E100" s="53"/>
    </row>
    <row r="101" customFormat="false" ht="13.5" hidden="false" customHeight="true" outlineLevel="0" collapsed="false">
      <c r="B101" s="53" t="s">
        <v>926</v>
      </c>
      <c r="C101" s="53"/>
      <c r="D101" s="53"/>
      <c r="E101" s="53"/>
    </row>
    <row r="103" customFormat="false" ht="15" hidden="false" customHeight="true" outlineLevel="0" collapsed="false">
      <c r="B103" s="15" t="s">
        <v>309</v>
      </c>
      <c r="C103" s="16"/>
      <c r="D103" s="16"/>
      <c r="E103" s="16"/>
      <c r="F103" s="16"/>
      <c r="G103" s="16"/>
    </row>
    <row r="104" customFormat="false" ht="15" hidden="false" customHeight="true" outlineLevel="0" collapsed="false">
      <c r="B104" s="9" t="s">
        <v>310</v>
      </c>
      <c r="C104" s="55" t="str">
        <f aca="false">"No goal"</f>
        <v>No goal</v>
      </c>
      <c r="E104" s="56" t="s">
        <v>497</v>
      </c>
    </row>
    <row r="106" customFormat="false" ht="15" hidden="false" customHeight="true" outlineLevel="0" collapsed="false">
      <c r="B106" s="15" t="s">
        <v>318</v>
      </c>
      <c r="C106" s="16"/>
      <c r="D106" s="16"/>
      <c r="E106" s="16"/>
      <c r="F106" s="16"/>
      <c r="G106" s="16"/>
    </row>
    <row r="107" customFormat="false" ht="15" hidden="false" customHeight="true" outlineLevel="0" collapsed="false">
      <c r="B107" s="59" t="s">
        <v>927</v>
      </c>
      <c r="C107" s="59"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9" t="s">
        <v>928</v>
      </c>
      <c r="C108" s="59"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9" t="s">
        <v>929</v>
      </c>
      <c r="C109" s="59"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930</v>
      </c>
      <c r="E1" s="3" t="s">
        <v>931</v>
      </c>
    </row>
    <row r="2" customFormat="false" ht="15" hidden="false" customHeight="true" outlineLevel="0" collapsed="false">
      <c r="B2" s="28" t="s">
        <v>932</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933</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896</v>
      </c>
      <c r="C10" s="60"/>
      <c r="D10" s="60"/>
      <c r="E10" s="60"/>
    </row>
    <row r="11" customFormat="false" ht="15" hidden="false" customHeight="true" outlineLevel="0" collapsed="false">
      <c r="B11" s="9" t="s">
        <v>741</v>
      </c>
      <c r="C11" s="61"/>
      <c r="D11" s="34" t="s">
        <v>248</v>
      </c>
      <c r="E11" s="35" t="s">
        <v>658</v>
      </c>
      <c r="G11" s="59" t="s">
        <v>335</v>
      </c>
    </row>
    <row r="12" customFormat="false" ht="15" hidden="false" customHeight="true" outlineLevel="0" collapsed="false">
      <c r="B12" s="9" t="s">
        <v>734</v>
      </c>
      <c r="C12" s="61"/>
      <c r="D12" s="34" t="s">
        <v>248</v>
      </c>
      <c r="E12" s="35" t="s">
        <v>735</v>
      </c>
      <c r="G12" s="59" t="s">
        <v>335</v>
      </c>
    </row>
    <row r="13" customFormat="false" ht="15" hidden="false" customHeight="true" outlineLevel="0" collapsed="false">
      <c r="B13" s="9" t="s">
        <v>342</v>
      </c>
      <c r="C13" s="64"/>
      <c r="D13" s="34" t="s">
        <v>343</v>
      </c>
      <c r="E13" s="35" t="s">
        <v>344</v>
      </c>
      <c r="G13" s="59" t="s">
        <v>335</v>
      </c>
    </row>
    <row r="15" customFormat="false" ht="15" hidden="false" customHeight="true" outlineLevel="0" collapsed="false">
      <c r="B15" s="15" t="s">
        <v>345</v>
      </c>
      <c r="C15" s="31" t="s">
        <v>243</v>
      </c>
      <c r="D15" s="31" t="s">
        <v>244</v>
      </c>
      <c r="E15" s="31" t="s">
        <v>245</v>
      </c>
      <c r="F15" s="32" t="s">
        <v>246</v>
      </c>
      <c r="G15" s="16"/>
    </row>
    <row r="16" customFormat="false" ht="21.75" hidden="false" customHeight="true" outlineLevel="0" collapsed="false">
      <c r="B16" s="9" t="s">
        <v>897</v>
      </c>
      <c r="C16" s="33"/>
      <c r="D16" s="34" t="s">
        <v>248</v>
      </c>
      <c r="E16" s="35" t="s">
        <v>898</v>
      </c>
      <c r="F16" s="36" t="n">
        <v>400000</v>
      </c>
      <c r="G16" s="37" t="str">
        <f aca="false">IF(ISBLANK(C16),IF(Fill_Example="Yes",F16,""),C16)</f>
        <v/>
      </c>
    </row>
    <row r="17" customFormat="false" ht="15" hidden="false" customHeight="true" outlineLevel="0" collapsed="false">
      <c r="B17" s="9" t="s">
        <v>899</v>
      </c>
      <c r="C17" s="33"/>
      <c r="D17" s="34" t="s">
        <v>248</v>
      </c>
      <c r="E17" s="35" t="s">
        <v>900</v>
      </c>
      <c r="F17" s="36" t="n">
        <v>20000</v>
      </c>
      <c r="G17" s="37" t="str">
        <f aca="false">IF(ISBLANK(C17),IF(Fill_Example="Yes",F17,""),C17)</f>
        <v/>
      </c>
    </row>
    <row r="18" customFormat="false" ht="21.75" hidden="false" customHeight="true" outlineLevel="0" collapsed="false">
      <c r="B18" s="9" t="s">
        <v>934</v>
      </c>
      <c r="C18" s="41"/>
      <c r="D18" s="34" t="s">
        <v>259</v>
      </c>
      <c r="E18" s="42" t="s">
        <v>935</v>
      </c>
      <c r="F18" s="43" t="n">
        <f aca="false">Set_riskMu_1</f>
        <v>0.02</v>
      </c>
      <c r="G18" s="44" t="n">
        <f aca="false">IF(ISBLANK(C18),F18,C18)</f>
        <v>0.02</v>
      </c>
    </row>
    <row r="19" customFormat="false" ht="21.75" hidden="false" customHeight="true" outlineLevel="0" collapsed="false">
      <c r="B19" s="9" t="s">
        <v>936</v>
      </c>
      <c r="C19" s="41"/>
      <c r="D19" s="34" t="s">
        <v>259</v>
      </c>
      <c r="E19" s="42" t="s">
        <v>937</v>
      </c>
      <c r="F19" s="43" t="n">
        <f aca="false">Set_riskMu_2</f>
        <v>0.04</v>
      </c>
      <c r="G19" s="44" t="n">
        <f aca="false">IF(ISBLANK(C19),F19,C19)</f>
        <v>0.04</v>
      </c>
    </row>
    <row r="20" customFormat="false" ht="21.75" hidden="false" customHeight="true" outlineLevel="0" collapsed="false">
      <c r="B20" s="9" t="s">
        <v>938</v>
      </c>
      <c r="C20" s="41"/>
      <c r="D20" s="34" t="s">
        <v>259</v>
      </c>
      <c r="E20" s="42" t="s">
        <v>939</v>
      </c>
      <c r="F20" s="43" t="n">
        <f aca="false">Set_riskMu_3</f>
        <v>0.06</v>
      </c>
      <c r="G20" s="44" t="n">
        <f aca="false">IF(ISBLANK(C20),F20,C20)</f>
        <v>0.06</v>
      </c>
    </row>
    <row r="21" customFormat="false" ht="21.75" hidden="false" customHeight="true" outlineLevel="0" collapsed="false">
      <c r="B21" s="9" t="s">
        <v>903</v>
      </c>
      <c r="C21" s="38"/>
      <c r="D21" s="34"/>
      <c r="E21" s="42" t="s">
        <v>904</v>
      </c>
      <c r="F21" s="39" t="str">
        <f aca="false">IF(Set_ddTiming="end","End of year","Start of year")</f>
        <v>Start of year</v>
      </c>
      <c r="G21" s="40" t="str">
        <f aca="false">IF(ISBLANK(C21),F21,C21)</f>
        <v>Start of year</v>
      </c>
    </row>
    <row r="23" customFormat="false" ht="15" hidden="false" customHeight="true" outlineLevel="0" collapsed="false">
      <c r="B23" s="15" t="s">
        <v>354</v>
      </c>
      <c r="C23" s="16"/>
      <c r="D23" s="16"/>
      <c r="E23" s="16"/>
      <c r="F23" s="16"/>
      <c r="G23" s="16"/>
    </row>
    <row r="24" customFormat="false" ht="15" hidden="false" customHeight="true" outlineLevel="0" collapsed="false">
      <c r="B24" s="9" t="s">
        <v>897</v>
      </c>
      <c r="C24" s="65" t="str">
        <f aca="false">IF(NOT(ISBLANK(Stmt_Projected_Fund)),Stmt_Projected_Fund,IF(NOT(ISBLANK(Stmt_Fund_Value)),Stmt_Fund_Value,Retirement_Savings))</f>
        <v/>
      </c>
      <c r="D24" s="66" t="str">
        <f aca="false">IF(NOT(ISBLANK(Stmt_Projected_Fund)),"From your statement (projected fund)",IF(NOT(ISBLANK(Stmt_Fund_Value)),"From your statement (fund value today)","Your figure"))</f>
        <v>Your figure</v>
      </c>
      <c r="E24" s="56" t="s">
        <v>909</v>
      </c>
    </row>
    <row r="25" customFormat="false" ht="21.75" hidden="false" customHeight="true" outlineLevel="0" collapsed="false">
      <c r="B25" s="9" t="s">
        <v>361</v>
      </c>
      <c r="C25" s="52" t="str">
        <f aca="true">IF(ISBLANK(Stmt_Statement_Date),"",IF(TODAY()-Stmt_Statement_Date&gt;Statement_Max_Age_Days,"Needs a look: statement is more than 12 months old","Up to date"))</f>
        <v/>
      </c>
      <c r="D25" s="34"/>
      <c r="E25" s="49" t="s">
        <v>362</v>
      </c>
    </row>
    <row r="27" customFormat="false" ht="15" hidden="false" customHeight="true" outlineLevel="0" collapsed="false">
      <c r="B27" s="15" t="s">
        <v>268</v>
      </c>
      <c r="C27" s="31" t="s">
        <v>269</v>
      </c>
      <c r="D27" s="31" t="s">
        <v>270</v>
      </c>
      <c r="E27" s="31" t="s">
        <v>271</v>
      </c>
      <c r="F27" s="16"/>
      <c r="G27" s="16"/>
    </row>
    <row r="28" customFormat="false" ht="23.25" hidden="false" customHeight="true" outlineLevel="0" collapsed="false">
      <c r="B28" s="28" t="s">
        <v>940</v>
      </c>
      <c r="C28" s="69" t="str">
        <f aca="false">IF(Need_1&lt;&gt;"",Need_1,IF(Inflation_Choice="","Choose your inflation rate to see this",SUM(W_b_paid)))</f>
        <v>Choose your yearly withdrawal to see this</v>
      </c>
      <c r="D28" s="70" t="str">
        <f aca="false">IF(Need_1&lt;&gt;"",Need_1,IF(ISNUMBER(Years_Balanced),IF(Years_Balanced&gt;=Cap_Years,Cap_Years&amp;"+ years",Years_Balanced&amp;IF(Years_Balanced=1," year"," years")),"Choose your inflation rate to see this"))</f>
        <v>Choose your yearly withdrawal to see this</v>
      </c>
      <c r="E28" s="49" t="s">
        <v>941</v>
      </c>
    </row>
    <row r="29" customFormat="false" ht="15" hidden="false" customHeight="true" outlineLevel="0" collapsed="false">
      <c r="B29" s="9" t="s">
        <v>942</v>
      </c>
      <c r="C29" s="73" t="str">
        <f aca="false">IF(Need_1&lt;&gt;"",Need_1,IF(Inflation_Choice="","Choose your inflation rate to see this",SUM(W_c_paid)))</f>
        <v>Choose your yearly withdrawal to see this</v>
      </c>
      <c r="D29" s="74" t="str">
        <f aca="false">IF(Need_1&lt;&gt;"",Need_1,IF(ISNUMBER(Years_Cautious),IF(Years_Cautious&gt;=Cap_Years,Cap_Years&amp;"+ years",Years_Cautious&amp;IF(Years_Cautious=1," year"," years")),"Choose your inflation rate to see this"))</f>
        <v>Choose your yearly withdrawal to see this</v>
      </c>
      <c r="E29" s="49" t="s">
        <v>943</v>
      </c>
    </row>
    <row r="30" customFormat="false" ht="15" hidden="false" customHeight="true" outlineLevel="0" collapsed="false">
      <c r="B30" s="9" t="s">
        <v>944</v>
      </c>
      <c r="C30" s="73" t="str">
        <f aca="false">IF(Need_1&lt;&gt;"",Need_1,IF(Inflation_Choice="","Choose your inflation rate to see this",SUM(W_g_paid)))</f>
        <v>Choose your yearly withdrawal to see this</v>
      </c>
      <c r="D30" s="74" t="str">
        <f aca="false">IF(Need_1&lt;&gt;"",Need_1,IF(ISNUMBER(Years_Growth),IF(Years_Growth&gt;=Cap_Years,Cap_Years&amp;"+ years",Years_Growth&amp;IF(Years_Growth=1," year"," years")),"Choose your inflation rate to see this"))</f>
        <v>Choose your yearly withdrawal to see this</v>
      </c>
      <c r="E30" s="49" t="s">
        <v>945</v>
      </c>
    </row>
    <row r="31" customFormat="false" ht="15" hidden="false" customHeight="true" outlineLevel="0" collapsed="false">
      <c r="B31" s="15" t="s">
        <v>946</v>
      </c>
      <c r="C31" s="16"/>
      <c r="D31" s="16"/>
      <c r="E31" s="16"/>
      <c r="F31" s="16"/>
      <c r="G31" s="16"/>
    </row>
    <row r="32" customFormat="false" ht="27.75" hidden="false" customHeight="true" outlineLevel="0" collapsed="false">
      <c r="B32" s="85" t="s">
        <v>917</v>
      </c>
      <c r="C32" s="85" t="s">
        <v>947</v>
      </c>
      <c r="D32" s="85" t="s">
        <v>948</v>
      </c>
      <c r="E32" s="85" t="s">
        <v>949</v>
      </c>
      <c r="F32" s="85" t="s">
        <v>950</v>
      </c>
      <c r="G32" s="85" t="s">
        <v>951</v>
      </c>
      <c r="H32" s="85" t="s">
        <v>952</v>
      </c>
      <c r="I32" s="85" t="s">
        <v>953</v>
      </c>
    </row>
    <row r="33" customFormat="false" ht="15" hidden="false" customHeight="true" outlineLevel="0" collapsed="false">
      <c r="B33" s="86" t="n">
        <v>1</v>
      </c>
      <c r="C33" s="87" t="str">
        <f aca="false">IF(Need_1&lt;&gt;"","",Yearly_Withdrawal)</f>
        <v/>
      </c>
      <c r="D33" s="87" t="str">
        <f aca="false">IF(Need_1&lt;&gt;"","",Used_Retirement_Savings)</f>
        <v/>
      </c>
      <c r="E33" s="86" t="str">
        <f aca="false">IF(Need_1&lt;&gt;"","",IF(Withdrawal_Timing="Start of year",IF(D33&gt;=C33,1,0),IF(D33*(1+DD_Cautious)&gt;=C33,1,0)))</f>
        <v/>
      </c>
      <c r="F33" s="87" t="str">
        <f aca="false">IF(Need_1&lt;&gt;"","",Used_Retirement_Savings)</f>
        <v/>
      </c>
      <c r="G33" s="86" t="str">
        <f aca="false">IF(Need_1&lt;&gt;"","",IF(Withdrawal_Timing="Start of year",IF(F33&gt;=C33,1,0),IF(F33*(1+DD_Balanced)&gt;=C33,1,0)))</f>
        <v/>
      </c>
      <c r="H33" s="87" t="str">
        <f aca="false">IF(Need_1&lt;&gt;"","",Used_Retirement_Savings)</f>
        <v/>
      </c>
      <c r="I33" s="86" t="str">
        <f aca="false">IF(Need_1&lt;&gt;"","",IF(Withdrawal_Timing="Start of year",IF(H33&gt;=C33,1,0),IF(H33*(1+DD_Growth)&gt;=C33,1,0)))</f>
        <v/>
      </c>
    </row>
    <row r="34" customFormat="false" ht="15" hidden="false" customHeight="true" outlineLevel="0" collapsed="false">
      <c r="B34" s="86" t="n">
        <v>2</v>
      </c>
      <c r="C34" s="87" t="str">
        <f aca="false">IF(Need_1&lt;&gt;"","",C33*(1+Inflation_Choice))</f>
        <v/>
      </c>
      <c r="D34" s="87" t="str">
        <f aca="false">IF(Need_1&lt;&gt;"","",IF(E33=1,IF(Withdrawal_Timing="Start of year",(D33-C33)*(1+DD_Cautious),D33*(1+DD_Cautious)-C33),0))</f>
        <v/>
      </c>
      <c r="E34" s="86" t="str">
        <f aca="false">IF(Need_1&lt;&gt;"","",IF(Withdrawal_Timing="Start of year",IF(D34&gt;=C34,1,0),IF(D34*(1+DD_Cautious)&gt;=C34,1,0)))</f>
        <v/>
      </c>
      <c r="F34" s="87" t="str">
        <f aca="false">IF(Need_1&lt;&gt;"","",IF(G33=1,IF(Withdrawal_Timing="Start of year",(F33-C33)*(1+DD_Balanced),F33*(1+DD_Balanced)-C33),0))</f>
        <v/>
      </c>
      <c r="G34" s="86" t="str">
        <f aca="false">IF(Need_1&lt;&gt;"","",IF(Withdrawal_Timing="Start of year",IF(F34&gt;=C34,1,0),IF(F34*(1+DD_Balanced)&gt;=C34,1,0)))</f>
        <v/>
      </c>
      <c r="H34" s="87" t="str">
        <f aca="false">IF(Need_1&lt;&gt;"","",IF(I33=1,IF(Withdrawal_Timing="Start of year",(H33-C33)*(1+DD_Growth),H33*(1+DD_Growth)-C33),0))</f>
        <v/>
      </c>
      <c r="I34" s="86" t="str">
        <f aca="false">IF(Need_1&lt;&gt;"","",IF(Withdrawal_Timing="Start of year",IF(H34&gt;=C34,1,0),IF(H34*(1+DD_Growth)&gt;=C34,1,0)))</f>
        <v/>
      </c>
    </row>
    <row r="35" customFormat="false" ht="15" hidden="false" customHeight="true" outlineLevel="0" collapsed="false">
      <c r="B35" s="86" t="n">
        <v>3</v>
      </c>
      <c r="C35" s="87" t="str">
        <f aca="false">IF(Need_1&lt;&gt;"","",C34*(1+Inflation_Choice))</f>
        <v/>
      </c>
      <c r="D35" s="87" t="str">
        <f aca="false">IF(Need_1&lt;&gt;"","",IF(E34=1,IF(Withdrawal_Timing="Start of year",(D34-C34)*(1+DD_Cautious),D34*(1+DD_Cautious)-C34),0))</f>
        <v/>
      </c>
      <c r="E35" s="86" t="str">
        <f aca="false">IF(Need_1&lt;&gt;"","",IF(Withdrawal_Timing="Start of year",IF(D35&gt;=C35,1,0),IF(D35*(1+DD_Cautious)&gt;=C35,1,0)))</f>
        <v/>
      </c>
      <c r="F35" s="87" t="str">
        <f aca="false">IF(Need_1&lt;&gt;"","",IF(G34=1,IF(Withdrawal_Timing="Start of year",(F34-C34)*(1+DD_Balanced),F34*(1+DD_Balanced)-C34),0))</f>
        <v/>
      </c>
      <c r="G35" s="86" t="str">
        <f aca="false">IF(Need_1&lt;&gt;"","",IF(Withdrawal_Timing="Start of year",IF(F35&gt;=C35,1,0),IF(F35*(1+DD_Balanced)&gt;=C35,1,0)))</f>
        <v/>
      </c>
      <c r="H35" s="87" t="str">
        <f aca="false">IF(Need_1&lt;&gt;"","",IF(I34=1,IF(Withdrawal_Timing="Start of year",(H34-C34)*(1+DD_Growth),H34*(1+DD_Growth)-C34),0))</f>
        <v/>
      </c>
      <c r="I35" s="86" t="str">
        <f aca="false">IF(Need_1&lt;&gt;"","",IF(Withdrawal_Timing="Start of year",IF(H35&gt;=C35,1,0),IF(H35*(1+DD_Growth)&gt;=C35,1,0)))</f>
        <v/>
      </c>
    </row>
    <row r="36" customFormat="false" ht="15" hidden="false" customHeight="true" outlineLevel="0" collapsed="false">
      <c r="B36" s="86" t="n">
        <v>4</v>
      </c>
      <c r="C36" s="87" t="str">
        <f aca="false">IF(Need_1&lt;&gt;"","",C35*(1+Inflation_Choice))</f>
        <v/>
      </c>
      <c r="D36" s="87" t="str">
        <f aca="false">IF(Need_1&lt;&gt;"","",IF(E35=1,IF(Withdrawal_Timing="Start of year",(D35-C35)*(1+DD_Cautious),D35*(1+DD_Cautious)-C35),0))</f>
        <v/>
      </c>
      <c r="E36" s="86" t="str">
        <f aca="false">IF(Need_1&lt;&gt;"","",IF(Withdrawal_Timing="Start of year",IF(D36&gt;=C36,1,0),IF(D36*(1+DD_Cautious)&gt;=C36,1,0)))</f>
        <v/>
      </c>
      <c r="F36" s="87" t="str">
        <f aca="false">IF(Need_1&lt;&gt;"","",IF(G35=1,IF(Withdrawal_Timing="Start of year",(F35-C35)*(1+DD_Balanced),F35*(1+DD_Balanced)-C35),0))</f>
        <v/>
      </c>
      <c r="G36" s="86" t="str">
        <f aca="false">IF(Need_1&lt;&gt;"","",IF(Withdrawal_Timing="Start of year",IF(F36&gt;=C36,1,0),IF(F36*(1+DD_Balanced)&gt;=C36,1,0)))</f>
        <v/>
      </c>
      <c r="H36" s="87" t="str">
        <f aca="false">IF(Need_1&lt;&gt;"","",IF(I35=1,IF(Withdrawal_Timing="Start of year",(H35-C35)*(1+DD_Growth),H35*(1+DD_Growth)-C35),0))</f>
        <v/>
      </c>
      <c r="I36" s="86" t="str">
        <f aca="false">IF(Need_1&lt;&gt;"","",IF(Withdrawal_Timing="Start of year",IF(H36&gt;=C36,1,0),IF(H36*(1+DD_Growth)&gt;=C36,1,0)))</f>
        <v/>
      </c>
    </row>
    <row r="37" customFormat="false" ht="15" hidden="false" customHeight="true" outlineLevel="0" collapsed="false">
      <c r="B37" s="86" t="n">
        <v>5</v>
      </c>
      <c r="C37" s="87" t="str">
        <f aca="false">IF(Need_1&lt;&gt;"","",C36*(1+Inflation_Choice))</f>
        <v/>
      </c>
      <c r="D37" s="87" t="str">
        <f aca="false">IF(Need_1&lt;&gt;"","",IF(E36=1,IF(Withdrawal_Timing="Start of year",(D36-C36)*(1+DD_Cautious),D36*(1+DD_Cautious)-C36),0))</f>
        <v/>
      </c>
      <c r="E37" s="86" t="str">
        <f aca="false">IF(Need_1&lt;&gt;"","",IF(Withdrawal_Timing="Start of year",IF(D37&gt;=C37,1,0),IF(D37*(1+DD_Cautious)&gt;=C37,1,0)))</f>
        <v/>
      </c>
      <c r="F37" s="87" t="str">
        <f aca="false">IF(Need_1&lt;&gt;"","",IF(G36=1,IF(Withdrawal_Timing="Start of year",(F36-C36)*(1+DD_Balanced),F36*(1+DD_Balanced)-C36),0))</f>
        <v/>
      </c>
      <c r="G37" s="86" t="str">
        <f aca="false">IF(Need_1&lt;&gt;"","",IF(Withdrawal_Timing="Start of year",IF(F37&gt;=C37,1,0),IF(F37*(1+DD_Balanced)&gt;=C37,1,0)))</f>
        <v/>
      </c>
      <c r="H37" s="87" t="str">
        <f aca="false">IF(Need_1&lt;&gt;"","",IF(I36=1,IF(Withdrawal_Timing="Start of year",(H36-C36)*(1+DD_Growth),H36*(1+DD_Growth)-C36),0))</f>
        <v/>
      </c>
      <c r="I37" s="86" t="str">
        <f aca="false">IF(Need_1&lt;&gt;"","",IF(Withdrawal_Timing="Start of year",IF(H37&gt;=C37,1,0),IF(H37*(1+DD_Growth)&gt;=C37,1,0)))</f>
        <v/>
      </c>
    </row>
    <row r="38" customFormat="false" ht="15" hidden="false" customHeight="true" outlineLevel="0" collapsed="false">
      <c r="B38" s="86" t="n">
        <v>6</v>
      </c>
      <c r="C38" s="87" t="str">
        <f aca="false">IF(Need_1&lt;&gt;"","",C37*(1+Inflation_Choice))</f>
        <v/>
      </c>
      <c r="D38" s="87" t="str">
        <f aca="false">IF(Need_1&lt;&gt;"","",IF(E37=1,IF(Withdrawal_Timing="Start of year",(D37-C37)*(1+DD_Cautious),D37*(1+DD_Cautious)-C37),0))</f>
        <v/>
      </c>
      <c r="E38" s="86" t="str">
        <f aca="false">IF(Need_1&lt;&gt;"","",IF(Withdrawal_Timing="Start of year",IF(D38&gt;=C38,1,0),IF(D38*(1+DD_Cautious)&gt;=C38,1,0)))</f>
        <v/>
      </c>
      <c r="F38" s="87" t="str">
        <f aca="false">IF(Need_1&lt;&gt;"","",IF(G37=1,IF(Withdrawal_Timing="Start of year",(F37-C37)*(1+DD_Balanced),F37*(1+DD_Balanced)-C37),0))</f>
        <v/>
      </c>
      <c r="G38" s="86" t="str">
        <f aca="false">IF(Need_1&lt;&gt;"","",IF(Withdrawal_Timing="Start of year",IF(F38&gt;=C38,1,0),IF(F38*(1+DD_Balanced)&gt;=C38,1,0)))</f>
        <v/>
      </c>
      <c r="H38" s="87" t="str">
        <f aca="false">IF(Need_1&lt;&gt;"","",IF(I37=1,IF(Withdrawal_Timing="Start of year",(H37-C37)*(1+DD_Growth),H37*(1+DD_Growth)-C37),0))</f>
        <v/>
      </c>
      <c r="I38" s="86" t="str">
        <f aca="false">IF(Need_1&lt;&gt;"","",IF(Withdrawal_Timing="Start of year",IF(H38&gt;=C38,1,0),IF(H38*(1+DD_Growth)&gt;=C38,1,0)))</f>
        <v/>
      </c>
    </row>
    <row r="39" customFormat="false" ht="15" hidden="false" customHeight="true" outlineLevel="0" collapsed="false">
      <c r="B39" s="86" t="n">
        <v>7</v>
      </c>
      <c r="C39" s="87" t="str">
        <f aca="false">IF(Need_1&lt;&gt;"","",C38*(1+Inflation_Choice))</f>
        <v/>
      </c>
      <c r="D39" s="87" t="str">
        <f aca="false">IF(Need_1&lt;&gt;"","",IF(E38=1,IF(Withdrawal_Timing="Start of year",(D38-C38)*(1+DD_Cautious),D38*(1+DD_Cautious)-C38),0))</f>
        <v/>
      </c>
      <c r="E39" s="86" t="str">
        <f aca="false">IF(Need_1&lt;&gt;"","",IF(Withdrawal_Timing="Start of year",IF(D39&gt;=C39,1,0),IF(D39*(1+DD_Cautious)&gt;=C39,1,0)))</f>
        <v/>
      </c>
      <c r="F39" s="87" t="str">
        <f aca="false">IF(Need_1&lt;&gt;"","",IF(G38=1,IF(Withdrawal_Timing="Start of year",(F38-C38)*(1+DD_Balanced),F38*(1+DD_Balanced)-C38),0))</f>
        <v/>
      </c>
      <c r="G39" s="86" t="str">
        <f aca="false">IF(Need_1&lt;&gt;"","",IF(Withdrawal_Timing="Start of year",IF(F39&gt;=C39,1,0),IF(F39*(1+DD_Balanced)&gt;=C39,1,0)))</f>
        <v/>
      </c>
      <c r="H39" s="87" t="str">
        <f aca="false">IF(Need_1&lt;&gt;"","",IF(I38=1,IF(Withdrawal_Timing="Start of year",(H38-C38)*(1+DD_Growth),H38*(1+DD_Growth)-C38),0))</f>
        <v/>
      </c>
      <c r="I39" s="86" t="str">
        <f aca="false">IF(Need_1&lt;&gt;"","",IF(Withdrawal_Timing="Start of year",IF(H39&gt;=C39,1,0),IF(H39*(1+DD_Growth)&gt;=C39,1,0)))</f>
        <v/>
      </c>
    </row>
    <row r="40" customFormat="false" ht="15" hidden="false" customHeight="true" outlineLevel="0" collapsed="false">
      <c r="B40" s="86" t="n">
        <v>8</v>
      </c>
      <c r="C40" s="87" t="str">
        <f aca="false">IF(Need_1&lt;&gt;"","",C39*(1+Inflation_Choice))</f>
        <v/>
      </c>
      <c r="D40" s="87" t="str">
        <f aca="false">IF(Need_1&lt;&gt;"","",IF(E39=1,IF(Withdrawal_Timing="Start of year",(D39-C39)*(1+DD_Cautious),D39*(1+DD_Cautious)-C39),0))</f>
        <v/>
      </c>
      <c r="E40" s="86" t="str">
        <f aca="false">IF(Need_1&lt;&gt;"","",IF(Withdrawal_Timing="Start of year",IF(D40&gt;=C40,1,0),IF(D40*(1+DD_Cautious)&gt;=C40,1,0)))</f>
        <v/>
      </c>
      <c r="F40" s="87" t="str">
        <f aca="false">IF(Need_1&lt;&gt;"","",IF(G39=1,IF(Withdrawal_Timing="Start of year",(F39-C39)*(1+DD_Balanced),F39*(1+DD_Balanced)-C39),0))</f>
        <v/>
      </c>
      <c r="G40" s="86" t="str">
        <f aca="false">IF(Need_1&lt;&gt;"","",IF(Withdrawal_Timing="Start of year",IF(F40&gt;=C40,1,0),IF(F40*(1+DD_Balanced)&gt;=C40,1,0)))</f>
        <v/>
      </c>
      <c r="H40" s="87" t="str">
        <f aca="false">IF(Need_1&lt;&gt;"","",IF(I39=1,IF(Withdrawal_Timing="Start of year",(H39-C39)*(1+DD_Growth),H39*(1+DD_Growth)-C39),0))</f>
        <v/>
      </c>
      <c r="I40" s="86" t="str">
        <f aca="false">IF(Need_1&lt;&gt;"","",IF(Withdrawal_Timing="Start of year",IF(H40&gt;=C40,1,0),IF(H40*(1+DD_Growth)&gt;=C40,1,0)))</f>
        <v/>
      </c>
    </row>
    <row r="41" customFormat="false" ht="15" hidden="false" customHeight="true" outlineLevel="0" collapsed="false">
      <c r="B41" s="86" t="n">
        <v>9</v>
      </c>
      <c r="C41" s="87" t="str">
        <f aca="false">IF(Need_1&lt;&gt;"","",C40*(1+Inflation_Choice))</f>
        <v/>
      </c>
      <c r="D41" s="87" t="str">
        <f aca="false">IF(Need_1&lt;&gt;"","",IF(E40=1,IF(Withdrawal_Timing="Start of year",(D40-C40)*(1+DD_Cautious),D40*(1+DD_Cautious)-C40),0))</f>
        <v/>
      </c>
      <c r="E41" s="86" t="str">
        <f aca="false">IF(Need_1&lt;&gt;"","",IF(Withdrawal_Timing="Start of year",IF(D41&gt;=C41,1,0),IF(D41*(1+DD_Cautious)&gt;=C41,1,0)))</f>
        <v/>
      </c>
      <c r="F41" s="87" t="str">
        <f aca="false">IF(Need_1&lt;&gt;"","",IF(G40=1,IF(Withdrawal_Timing="Start of year",(F40-C40)*(1+DD_Balanced),F40*(1+DD_Balanced)-C40),0))</f>
        <v/>
      </c>
      <c r="G41" s="86" t="str">
        <f aca="false">IF(Need_1&lt;&gt;"","",IF(Withdrawal_Timing="Start of year",IF(F41&gt;=C41,1,0),IF(F41*(1+DD_Balanced)&gt;=C41,1,0)))</f>
        <v/>
      </c>
      <c r="H41" s="87" t="str">
        <f aca="false">IF(Need_1&lt;&gt;"","",IF(I40=1,IF(Withdrawal_Timing="Start of year",(H40-C40)*(1+DD_Growth),H40*(1+DD_Growth)-C40),0))</f>
        <v/>
      </c>
      <c r="I41" s="86" t="str">
        <f aca="false">IF(Need_1&lt;&gt;"","",IF(Withdrawal_Timing="Start of year",IF(H41&gt;=C41,1,0),IF(H41*(1+DD_Growth)&gt;=C41,1,0)))</f>
        <v/>
      </c>
    </row>
    <row r="42" customFormat="false" ht="15" hidden="false" customHeight="true" outlineLevel="0" collapsed="false">
      <c r="B42" s="86" t="n">
        <v>10</v>
      </c>
      <c r="C42" s="87" t="str">
        <f aca="false">IF(Need_1&lt;&gt;"","",C41*(1+Inflation_Choice))</f>
        <v/>
      </c>
      <c r="D42" s="87" t="str">
        <f aca="false">IF(Need_1&lt;&gt;"","",IF(E41=1,IF(Withdrawal_Timing="Start of year",(D41-C41)*(1+DD_Cautious),D41*(1+DD_Cautious)-C41),0))</f>
        <v/>
      </c>
      <c r="E42" s="86" t="str">
        <f aca="false">IF(Need_1&lt;&gt;"","",IF(Withdrawal_Timing="Start of year",IF(D42&gt;=C42,1,0),IF(D42*(1+DD_Cautious)&gt;=C42,1,0)))</f>
        <v/>
      </c>
      <c r="F42" s="87" t="str">
        <f aca="false">IF(Need_1&lt;&gt;"","",IF(G41=1,IF(Withdrawal_Timing="Start of year",(F41-C41)*(1+DD_Balanced),F41*(1+DD_Balanced)-C41),0))</f>
        <v/>
      </c>
      <c r="G42" s="86" t="str">
        <f aca="false">IF(Need_1&lt;&gt;"","",IF(Withdrawal_Timing="Start of year",IF(F42&gt;=C42,1,0),IF(F42*(1+DD_Balanced)&gt;=C42,1,0)))</f>
        <v/>
      </c>
      <c r="H42" s="87" t="str">
        <f aca="false">IF(Need_1&lt;&gt;"","",IF(I41=1,IF(Withdrawal_Timing="Start of year",(H41-C41)*(1+DD_Growth),H41*(1+DD_Growth)-C41),0))</f>
        <v/>
      </c>
      <c r="I42" s="86" t="str">
        <f aca="false">IF(Need_1&lt;&gt;"","",IF(Withdrawal_Timing="Start of year",IF(H42&gt;=C42,1,0),IF(H42*(1+DD_Growth)&gt;=C42,1,0)))</f>
        <v/>
      </c>
    </row>
    <row r="43" customFormat="false" ht="15" hidden="false" customHeight="true" outlineLevel="0" collapsed="false">
      <c r="B43" s="86" t="n">
        <v>11</v>
      </c>
      <c r="C43" s="87" t="str">
        <f aca="false">IF(Need_1&lt;&gt;"","",C42*(1+Inflation_Choice))</f>
        <v/>
      </c>
      <c r="D43" s="87" t="str">
        <f aca="false">IF(Need_1&lt;&gt;"","",IF(E42=1,IF(Withdrawal_Timing="Start of year",(D42-C42)*(1+DD_Cautious),D42*(1+DD_Cautious)-C42),0))</f>
        <v/>
      </c>
      <c r="E43" s="86" t="str">
        <f aca="false">IF(Need_1&lt;&gt;"","",IF(Withdrawal_Timing="Start of year",IF(D43&gt;=C43,1,0),IF(D43*(1+DD_Cautious)&gt;=C43,1,0)))</f>
        <v/>
      </c>
      <c r="F43" s="87" t="str">
        <f aca="false">IF(Need_1&lt;&gt;"","",IF(G42=1,IF(Withdrawal_Timing="Start of year",(F42-C42)*(1+DD_Balanced),F42*(1+DD_Balanced)-C42),0))</f>
        <v/>
      </c>
      <c r="G43" s="86" t="str">
        <f aca="false">IF(Need_1&lt;&gt;"","",IF(Withdrawal_Timing="Start of year",IF(F43&gt;=C43,1,0),IF(F43*(1+DD_Balanced)&gt;=C43,1,0)))</f>
        <v/>
      </c>
      <c r="H43" s="87" t="str">
        <f aca="false">IF(Need_1&lt;&gt;"","",IF(I42=1,IF(Withdrawal_Timing="Start of year",(H42-C42)*(1+DD_Growth),H42*(1+DD_Growth)-C42),0))</f>
        <v/>
      </c>
      <c r="I43" s="86" t="str">
        <f aca="false">IF(Need_1&lt;&gt;"","",IF(Withdrawal_Timing="Start of year",IF(H43&gt;=C43,1,0),IF(H43*(1+DD_Growth)&gt;=C43,1,0)))</f>
        <v/>
      </c>
    </row>
    <row r="44" customFormat="false" ht="15" hidden="false" customHeight="true" outlineLevel="0" collapsed="false">
      <c r="B44" s="86" t="n">
        <v>12</v>
      </c>
      <c r="C44" s="87" t="str">
        <f aca="false">IF(Need_1&lt;&gt;"","",C43*(1+Inflation_Choice))</f>
        <v/>
      </c>
      <c r="D44" s="87" t="str">
        <f aca="false">IF(Need_1&lt;&gt;"","",IF(E43=1,IF(Withdrawal_Timing="Start of year",(D43-C43)*(1+DD_Cautious),D43*(1+DD_Cautious)-C43),0))</f>
        <v/>
      </c>
      <c r="E44" s="86" t="str">
        <f aca="false">IF(Need_1&lt;&gt;"","",IF(Withdrawal_Timing="Start of year",IF(D44&gt;=C44,1,0),IF(D44*(1+DD_Cautious)&gt;=C44,1,0)))</f>
        <v/>
      </c>
      <c r="F44" s="87" t="str">
        <f aca="false">IF(Need_1&lt;&gt;"","",IF(G43=1,IF(Withdrawal_Timing="Start of year",(F43-C43)*(1+DD_Balanced),F43*(1+DD_Balanced)-C43),0))</f>
        <v/>
      </c>
      <c r="G44" s="86" t="str">
        <f aca="false">IF(Need_1&lt;&gt;"","",IF(Withdrawal_Timing="Start of year",IF(F44&gt;=C44,1,0),IF(F44*(1+DD_Balanced)&gt;=C44,1,0)))</f>
        <v/>
      </c>
      <c r="H44" s="87" t="str">
        <f aca="false">IF(Need_1&lt;&gt;"","",IF(I43=1,IF(Withdrawal_Timing="Start of year",(H43-C43)*(1+DD_Growth),H43*(1+DD_Growth)-C43),0))</f>
        <v/>
      </c>
      <c r="I44" s="86" t="str">
        <f aca="false">IF(Need_1&lt;&gt;"","",IF(Withdrawal_Timing="Start of year",IF(H44&gt;=C44,1,0),IF(H44*(1+DD_Growth)&gt;=C44,1,0)))</f>
        <v/>
      </c>
    </row>
    <row r="45" customFormat="false" ht="15" hidden="false" customHeight="true" outlineLevel="0" collapsed="false">
      <c r="B45" s="86" t="n">
        <v>13</v>
      </c>
      <c r="C45" s="87" t="str">
        <f aca="false">IF(Need_1&lt;&gt;"","",C44*(1+Inflation_Choice))</f>
        <v/>
      </c>
      <c r="D45" s="87" t="str">
        <f aca="false">IF(Need_1&lt;&gt;"","",IF(E44=1,IF(Withdrawal_Timing="Start of year",(D44-C44)*(1+DD_Cautious),D44*(1+DD_Cautious)-C44),0))</f>
        <v/>
      </c>
      <c r="E45" s="86" t="str">
        <f aca="false">IF(Need_1&lt;&gt;"","",IF(Withdrawal_Timing="Start of year",IF(D45&gt;=C45,1,0),IF(D45*(1+DD_Cautious)&gt;=C45,1,0)))</f>
        <v/>
      </c>
      <c r="F45" s="87" t="str">
        <f aca="false">IF(Need_1&lt;&gt;"","",IF(G44=1,IF(Withdrawal_Timing="Start of year",(F44-C44)*(1+DD_Balanced),F44*(1+DD_Balanced)-C44),0))</f>
        <v/>
      </c>
      <c r="G45" s="86" t="str">
        <f aca="false">IF(Need_1&lt;&gt;"","",IF(Withdrawal_Timing="Start of year",IF(F45&gt;=C45,1,0),IF(F45*(1+DD_Balanced)&gt;=C45,1,0)))</f>
        <v/>
      </c>
      <c r="H45" s="87" t="str">
        <f aca="false">IF(Need_1&lt;&gt;"","",IF(I44=1,IF(Withdrawal_Timing="Start of year",(H44-C44)*(1+DD_Growth),H44*(1+DD_Growth)-C44),0))</f>
        <v/>
      </c>
      <c r="I45" s="86" t="str">
        <f aca="false">IF(Need_1&lt;&gt;"","",IF(Withdrawal_Timing="Start of year",IF(H45&gt;=C45,1,0),IF(H45*(1+DD_Growth)&gt;=C45,1,0)))</f>
        <v/>
      </c>
    </row>
    <row r="46" customFormat="false" ht="15" hidden="false" customHeight="true" outlineLevel="0" collapsed="false">
      <c r="B46" s="86" t="n">
        <v>14</v>
      </c>
      <c r="C46" s="87" t="str">
        <f aca="false">IF(Need_1&lt;&gt;"","",C45*(1+Inflation_Choice))</f>
        <v/>
      </c>
      <c r="D46" s="87" t="str">
        <f aca="false">IF(Need_1&lt;&gt;"","",IF(E45=1,IF(Withdrawal_Timing="Start of year",(D45-C45)*(1+DD_Cautious),D45*(1+DD_Cautious)-C45),0))</f>
        <v/>
      </c>
      <c r="E46" s="86" t="str">
        <f aca="false">IF(Need_1&lt;&gt;"","",IF(Withdrawal_Timing="Start of year",IF(D46&gt;=C46,1,0),IF(D46*(1+DD_Cautious)&gt;=C46,1,0)))</f>
        <v/>
      </c>
      <c r="F46" s="87" t="str">
        <f aca="false">IF(Need_1&lt;&gt;"","",IF(G45=1,IF(Withdrawal_Timing="Start of year",(F45-C45)*(1+DD_Balanced),F45*(1+DD_Balanced)-C45),0))</f>
        <v/>
      </c>
      <c r="G46" s="86" t="str">
        <f aca="false">IF(Need_1&lt;&gt;"","",IF(Withdrawal_Timing="Start of year",IF(F46&gt;=C46,1,0),IF(F46*(1+DD_Balanced)&gt;=C46,1,0)))</f>
        <v/>
      </c>
      <c r="H46" s="87" t="str">
        <f aca="false">IF(Need_1&lt;&gt;"","",IF(I45=1,IF(Withdrawal_Timing="Start of year",(H45-C45)*(1+DD_Growth),H45*(1+DD_Growth)-C45),0))</f>
        <v/>
      </c>
      <c r="I46" s="86" t="str">
        <f aca="false">IF(Need_1&lt;&gt;"","",IF(Withdrawal_Timing="Start of year",IF(H46&gt;=C46,1,0),IF(H46*(1+DD_Growth)&gt;=C46,1,0)))</f>
        <v/>
      </c>
    </row>
    <row r="47" customFormat="false" ht="15" hidden="false" customHeight="true" outlineLevel="0" collapsed="false">
      <c r="B47" s="86" t="n">
        <v>15</v>
      </c>
      <c r="C47" s="87" t="str">
        <f aca="false">IF(Need_1&lt;&gt;"","",C46*(1+Inflation_Choice))</f>
        <v/>
      </c>
      <c r="D47" s="87" t="str">
        <f aca="false">IF(Need_1&lt;&gt;"","",IF(E46=1,IF(Withdrawal_Timing="Start of year",(D46-C46)*(1+DD_Cautious),D46*(1+DD_Cautious)-C46),0))</f>
        <v/>
      </c>
      <c r="E47" s="86" t="str">
        <f aca="false">IF(Need_1&lt;&gt;"","",IF(Withdrawal_Timing="Start of year",IF(D47&gt;=C47,1,0),IF(D47*(1+DD_Cautious)&gt;=C47,1,0)))</f>
        <v/>
      </c>
      <c r="F47" s="87" t="str">
        <f aca="false">IF(Need_1&lt;&gt;"","",IF(G46=1,IF(Withdrawal_Timing="Start of year",(F46-C46)*(1+DD_Balanced),F46*(1+DD_Balanced)-C46),0))</f>
        <v/>
      </c>
      <c r="G47" s="86" t="str">
        <f aca="false">IF(Need_1&lt;&gt;"","",IF(Withdrawal_Timing="Start of year",IF(F47&gt;=C47,1,0),IF(F47*(1+DD_Balanced)&gt;=C47,1,0)))</f>
        <v/>
      </c>
      <c r="H47" s="87" t="str">
        <f aca="false">IF(Need_1&lt;&gt;"","",IF(I46=1,IF(Withdrawal_Timing="Start of year",(H46-C46)*(1+DD_Growth),H46*(1+DD_Growth)-C46),0))</f>
        <v/>
      </c>
      <c r="I47" s="86" t="str">
        <f aca="false">IF(Need_1&lt;&gt;"","",IF(Withdrawal_Timing="Start of year",IF(H47&gt;=C47,1,0),IF(H47*(1+DD_Growth)&gt;=C47,1,0)))</f>
        <v/>
      </c>
    </row>
    <row r="48" customFormat="false" ht="15" hidden="false" customHeight="true" outlineLevel="0" collapsed="false">
      <c r="B48" s="86" t="n">
        <v>16</v>
      </c>
      <c r="C48" s="87" t="str">
        <f aca="false">IF(Need_1&lt;&gt;"","",C47*(1+Inflation_Choice))</f>
        <v/>
      </c>
      <c r="D48" s="87" t="str">
        <f aca="false">IF(Need_1&lt;&gt;"","",IF(E47=1,IF(Withdrawal_Timing="Start of year",(D47-C47)*(1+DD_Cautious),D47*(1+DD_Cautious)-C47),0))</f>
        <v/>
      </c>
      <c r="E48" s="86" t="str">
        <f aca="false">IF(Need_1&lt;&gt;"","",IF(Withdrawal_Timing="Start of year",IF(D48&gt;=C48,1,0),IF(D48*(1+DD_Cautious)&gt;=C48,1,0)))</f>
        <v/>
      </c>
      <c r="F48" s="87" t="str">
        <f aca="false">IF(Need_1&lt;&gt;"","",IF(G47=1,IF(Withdrawal_Timing="Start of year",(F47-C47)*(1+DD_Balanced),F47*(1+DD_Balanced)-C47),0))</f>
        <v/>
      </c>
      <c r="G48" s="86" t="str">
        <f aca="false">IF(Need_1&lt;&gt;"","",IF(Withdrawal_Timing="Start of year",IF(F48&gt;=C48,1,0),IF(F48*(1+DD_Balanced)&gt;=C48,1,0)))</f>
        <v/>
      </c>
      <c r="H48" s="87" t="str">
        <f aca="false">IF(Need_1&lt;&gt;"","",IF(I47=1,IF(Withdrawal_Timing="Start of year",(H47-C47)*(1+DD_Growth),H47*(1+DD_Growth)-C47),0))</f>
        <v/>
      </c>
      <c r="I48" s="86" t="str">
        <f aca="false">IF(Need_1&lt;&gt;"","",IF(Withdrawal_Timing="Start of year",IF(H48&gt;=C48,1,0),IF(H48*(1+DD_Growth)&gt;=C48,1,0)))</f>
        <v/>
      </c>
    </row>
    <row r="49" customFormat="false" ht="15" hidden="false" customHeight="true" outlineLevel="0" collapsed="false">
      <c r="B49" s="86" t="n">
        <v>17</v>
      </c>
      <c r="C49" s="87" t="str">
        <f aca="false">IF(Need_1&lt;&gt;"","",C48*(1+Inflation_Choice))</f>
        <v/>
      </c>
      <c r="D49" s="87" t="str">
        <f aca="false">IF(Need_1&lt;&gt;"","",IF(E48=1,IF(Withdrawal_Timing="Start of year",(D48-C48)*(1+DD_Cautious),D48*(1+DD_Cautious)-C48),0))</f>
        <v/>
      </c>
      <c r="E49" s="86" t="str">
        <f aca="false">IF(Need_1&lt;&gt;"","",IF(Withdrawal_Timing="Start of year",IF(D49&gt;=C49,1,0),IF(D49*(1+DD_Cautious)&gt;=C49,1,0)))</f>
        <v/>
      </c>
      <c r="F49" s="87" t="str">
        <f aca="false">IF(Need_1&lt;&gt;"","",IF(G48=1,IF(Withdrawal_Timing="Start of year",(F48-C48)*(1+DD_Balanced),F48*(1+DD_Balanced)-C48),0))</f>
        <v/>
      </c>
      <c r="G49" s="86" t="str">
        <f aca="false">IF(Need_1&lt;&gt;"","",IF(Withdrawal_Timing="Start of year",IF(F49&gt;=C49,1,0),IF(F49*(1+DD_Balanced)&gt;=C49,1,0)))</f>
        <v/>
      </c>
      <c r="H49" s="87" t="str">
        <f aca="false">IF(Need_1&lt;&gt;"","",IF(I48=1,IF(Withdrawal_Timing="Start of year",(H48-C48)*(1+DD_Growth),H48*(1+DD_Growth)-C48),0))</f>
        <v/>
      </c>
      <c r="I49" s="86" t="str">
        <f aca="false">IF(Need_1&lt;&gt;"","",IF(Withdrawal_Timing="Start of year",IF(H49&gt;=C49,1,0),IF(H49*(1+DD_Growth)&gt;=C49,1,0)))</f>
        <v/>
      </c>
    </row>
    <row r="50" customFormat="false" ht="15" hidden="false" customHeight="true" outlineLevel="0" collapsed="false">
      <c r="B50" s="86" t="n">
        <v>18</v>
      </c>
      <c r="C50" s="87" t="str">
        <f aca="false">IF(Need_1&lt;&gt;"","",C49*(1+Inflation_Choice))</f>
        <v/>
      </c>
      <c r="D50" s="87" t="str">
        <f aca="false">IF(Need_1&lt;&gt;"","",IF(E49=1,IF(Withdrawal_Timing="Start of year",(D49-C49)*(1+DD_Cautious),D49*(1+DD_Cautious)-C49),0))</f>
        <v/>
      </c>
      <c r="E50" s="86" t="str">
        <f aca="false">IF(Need_1&lt;&gt;"","",IF(Withdrawal_Timing="Start of year",IF(D50&gt;=C50,1,0),IF(D50*(1+DD_Cautious)&gt;=C50,1,0)))</f>
        <v/>
      </c>
      <c r="F50" s="87" t="str">
        <f aca="false">IF(Need_1&lt;&gt;"","",IF(G49=1,IF(Withdrawal_Timing="Start of year",(F49-C49)*(1+DD_Balanced),F49*(1+DD_Balanced)-C49),0))</f>
        <v/>
      </c>
      <c r="G50" s="86" t="str">
        <f aca="false">IF(Need_1&lt;&gt;"","",IF(Withdrawal_Timing="Start of year",IF(F50&gt;=C50,1,0),IF(F50*(1+DD_Balanced)&gt;=C50,1,0)))</f>
        <v/>
      </c>
      <c r="H50" s="87" t="str">
        <f aca="false">IF(Need_1&lt;&gt;"","",IF(I49=1,IF(Withdrawal_Timing="Start of year",(H49-C49)*(1+DD_Growth),H49*(1+DD_Growth)-C49),0))</f>
        <v/>
      </c>
      <c r="I50" s="86" t="str">
        <f aca="false">IF(Need_1&lt;&gt;"","",IF(Withdrawal_Timing="Start of year",IF(H50&gt;=C50,1,0),IF(H50*(1+DD_Growth)&gt;=C50,1,0)))</f>
        <v/>
      </c>
    </row>
    <row r="51" customFormat="false" ht="15" hidden="false" customHeight="true" outlineLevel="0" collapsed="false">
      <c r="B51" s="86" t="n">
        <v>19</v>
      </c>
      <c r="C51" s="87" t="str">
        <f aca="false">IF(Need_1&lt;&gt;"","",C50*(1+Inflation_Choice))</f>
        <v/>
      </c>
      <c r="D51" s="87" t="str">
        <f aca="false">IF(Need_1&lt;&gt;"","",IF(E50=1,IF(Withdrawal_Timing="Start of year",(D50-C50)*(1+DD_Cautious),D50*(1+DD_Cautious)-C50),0))</f>
        <v/>
      </c>
      <c r="E51" s="86" t="str">
        <f aca="false">IF(Need_1&lt;&gt;"","",IF(Withdrawal_Timing="Start of year",IF(D51&gt;=C51,1,0),IF(D51*(1+DD_Cautious)&gt;=C51,1,0)))</f>
        <v/>
      </c>
      <c r="F51" s="87" t="str">
        <f aca="false">IF(Need_1&lt;&gt;"","",IF(G50=1,IF(Withdrawal_Timing="Start of year",(F50-C50)*(1+DD_Balanced),F50*(1+DD_Balanced)-C50),0))</f>
        <v/>
      </c>
      <c r="G51" s="86" t="str">
        <f aca="false">IF(Need_1&lt;&gt;"","",IF(Withdrawal_Timing="Start of year",IF(F51&gt;=C51,1,0),IF(F51*(1+DD_Balanced)&gt;=C51,1,0)))</f>
        <v/>
      </c>
      <c r="H51" s="87" t="str">
        <f aca="false">IF(Need_1&lt;&gt;"","",IF(I50=1,IF(Withdrawal_Timing="Start of year",(H50-C50)*(1+DD_Growth),H50*(1+DD_Growth)-C50),0))</f>
        <v/>
      </c>
      <c r="I51" s="86" t="str">
        <f aca="false">IF(Need_1&lt;&gt;"","",IF(Withdrawal_Timing="Start of year",IF(H51&gt;=C51,1,0),IF(H51*(1+DD_Growth)&gt;=C51,1,0)))</f>
        <v/>
      </c>
    </row>
    <row r="52" customFormat="false" ht="15" hidden="false" customHeight="true" outlineLevel="0" collapsed="false">
      <c r="B52" s="86" t="n">
        <v>20</v>
      </c>
      <c r="C52" s="87" t="str">
        <f aca="false">IF(Need_1&lt;&gt;"","",C51*(1+Inflation_Choice))</f>
        <v/>
      </c>
      <c r="D52" s="87" t="str">
        <f aca="false">IF(Need_1&lt;&gt;"","",IF(E51=1,IF(Withdrawal_Timing="Start of year",(D51-C51)*(1+DD_Cautious),D51*(1+DD_Cautious)-C51),0))</f>
        <v/>
      </c>
      <c r="E52" s="86" t="str">
        <f aca="false">IF(Need_1&lt;&gt;"","",IF(Withdrawal_Timing="Start of year",IF(D52&gt;=C52,1,0),IF(D52*(1+DD_Cautious)&gt;=C52,1,0)))</f>
        <v/>
      </c>
      <c r="F52" s="87" t="str">
        <f aca="false">IF(Need_1&lt;&gt;"","",IF(G51=1,IF(Withdrawal_Timing="Start of year",(F51-C51)*(1+DD_Balanced),F51*(1+DD_Balanced)-C51),0))</f>
        <v/>
      </c>
      <c r="G52" s="86" t="str">
        <f aca="false">IF(Need_1&lt;&gt;"","",IF(Withdrawal_Timing="Start of year",IF(F52&gt;=C52,1,0),IF(F52*(1+DD_Balanced)&gt;=C52,1,0)))</f>
        <v/>
      </c>
      <c r="H52" s="87" t="str">
        <f aca="false">IF(Need_1&lt;&gt;"","",IF(I51=1,IF(Withdrawal_Timing="Start of year",(H51-C51)*(1+DD_Growth),H51*(1+DD_Growth)-C51),0))</f>
        <v/>
      </c>
      <c r="I52" s="86" t="str">
        <f aca="false">IF(Need_1&lt;&gt;"","",IF(Withdrawal_Timing="Start of year",IF(H52&gt;=C52,1,0),IF(H52*(1+DD_Growth)&gt;=C52,1,0)))</f>
        <v/>
      </c>
    </row>
    <row r="53" customFormat="false" ht="15" hidden="false" customHeight="true" outlineLevel="0" collapsed="false">
      <c r="B53" s="86" t="n">
        <v>21</v>
      </c>
      <c r="C53" s="87" t="str">
        <f aca="false">IF(Need_1&lt;&gt;"","",C52*(1+Inflation_Choice))</f>
        <v/>
      </c>
      <c r="D53" s="87" t="str">
        <f aca="false">IF(Need_1&lt;&gt;"","",IF(E52=1,IF(Withdrawal_Timing="Start of year",(D52-C52)*(1+DD_Cautious),D52*(1+DD_Cautious)-C52),0))</f>
        <v/>
      </c>
      <c r="E53" s="86" t="str">
        <f aca="false">IF(Need_1&lt;&gt;"","",IF(Withdrawal_Timing="Start of year",IF(D53&gt;=C53,1,0),IF(D53*(1+DD_Cautious)&gt;=C53,1,0)))</f>
        <v/>
      </c>
      <c r="F53" s="87" t="str">
        <f aca="false">IF(Need_1&lt;&gt;"","",IF(G52=1,IF(Withdrawal_Timing="Start of year",(F52-C52)*(1+DD_Balanced),F52*(1+DD_Balanced)-C52),0))</f>
        <v/>
      </c>
      <c r="G53" s="86" t="str">
        <f aca="false">IF(Need_1&lt;&gt;"","",IF(Withdrawal_Timing="Start of year",IF(F53&gt;=C53,1,0),IF(F53*(1+DD_Balanced)&gt;=C53,1,0)))</f>
        <v/>
      </c>
      <c r="H53" s="87" t="str">
        <f aca="false">IF(Need_1&lt;&gt;"","",IF(I52=1,IF(Withdrawal_Timing="Start of year",(H52-C52)*(1+DD_Growth),H52*(1+DD_Growth)-C52),0))</f>
        <v/>
      </c>
      <c r="I53" s="86" t="str">
        <f aca="false">IF(Need_1&lt;&gt;"","",IF(Withdrawal_Timing="Start of year",IF(H53&gt;=C53,1,0),IF(H53*(1+DD_Growth)&gt;=C53,1,0)))</f>
        <v/>
      </c>
    </row>
    <row r="54" customFormat="false" ht="15" hidden="false" customHeight="true" outlineLevel="0" collapsed="false">
      <c r="B54" s="86" t="n">
        <v>22</v>
      </c>
      <c r="C54" s="87" t="str">
        <f aca="false">IF(Need_1&lt;&gt;"","",C53*(1+Inflation_Choice))</f>
        <v/>
      </c>
      <c r="D54" s="87" t="str">
        <f aca="false">IF(Need_1&lt;&gt;"","",IF(E53=1,IF(Withdrawal_Timing="Start of year",(D53-C53)*(1+DD_Cautious),D53*(1+DD_Cautious)-C53),0))</f>
        <v/>
      </c>
      <c r="E54" s="86" t="str">
        <f aca="false">IF(Need_1&lt;&gt;"","",IF(Withdrawal_Timing="Start of year",IF(D54&gt;=C54,1,0),IF(D54*(1+DD_Cautious)&gt;=C54,1,0)))</f>
        <v/>
      </c>
      <c r="F54" s="87" t="str">
        <f aca="false">IF(Need_1&lt;&gt;"","",IF(G53=1,IF(Withdrawal_Timing="Start of year",(F53-C53)*(1+DD_Balanced),F53*(1+DD_Balanced)-C53),0))</f>
        <v/>
      </c>
      <c r="G54" s="86" t="str">
        <f aca="false">IF(Need_1&lt;&gt;"","",IF(Withdrawal_Timing="Start of year",IF(F54&gt;=C54,1,0),IF(F54*(1+DD_Balanced)&gt;=C54,1,0)))</f>
        <v/>
      </c>
      <c r="H54" s="87" t="str">
        <f aca="false">IF(Need_1&lt;&gt;"","",IF(I53=1,IF(Withdrawal_Timing="Start of year",(H53-C53)*(1+DD_Growth),H53*(1+DD_Growth)-C53),0))</f>
        <v/>
      </c>
      <c r="I54" s="86" t="str">
        <f aca="false">IF(Need_1&lt;&gt;"","",IF(Withdrawal_Timing="Start of year",IF(H54&gt;=C54,1,0),IF(H54*(1+DD_Growth)&gt;=C54,1,0)))</f>
        <v/>
      </c>
    </row>
    <row r="55" customFormat="false" ht="15" hidden="false" customHeight="true" outlineLevel="0" collapsed="false">
      <c r="B55" s="86" t="n">
        <v>23</v>
      </c>
      <c r="C55" s="87" t="str">
        <f aca="false">IF(Need_1&lt;&gt;"","",C54*(1+Inflation_Choice))</f>
        <v/>
      </c>
      <c r="D55" s="87" t="str">
        <f aca="false">IF(Need_1&lt;&gt;"","",IF(E54=1,IF(Withdrawal_Timing="Start of year",(D54-C54)*(1+DD_Cautious),D54*(1+DD_Cautious)-C54),0))</f>
        <v/>
      </c>
      <c r="E55" s="86" t="str">
        <f aca="false">IF(Need_1&lt;&gt;"","",IF(Withdrawal_Timing="Start of year",IF(D55&gt;=C55,1,0),IF(D55*(1+DD_Cautious)&gt;=C55,1,0)))</f>
        <v/>
      </c>
      <c r="F55" s="87" t="str">
        <f aca="false">IF(Need_1&lt;&gt;"","",IF(G54=1,IF(Withdrawal_Timing="Start of year",(F54-C54)*(1+DD_Balanced),F54*(1+DD_Balanced)-C54),0))</f>
        <v/>
      </c>
      <c r="G55" s="86" t="str">
        <f aca="false">IF(Need_1&lt;&gt;"","",IF(Withdrawal_Timing="Start of year",IF(F55&gt;=C55,1,0),IF(F55*(1+DD_Balanced)&gt;=C55,1,0)))</f>
        <v/>
      </c>
      <c r="H55" s="87" t="str">
        <f aca="false">IF(Need_1&lt;&gt;"","",IF(I54=1,IF(Withdrawal_Timing="Start of year",(H54-C54)*(1+DD_Growth),H54*(1+DD_Growth)-C54),0))</f>
        <v/>
      </c>
      <c r="I55" s="86" t="str">
        <f aca="false">IF(Need_1&lt;&gt;"","",IF(Withdrawal_Timing="Start of year",IF(H55&gt;=C55,1,0),IF(H55*(1+DD_Growth)&gt;=C55,1,0)))</f>
        <v/>
      </c>
    </row>
    <row r="56" customFormat="false" ht="15" hidden="false" customHeight="true" outlineLevel="0" collapsed="false">
      <c r="B56" s="86" t="n">
        <v>24</v>
      </c>
      <c r="C56" s="87" t="str">
        <f aca="false">IF(Need_1&lt;&gt;"","",C55*(1+Inflation_Choice))</f>
        <v/>
      </c>
      <c r="D56" s="87" t="str">
        <f aca="false">IF(Need_1&lt;&gt;"","",IF(E55=1,IF(Withdrawal_Timing="Start of year",(D55-C55)*(1+DD_Cautious),D55*(1+DD_Cautious)-C55),0))</f>
        <v/>
      </c>
      <c r="E56" s="86" t="str">
        <f aca="false">IF(Need_1&lt;&gt;"","",IF(Withdrawal_Timing="Start of year",IF(D56&gt;=C56,1,0),IF(D56*(1+DD_Cautious)&gt;=C56,1,0)))</f>
        <v/>
      </c>
      <c r="F56" s="87" t="str">
        <f aca="false">IF(Need_1&lt;&gt;"","",IF(G55=1,IF(Withdrawal_Timing="Start of year",(F55-C55)*(1+DD_Balanced),F55*(1+DD_Balanced)-C55),0))</f>
        <v/>
      </c>
      <c r="G56" s="86" t="str">
        <f aca="false">IF(Need_1&lt;&gt;"","",IF(Withdrawal_Timing="Start of year",IF(F56&gt;=C56,1,0),IF(F56*(1+DD_Balanced)&gt;=C56,1,0)))</f>
        <v/>
      </c>
      <c r="H56" s="87" t="str">
        <f aca="false">IF(Need_1&lt;&gt;"","",IF(I55=1,IF(Withdrawal_Timing="Start of year",(H55-C55)*(1+DD_Growth),H55*(1+DD_Growth)-C55),0))</f>
        <v/>
      </c>
      <c r="I56" s="86" t="str">
        <f aca="false">IF(Need_1&lt;&gt;"","",IF(Withdrawal_Timing="Start of year",IF(H56&gt;=C56,1,0),IF(H56*(1+DD_Growth)&gt;=C56,1,0)))</f>
        <v/>
      </c>
    </row>
    <row r="57" customFormat="false" ht="15" hidden="false" customHeight="true" outlineLevel="0" collapsed="false">
      <c r="B57" s="86" t="n">
        <v>25</v>
      </c>
      <c r="C57" s="87" t="str">
        <f aca="false">IF(Need_1&lt;&gt;"","",C56*(1+Inflation_Choice))</f>
        <v/>
      </c>
      <c r="D57" s="87" t="str">
        <f aca="false">IF(Need_1&lt;&gt;"","",IF(E56=1,IF(Withdrawal_Timing="Start of year",(D56-C56)*(1+DD_Cautious),D56*(1+DD_Cautious)-C56),0))</f>
        <v/>
      </c>
      <c r="E57" s="86" t="str">
        <f aca="false">IF(Need_1&lt;&gt;"","",IF(Withdrawal_Timing="Start of year",IF(D57&gt;=C57,1,0),IF(D57*(1+DD_Cautious)&gt;=C57,1,0)))</f>
        <v/>
      </c>
      <c r="F57" s="87" t="str">
        <f aca="false">IF(Need_1&lt;&gt;"","",IF(G56=1,IF(Withdrawal_Timing="Start of year",(F56-C56)*(1+DD_Balanced),F56*(1+DD_Balanced)-C56),0))</f>
        <v/>
      </c>
      <c r="G57" s="86" t="str">
        <f aca="false">IF(Need_1&lt;&gt;"","",IF(Withdrawal_Timing="Start of year",IF(F57&gt;=C57,1,0),IF(F57*(1+DD_Balanced)&gt;=C57,1,0)))</f>
        <v/>
      </c>
      <c r="H57" s="87" t="str">
        <f aca="false">IF(Need_1&lt;&gt;"","",IF(I56=1,IF(Withdrawal_Timing="Start of year",(H56-C56)*(1+DD_Growth),H56*(1+DD_Growth)-C56),0))</f>
        <v/>
      </c>
      <c r="I57" s="86" t="str">
        <f aca="false">IF(Need_1&lt;&gt;"","",IF(Withdrawal_Timing="Start of year",IF(H57&gt;=C57,1,0),IF(H57*(1+DD_Growth)&gt;=C57,1,0)))</f>
        <v/>
      </c>
    </row>
    <row r="58" customFormat="false" ht="15" hidden="false" customHeight="true" outlineLevel="0" collapsed="false">
      <c r="B58" s="86" t="n">
        <v>26</v>
      </c>
      <c r="C58" s="87" t="str">
        <f aca="false">IF(Need_1&lt;&gt;"","",C57*(1+Inflation_Choice))</f>
        <v/>
      </c>
      <c r="D58" s="87" t="str">
        <f aca="false">IF(Need_1&lt;&gt;"","",IF(E57=1,IF(Withdrawal_Timing="Start of year",(D57-C57)*(1+DD_Cautious),D57*(1+DD_Cautious)-C57),0))</f>
        <v/>
      </c>
      <c r="E58" s="86" t="str">
        <f aca="false">IF(Need_1&lt;&gt;"","",IF(Withdrawal_Timing="Start of year",IF(D58&gt;=C58,1,0),IF(D58*(1+DD_Cautious)&gt;=C58,1,0)))</f>
        <v/>
      </c>
      <c r="F58" s="87" t="str">
        <f aca="false">IF(Need_1&lt;&gt;"","",IF(G57=1,IF(Withdrawal_Timing="Start of year",(F57-C57)*(1+DD_Balanced),F57*(1+DD_Balanced)-C57),0))</f>
        <v/>
      </c>
      <c r="G58" s="86" t="str">
        <f aca="false">IF(Need_1&lt;&gt;"","",IF(Withdrawal_Timing="Start of year",IF(F58&gt;=C58,1,0),IF(F58*(1+DD_Balanced)&gt;=C58,1,0)))</f>
        <v/>
      </c>
      <c r="H58" s="87" t="str">
        <f aca="false">IF(Need_1&lt;&gt;"","",IF(I57=1,IF(Withdrawal_Timing="Start of year",(H57-C57)*(1+DD_Growth),H57*(1+DD_Growth)-C57),0))</f>
        <v/>
      </c>
      <c r="I58" s="86" t="str">
        <f aca="false">IF(Need_1&lt;&gt;"","",IF(Withdrawal_Timing="Start of year",IF(H58&gt;=C58,1,0),IF(H58*(1+DD_Growth)&gt;=C58,1,0)))</f>
        <v/>
      </c>
    </row>
    <row r="59" customFormat="false" ht="15" hidden="false" customHeight="true" outlineLevel="0" collapsed="false">
      <c r="B59" s="86" t="n">
        <v>27</v>
      </c>
      <c r="C59" s="87" t="str">
        <f aca="false">IF(Need_1&lt;&gt;"","",C58*(1+Inflation_Choice))</f>
        <v/>
      </c>
      <c r="D59" s="87" t="str">
        <f aca="false">IF(Need_1&lt;&gt;"","",IF(E58=1,IF(Withdrawal_Timing="Start of year",(D58-C58)*(1+DD_Cautious),D58*(1+DD_Cautious)-C58),0))</f>
        <v/>
      </c>
      <c r="E59" s="86" t="str">
        <f aca="false">IF(Need_1&lt;&gt;"","",IF(Withdrawal_Timing="Start of year",IF(D59&gt;=C59,1,0),IF(D59*(1+DD_Cautious)&gt;=C59,1,0)))</f>
        <v/>
      </c>
      <c r="F59" s="87" t="str">
        <f aca="false">IF(Need_1&lt;&gt;"","",IF(G58=1,IF(Withdrawal_Timing="Start of year",(F58-C58)*(1+DD_Balanced),F58*(1+DD_Balanced)-C58),0))</f>
        <v/>
      </c>
      <c r="G59" s="86" t="str">
        <f aca="false">IF(Need_1&lt;&gt;"","",IF(Withdrawal_Timing="Start of year",IF(F59&gt;=C59,1,0),IF(F59*(1+DD_Balanced)&gt;=C59,1,0)))</f>
        <v/>
      </c>
      <c r="H59" s="87" t="str">
        <f aca="false">IF(Need_1&lt;&gt;"","",IF(I58=1,IF(Withdrawal_Timing="Start of year",(H58-C58)*(1+DD_Growth),H58*(1+DD_Growth)-C58),0))</f>
        <v/>
      </c>
      <c r="I59" s="86" t="str">
        <f aca="false">IF(Need_1&lt;&gt;"","",IF(Withdrawal_Timing="Start of year",IF(H59&gt;=C59,1,0),IF(H59*(1+DD_Growth)&gt;=C59,1,0)))</f>
        <v/>
      </c>
    </row>
    <row r="60" customFormat="false" ht="15" hidden="false" customHeight="true" outlineLevel="0" collapsed="false">
      <c r="B60" s="86" t="n">
        <v>28</v>
      </c>
      <c r="C60" s="87" t="str">
        <f aca="false">IF(Need_1&lt;&gt;"","",C59*(1+Inflation_Choice))</f>
        <v/>
      </c>
      <c r="D60" s="87" t="str">
        <f aca="false">IF(Need_1&lt;&gt;"","",IF(E59=1,IF(Withdrawal_Timing="Start of year",(D59-C59)*(1+DD_Cautious),D59*(1+DD_Cautious)-C59),0))</f>
        <v/>
      </c>
      <c r="E60" s="86" t="str">
        <f aca="false">IF(Need_1&lt;&gt;"","",IF(Withdrawal_Timing="Start of year",IF(D60&gt;=C60,1,0),IF(D60*(1+DD_Cautious)&gt;=C60,1,0)))</f>
        <v/>
      </c>
      <c r="F60" s="87" t="str">
        <f aca="false">IF(Need_1&lt;&gt;"","",IF(G59=1,IF(Withdrawal_Timing="Start of year",(F59-C59)*(1+DD_Balanced),F59*(1+DD_Balanced)-C59),0))</f>
        <v/>
      </c>
      <c r="G60" s="86" t="str">
        <f aca="false">IF(Need_1&lt;&gt;"","",IF(Withdrawal_Timing="Start of year",IF(F60&gt;=C60,1,0),IF(F60*(1+DD_Balanced)&gt;=C60,1,0)))</f>
        <v/>
      </c>
      <c r="H60" s="87" t="str">
        <f aca="false">IF(Need_1&lt;&gt;"","",IF(I59=1,IF(Withdrawal_Timing="Start of year",(H59-C59)*(1+DD_Growth),H59*(1+DD_Growth)-C59),0))</f>
        <v/>
      </c>
      <c r="I60" s="86" t="str">
        <f aca="false">IF(Need_1&lt;&gt;"","",IF(Withdrawal_Timing="Start of year",IF(H60&gt;=C60,1,0),IF(H60*(1+DD_Growth)&gt;=C60,1,0)))</f>
        <v/>
      </c>
    </row>
    <row r="61" customFormat="false" ht="15" hidden="false" customHeight="true" outlineLevel="0" collapsed="false">
      <c r="B61" s="86" t="n">
        <v>29</v>
      </c>
      <c r="C61" s="87" t="str">
        <f aca="false">IF(Need_1&lt;&gt;"","",C60*(1+Inflation_Choice))</f>
        <v/>
      </c>
      <c r="D61" s="87" t="str">
        <f aca="false">IF(Need_1&lt;&gt;"","",IF(E60=1,IF(Withdrawal_Timing="Start of year",(D60-C60)*(1+DD_Cautious),D60*(1+DD_Cautious)-C60),0))</f>
        <v/>
      </c>
      <c r="E61" s="86" t="str">
        <f aca="false">IF(Need_1&lt;&gt;"","",IF(Withdrawal_Timing="Start of year",IF(D61&gt;=C61,1,0),IF(D61*(1+DD_Cautious)&gt;=C61,1,0)))</f>
        <v/>
      </c>
      <c r="F61" s="87" t="str">
        <f aca="false">IF(Need_1&lt;&gt;"","",IF(G60=1,IF(Withdrawal_Timing="Start of year",(F60-C60)*(1+DD_Balanced),F60*(1+DD_Balanced)-C60),0))</f>
        <v/>
      </c>
      <c r="G61" s="86" t="str">
        <f aca="false">IF(Need_1&lt;&gt;"","",IF(Withdrawal_Timing="Start of year",IF(F61&gt;=C61,1,0),IF(F61*(1+DD_Balanced)&gt;=C61,1,0)))</f>
        <v/>
      </c>
      <c r="H61" s="87" t="str">
        <f aca="false">IF(Need_1&lt;&gt;"","",IF(I60=1,IF(Withdrawal_Timing="Start of year",(H60-C60)*(1+DD_Growth),H60*(1+DD_Growth)-C60),0))</f>
        <v/>
      </c>
      <c r="I61" s="86" t="str">
        <f aca="false">IF(Need_1&lt;&gt;"","",IF(Withdrawal_Timing="Start of year",IF(H61&gt;=C61,1,0),IF(H61*(1+DD_Growth)&gt;=C61,1,0)))</f>
        <v/>
      </c>
    </row>
    <row r="62" customFormat="false" ht="15" hidden="false" customHeight="true" outlineLevel="0" collapsed="false">
      <c r="B62" s="86" t="n">
        <v>30</v>
      </c>
      <c r="C62" s="87" t="str">
        <f aca="false">IF(Need_1&lt;&gt;"","",C61*(1+Inflation_Choice))</f>
        <v/>
      </c>
      <c r="D62" s="87" t="str">
        <f aca="false">IF(Need_1&lt;&gt;"","",IF(E61=1,IF(Withdrawal_Timing="Start of year",(D61-C61)*(1+DD_Cautious),D61*(1+DD_Cautious)-C61),0))</f>
        <v/>
      </c>
      <c r="E62" s="86" t="str">
        <f aca="false">IF(Need_1&lt;&gt;"","",IF(Withdrawal_Timing="Start of year",IF(D62&gt;=C62,1,0),IF(D62*(1+DD_Cautious)&gt;=C62,1,0)))</f>
        <v/>
      </c>
      <c r="F62" s="87" t="str">
        <f aca="false">IF(Need_1&lt;&gt;"","",IF(G61=1,IF(Withdrawal_Timing="Start of year",(F61-C61)*(1+DD_Balanced),F61*(1+DD_Balanced)-C61),0))</f>
        <v/>
      </c>
      <c r="G62" s="86" t="str">
        <f aca="false">IF(Need_1&lt;&gt;"","",IF(Withdrawal_Timing="Start of year",IF(F62&gt;=C62,1,0),IF(F62*(1+DD_Balanced)&gt;=C62,1,0)))</f>
        <v/>
      </c>
      <c r="H62" s="87" t="str">
        <f aca="false">IF(Need_1&lt;&gt;"","",IF(I61=1,IF(Withdrawal_Timing="Start of year",(H61-C61)*(1+DD_Growth),H61*(1+DD_Growth)-C61),0))</f>
        <v/>
      </c>
      <c r="I62" s="86" t="str">
        <f aca="false">IF(Need_1&lt;&gt;"","",IF(Withdrawal_Timing="Start of year",IF(H62&gt;=C62,1,0),IF(H62*(1+DD_Growth)&gt;=C62,1,0)))</f>
        <v/>
      </c>
    </row>
    <row r="63" customFormat="false" ht="15" hidden="false" customHeight="true" outlineLevel="0" collapsed="false">
      <c r="B63" s="86" t="n">
        <v>31</v>
      </c>
      <c r="C63" s="87" t="str">
        <f aca="false">IF(Need_1&lt;&gt;"","",C62*(1+Inflation_Choice))</f>
        <v/>
      </c>
      <c r="D63" s="87" t="str">
        <f aca="false">IF(Need_1&lt;&gt;"","",IF(E62=1,IF(Withdrawal_Timing="Start of year",(D62-C62)*(1+DD_Cautious),D62*(1+DD_Cautious)-C62),0))</f>
        <v/>
      </c>
      <c r="E63" s="86" t="str">
        <f aca="false">IF(Need_1&lt;&gt;"","",IF(Withdrawal_Timing="Start of year",IF(D63&gt;=C63,1,0),IF(D63*(1+DD_Cautious)&gt;=C63,1,0)))</f>
        <v/>
      </c>
      <c r="F63" s="87" t="str">
        <f aca="false">IF(Need_1&lt;&gt;"","",IF(G62=1,IF(Withdrawal_Timing="Start of year",(F62-C62)*(1+DD_Balanced),F62*(1+DD_Balanced)-C62),0))</f>
        <v/>
      </c>
      <c r="G63" s="86" t="str">
        <f aca="false">IF(Need_1&lt;&gt;"","",IF(Withdrawal_Timing="Start of year",IF(F63&gt;=C63,1,0),IF(F63*(1+DD_Balanced)&gt;=C63,1,0)))</f>
        <v/>
      </c>
      <c r="H63" s="87" t="str">
        <f aca="false">IF(Need_1&lt;&gt;"","",IF(I62=1,IF(Withdrawal_Timing="Start of year",(H62-C62)*(1+DD_Growth),H62*(1+DD_Growth)-C62),0))</f>
        <v/>
      </c>
      <c r="I63" s="86" t="str">
        <f aca="false">IF(Need_1&lt;&gt;"","",IF(Withdrawal_Timing="Start of year",IF(H63&gt;=C63,1,0),IF(H63*(1+DD_Growth)&gt;=C63,1,0)))</f>
        <v/>
      </c>
    </row>
    <row r="64" customFormat="false" ht="15" hidden="false" customHeight="true" outlineLevel="0" collapsed="false">
      <c r="B64" s="86" t="n">
        <v>32</v>
      </c>
      <c r="C64" s="87" t="str">
        <f aca="false">IF(Need_1&lt;&gt;"","",C63*(1+Inflation_Choice))</f>
        <v/>
      </c>
      <c r="D64" s="87" t="str">
        <f aca="false">IF(Need_1&lt;&gt;"","",IF(E63=1,IF(Withdrawal_Timing="Start of year",(D63-C63)*(1+DD_Cautious),D63*(1+DD_Cautious)-C63),0))</f>
        <v/>
      </c>
      <c r="E64" s="86" t="str">
        <f aca="false">IF(Need_1&lt;&gt;"","",IF(Withdrawal_Timing="Start of year",IF(D64&gt;=C64,1,0),IF(D64*(1+DD_Cautious)&gt;=C64,1,0)))</f>
        <v/>
      </c>
      <c r="F64" s="87" t="str">
        <f aca="false">IF(Need_1&lt;&gt;"","",IF(G63=1,IF(Withdrawal_Timing="Start of year",(F63-C63)*(1+DD_Balanced),F63*(1+DD_Balanced)-C63),0))</f>
        <v/>
      </c>
      <c r="G64" s="86" t="str">
        <f aca="false">IF(Need_1&lt;&gt;"","",IF(Withdrawal_Timing="Start of year",IF(F64&gt;=C64,1,0),IF(F64*(1+DD_Balanced)&gt;=C64,1,0)))</f>
        <v/>
      </c>
      <c r="H64" s="87" t="str">
        <f aca="false">IF(Need_1&lt;&gt;"","",IF(I63=1,IF(Withdrawal_Timing="Start of year",(H63-C63)*(1+DD_Growth),H63*(1+DD_Growth)-C63),0))</f>
        <v/>
      </c>
      <c r="I64" s="86" t="str">
        <f aca="false">IF(Need_1&lt;&gt;"","",IF(Withdrawal_Timing="Start of year",IF(H64&gt;=C64,1,0),IF(H64*(1+DD_Growth)&gt;=C64,1,0)))</f>
        <v/>
      </c>
    </row>
    <row r="65" customFormat="false" ht="15" hidden="false" customHeight="true" outlineLevel="0" collapsed="false">
      <c r="B65" s="86" t="n">
        <v>33</v>
      </c>
      <c r="C65" s="87" t="str">
        <f aca="false">IF(Need_1&lt;&gt;"","",C64*(1+Inflation_Choice))</f>
        <v/>
      </c>
      <c r="D65" s="87" t="str">
        <f aca="false">IF(Need_1&lt;&gt;"","",IF(E64=1,IF(Withdrawal_Timing="Start of year",(D64-C64)*(1+DD_Cautious),D64*(1+DD_Cautious)-C64),0))</f>
        <v/>
      </c>
      <c r="E65" s="86" t="str">
        <f aca="false">IF(Need_1&lt;&gt;"","",IF(Withdrawal_Timing="Start of year",IF(D65&gt;=C65,1,0),IF(D65*(1+DD_Cautious)&gt;=C65,1,0)))</f>
        <v/>
      </c>
      <c r="F65" s="87" t="str">
        <f aca="false">IF(Need_1&lt;&gt;"","",IF(G64=1,IF(Withdrawal_Timing="Start of year",(F64-C64)*(1+DD_Balanced),F64*(1+DD_Balanced)-C64),0))</f>
        <v/>
      </c>
      <c r="G65" s="86" t="str">
        <f aca="false">IF(Need_1&lt;&gt;"","",IF(Withdrawal_Timing="Start of year",IF(F65&gt;=C65,1,0),IF(F65*(1+DD_Balanced)&gt;=C65,1,0)))</f>
        <v/>
      </c>
      <c r="H65" s="87" t="str">
        <f aca="false">IF(Need_1&lt;&gt;"","",IF(I64=1,IF(Withdrawal_Timing="Start of year",(H64-C64)*(1+DD_Growth),H64*(1+DD_Growth)-C64),0))</f>
        <v/>
      </c>
      <c r="I65" s="86" t="str">
        <f aca="false">IF(Need_1&lt;&gt;"","",IF(Withdrawal_Timing="Start of year",IF(H65&gt;=C65,1,0),IF(H65*(1+DD_Growth)&gt;=C65,1,0)))</f>
        <v/>
      </c>
    </row>
    <row r="66" customFormat="false" ht="15" hidden="false" customHeight="true" outlineLevel="0" collapsed="false">
      <c r="B66" s="86" t="n">
        <v>34</v>
      </c>
      <c r="C66" s="87" t="str">
        <f aca="false">IF(Need_1&lt;&gt;"","",C65*(1+Inflation_Choice))</f>
        <v/>
      </c>
      <c r="D66" s="87" t="str">
        <f aca="false">IF(Need_1&lt;&gt;"","",IF(E65=1,IF(Withdrawal_Timing="Start of year",(D65-C65)*(1+DD_Cautious),D65*(1+DD_Cautious)-C65),0))</f>
        <v/>
      </c>
      <c r="E66" s="86" t="str">
        <f aca="false">IF(Need_1&lt;&gt;"","",IF(Withdrawal_Timing="Start of year",IF(D66&gt;=C66,1,0),IF(D66*(1+DD_Cautious)&gt;=C66,1,0)))</f>
        <v/>
      </c>
      <c r="F66" s="87" t="str">
        <f aca="false">IF(Need_1&lt;&gt;"","",IF(G65=1,IF(Withdrawal_Timing="Start of year",(F65-C65)*(1+DD_Balanced),F65*(1+DD_Balanced)-C65),0))</f>
        <v/>
      </c>
      <c r="G66" s="86" t="str">
        <f aca="false">IF(Need_1&lt;&gt;"","",IF(Withdrawal_Timing="Start of year",IF(F66&gt;=C66,1,0),IF(F66*(1+DD_Balanced)&gt;=C66,1,0)))</f>
        <v/>
      </c>
      <c r="H66" s="87" t="str">
        <f aca="false">IF(Need_1&lt;&gt;"","",IF(I65=1,IF(Withdrawal_Timing="Start of year",(H65-C65)*(1+DD_Growth),H65*(1+DD_Growth)-C65),0))</f>
        <v/>
      </c>
      <c r="I66" s="86" t="str">
        <f aca="false">IF(Need_1&lt;&gt;"","",IF(Withdrawal_Timing="Start of year",IF(H66&gt;=C66,1,0),IF(H66*(1+DD_Growth)&gt;=C66,1,0)))</f>
        <v/>
      </c>
    </row>
    <row r="67" customFormat="false" ht="15" hidden="false" customHeight="true" outlineLevel="0" collapsed="false">
      <c r="B67" s="86" t="n">
        <v>35</v>
      </c>
      <c r="C67" s="87" t="str">
        <f aca="false">IF(Need_1&lt;&gt;"","",C66*(1+Inflation_Choice))</f>
        <v/>
      </c>
      <c r="D67" s="87" t="str">
        <f aca="false">IF(Need_1&lt;&gt;"","",IF(E66=1,IF(Withdrawal_Timing="Start of year",(D66-C66)*(1+DD_Cautious),D66*(1+DD_Cautious)-C66),0))</f>
        <v/>
      </c>
      <c r="E67" s="86" t="str">
        <f aca="false">IF(Need_1&lt;&gt;"","",IF(Withdrawal_Timing="Start of year",IF(D67&gt;=C67,1,0),IF(D67*(1+DD_Cautious)&gt;=C67,1,0)))</f>
        <v/>
      </c>
      <c r="F67" s="87" t="str">
        <f aca="false">IF(Need_1&lt;&gt;"","",IF(G66=1,IF(Withdrawal_Timing="Start of year",(F66-C66)*(1+DD_Balanced),F66*(1+DD_Balanced)-C66),0))</f>
        <v/>
      </c>
      <c r="G67" s="86" t="str">
        <f aca="false">IF(Need_1&lt;&gt;"","",IF(Withdrawal_Timing="Start of year",IF(F67&gt;=C67,1,0),IF(F67*(1+DD_Balanced)&gt;=C67,1,0)))</f>
        <v/>
      </c>
      <c r="H67" s="87" t="str">
        <f aca="false">IF(Need_1&lt;&gt;"","",IF(I66=1,IF(Withdrawal_Timing="Start of year",(H66-C66)*(1+DD_Growth),H66*(1+DD_Growth)-C66),0))</f>
        <v/>
      </c>
      <c r="I67" s="86" t="str">
        <f aca="false">IF(Need_1&lt;&gt;"","",IF(Withdrawal_Timing="Start of year",IF(H67&gt;=C67,1,0),IF(H67*(1+DD_Growth)&gt;=C67,1,0)))</f>
        <v/>
      </c>
    </row>
    <row r="68" customFormat="false" ht="15" hidden="false" customHeight="true" outlineLevel="0" collapsed="false">
      <c r="B68" s="86" t="n">
        <v>36</v>
      </c>
      <c r="C68" s="87" t="str">
        <f aca="false">IF(Need_1&lt;&gt;"","",C67*(1+Inflation_Choice))</f>
        <v/>
      </c>
      <c r="D68" s="87" t="str">
        <f aca="false">IF(Need_1&lt;&gt;"","",IF(E67=1,IF(Withdrawal_Timing="Start of year",(D67-C67)*(1+DD_Cautious),D67*(1+DD_Cautious)-C67),0))</f>
        <v/>
      </c>
      <c r="E68" s="86" t="str">
        <f aca="false">IF(Need_1&lt;&gt;"","",IF(Withdrawal_Timing="Start of year",IF(D68&gt;=C68,1,0),IF(D68*(1+DD_Cautious)&gt;=C68,1,0)))</f>
        <v/>
      </c>
      <c r="F68" s="87" t="str">
        <f aca="false">IF(Need_1&lt;&gt;"","",IF(G67=1,IF(Withdrawal_Timing="Start of year",(F67-C67)*(1+DD_Balanced),F67*(1+DD_Balanced)-C67),0))</f>
        <v/>
      </c>
      <c r="G68" s="86" t="str">
        <f aca="false">IF(Need_1&lt;&gt;"","",IF(Withdrawal_Timing="Start of year",IF(F68&gt;=C68,1,0),IF(F68*(1+DD_Balanced)&gt;=C68,1,0)))</f>
        <v/>
      </c>
      <c r="H68" s="87" t="str">
        <f aca="false">IF(Need_1&lt;&gt;"","",IF(I67=1,IF(Withdrawal_Timing="Start of year",(H67-C67)*(1+DD_Growth),H67*(1+DD_Growth)-C67),0))</f>
        <v/>
      </c>
      <c r="I68" s="86" t="str">
        <f aca="false">IF(Need_1&lt;&gt;"","",IF(Withdrawal_Timing="Start of year",IF(H68&gt;=C68,1,0),IF(H68*(1+DD_Growth)&gt;=C68,1,0)))</f>
        <v/>
      </c>
    </row>
    <row r="69" customFormat="false" ht="15" hidden="false" customHeight="true" outlineLevel="0" collapsed="false">
      <c r="B69" s="86" t="n">
        <v>37</v>
      </c>
      <c r="C69" s="87" t="str">
        <f aca="false">IF(Need_1&lt;&gt;"","",C68*(1+Inflation_Choice))</f>
        <v/>
      </c>
      <c r="D69" s="87" t="str">
        <f aca="false">IF(Need_1&lt;&gt;"","",IF(E68=1,IF(Withdrawal_Timing="Start of year",(D68-C68)*(1+DD_Cautious),D68*(1+DD_Cautious)-C68),0))</f>
        <v/>
      </c>
      <c r="E69" s="86" t="str">
        <f aca="false">IF(Need_1&lt;&gt;"","",IF(Withdrawal_Timing="Start of year",IF(D69&gt;=C69,1,0),IF(D69*(1+DD_Cautious)&gt;=C69,1,0)))</f>
        <v/>
      </c>
      <c r="F69" s="87" t="str">
        <f aca="false">IF(Need_1&lt;&gt;"","",IF(G68=1,IF(Withdrawal_Timing="Start of year",(F68-C68)*(1+DD_Balanced),F68*(1+DD_Balanced)-C68),0))</f>
        <v/>
      </c>
      <c r="G69" s="86" t="str">
        <f aca="false">IF(Need_1&lt;&gt;"","",IF(Withdrawal_Timing="Start of year",IF(F69&gt;=C69,1,0),IF(F69*(1+DD_Balanced)&gt;=C69,1,0)))</f>
        <v/>
      </c>
      <c r="H69" s="87" t="str">
        <f aca="false">IF(Need_1&lt;&gt;"","",IF(I68=1,IF(Withdrawal_Timing="Start of year",(H68-C68)*(1+DD_Growth),H68*(1+DD_Growth)-C68),0))</f>
        <v/>
      </c>
      <c r="I69" s="86" t="str">
        <f aca="false">IF(Need_1&lt;&gt;"","",IF(Withdrawal_Timing="Start of year",IF(H69&gt;=C69,1,0),IF(H69*(1+DD_Growth)&gt;=C69,1,0)))</f>
        <v/>
      </c>
    </row>
    <row r="70" customFormat="false" ht="15" hidden="false" customHeight="true" outlineLevel="0" collapsed="false">
      <c r="B70" s="86" t="n">
        <v>38</v>
      </c>
      <c r="C70" s="87" t="str">
        <f aca="false">IF(Need_1&lt;&gt;"","",C69*(1+Inflation_Choice))</f>
        <v/>
      </c>
      <c r="D70" s="87" t="str">
        <f aca="false">IF(Need_1&lt;&gt;"","",IF(E69=1,IF(Withdrawal_Timing="Start of year",(D69-C69)*(1+DD_Cautious),D69*(1+DD_Cautious)-C69),0))</f>
        <v/>
      </c>
      <c r="E70" s="86" t="str">
        <f aca="false">IF(Need_1&lt;&gt;"","",IF(Withdrawal_Timing="Start of year",IF(D70&gt;=C70,1,0),IF(D70*(1+DD_Cautious)&gt;=C70,1,0)))</f>
        <v/>
      </c>
      <c r="F70" s="87" t="str">
        <f aca="false">IF(Need_1&lt;&gt;"","",IF(G69=1,IF(Withdrawal_Timing="Start of year",(F69-C69)*(1+DD_Balanced),F69*(1+DD_Balanced)-C69),0))</f>
        <v/>
      </c>
      <c r="G70" s="86" t="str">
        <f aca="false">IF(Need_1&lt;&gt;"","",IF(Withdrawal_Timing="Start of year",IF(F70&gt;=C70,1,0),IF(F70*(1+DD_Balanced)&gt;=C70,1,0)))</f>
        <v/>
      </c>
      <c r="H70" s="87" t="str">
        <f aca="false">IF(Need_1&lt;&gt;"","",IF(I69=1,IF(Withdrawal_Timing="Start of year",(H69-C69)*(1+DD_Growth),H69*(1+DD_Growth)-C69),0))</f>
        <v/>
      </c>
      <c r="I70" s="86" t="str">
        <f aca="false">IF(Need_1&lt;&gt;"","",IF(Withdrawal_Timing="Start of year",IF(H70&gt;=C70,1,0),IF(H70*(1+DD_Growth)&gt;=C70,1,0)))</f>
        <v/>
      </c>
    </row>
    <row r="71" customFormat="false" ht="15" hidden="false" customHeight="true" outlineLevel="0" collapsed="false">
      <c r="B71" s="86" t="n">
        <v>39</v>
      </c>
      <c r="C71" s="87" t="str">
        <f aca="false">IF(Need_1&lt;&gt;"","",C70*(1+Inflation_Choice))</f>
        <v/>
      </c>
      <c r="D71" s="87" t="str">
        <f aca="false">IF(Need_1&lt;&gt;"","",IF(E70=1,IF(Withdrawal_Timing="Start of year",(D70-C70)*(1+DD_Cautious),D70*(1+DD_Cautious)-C70),0))</f>
        <v/>
      </c>
      <c r="E71" s="86" t="str">
        <f aca="false">IF(Need_1&lt;&gt;"","",IF(Withdrawal_Timing="Start of year",IF(D71&gt;=C71,1,0),IF(D71*(1+DD_Cautious)&gt;=C71,1,0)))</f>
        <v/>
      </c>
      <c r="F71" s="87" t="str">
        <f aca="false">IF(Need_1&lt;&gt;"","",IF(G70=1,IF(Withdrawal_Timing="Start of year",(F70-C70)*(1+DD_Balanced),F70*(1+DD_Balanced)-C70),0))</f>
        <v/>
      </c>
      <c r="G71" s="86" t="str">
        <f aca="false">IF(Need_1&lt;&gt;"","",IF(Withdrawal_Timing="Start of year",IF(F71&gt;=C71,1,0),IF(F71*(1+DD_Balanced)&gt;=C71,1,0)))</f>
        <v/>
      </c>
      <c r="H71" s="87" t="str">
        <f aca="false">IF(Need_1&lt;&gt;"","",IF(I70=1,IF(Withdrawal_Timing="Start of year",(H70-C70)*(1+DD_Growth),H70*(1+DD_Growth)-C70),0))</f>
        <v/>
      </c>
      <c r="I71" s="86" t="str">
        <f aca="false">IF(Need_1&lt;&gt;"","",IF(Withdrawal_Timing="Start of year",IF(H71&gt;=C71,1,0),IF(H71*(1+DD_Growth)&gt;=C71,1,0)))</f>
        <v/>
      </c>
    </row>
    <row r="72" customFormat="false" ht="15" hidden="false" customHeight="true" outlineLevel="0" collapsed="false">
      <c r="B72" s="86" t="n">
        <v>40</v>
      </c>
      <c r="C72" s="87" t="str">
        <f aca="false">IF(Need_1&lt;&gt;"","",C71*(1+Inflation_Choice))</f>
        <v/>
      </c>
      <c r="D72" s="87" t="str">
        <f aca="false">IF(Need_1&lt;&gt;"","",IF(E71=1,IF(Withdrawal_Timing="Start of year",(D71-C71)*(1+DD_Cautious),D71*(1+DD_Cautious)-C71),0))</f>
        <v/>
      </c>
      <c r="E72" s="86" t="str">
        <f aca="false">IF(Need_1&lt;&gt;"","",IF(Withdrawal_Timing="Start of year",IF(D72&gt;=C72,1,0),IF(D72*(1+DD_Cautious)&gt;=C72,1,0)))</f>
        <v/>
      </c>
      <c r="F72" s="87" t="str">
        <f aca="false">IF(Need_1&lt;&gt;"","",IF(G71=1,IF(Withdrawal_Timing="Start of year",(F71-C71)*(1+DD_Balanced),F71*(1+DD_Balanced)-C71),0))</f>
        <v/>
      </c>
      <c r="G72" s="86" t="str">
        <f aca="false">IF(Need_1&lt;&gt;"","",IF(Withdrawal_Timing="Start of year",IF(F72&gt;=C72,1,0),IF(F72*(1+DD_Balanced)&gt;=C72,1,0)))</f>
        <v/>
      </c>
      <c r="H72" s="87" t="str">
        <f aca="false">IF(Need_1&lt;&gt;"","",IF(I71=1,IF(Withdrawal_Timing="Start of year",(H71-C71)*(1+DD_Growth),H71*(1+DD_Growth)-C71),0))</f>
        <v/>
      </c>
      <c r="I72" s="86" t="str">
        <f aca="false">IF(Need_1&lt;&gt;"","",IF(Withdrawal_Timing="Start of year",IF(H72&gt;=C72,1,0),IF(H72*(1+DD_Growth)&gt;=C72,1,0)))</f>
        <v/>
      </c>
    </row>
    <row r="73" customFormat="false" ht="15" hidden="false" customHeight="true" outlineLevel="0" collapsed="false">
      <c r="B73" s="86" t="n">
        <v>41</v>
      </c>
      <c r="C73" s="87" t="str">
        <f aca="false">IF(Need_1&lt;&gt;"","",C72*(1+Inflation_Choice))</f>
        <v/>
      </c>
      <c r="D73" s="87" t="str">
        <f aca="false">IF(Need_1&lt;&gt;"","",IF(E72=1,IF(Withdrawal_Timing="Start of year",(D72-C72)*(1+DD_Cautious),D72*(1+DD_Cautious)-C72),0))</f>
        <v/>
      </c>
      <c r="E73" s="86" t="str">
        <f aca="false">IF(Need_1&lt;&gt;"","",IF(Withdrawal_Timing="Start of year",IF(D73&gt;=C73,1,0),IF(D73*(1+DD_Cautious)&gt;=C73,1,0)))</f>
        <v/>
      </c>
      <c r="F73" s="87" t="str">
        <f aca="false">IF(Need_1&lt;&gt;"","",IF(G72=1,IF(Withdrawal_Timing="Start of year",(F72-C72)*(1+DD_Balanced),F72*(1+DD_Balanced)-C72),0))</f>
        <v/>
      </c>
      <c r="G73" s="86" t="str">
        <f aca="false">IF(Need_1&lt;&gt;"","",IF(Withdrawal_Timing="Start of year",IF(F73&gt;=C73,1,0),IF(F73*(1+DD_Balanced)&gt;=C73,1,0)))</f>
        <v/>
      </c>
      <c r="H73" s="87" t="str">
        <f aca="false">IF(Need_1&lt;&gt;"","",IF(I72=1,IF(Withdrawal_Timing="Start of year",(H72-C72)*(1+DD_Growth),H72*(1+DD_Growth)-C72),0))</f>
        <v/>
      </c>
      <c r="I73" s="86" t="str">
        <f aca="false">IF(Need_1&lt;&gt;"","",IF(Withdrawal_Timing="Start of year",IF(H73&gt;=C73,1,0),IF(H73*(1+DD_Growth)&gt;=C73,1,0)))</f>
        <v/>
      </c>
    </row>
    <row r="74" customFormat="false" ht="15" hidden="false" customHeight="true" outlineLevel="0" collapsed="false">
      <c r="B74" s="86" t="n">
        <v>42</v>
      </c>
      <c r="C74" s="87" t="str">
        <f aca="false">IF(Need_1&lt;&gt;"","",C73*(1+Inflation_Choice))</f>
        <v/>
      </c>
      <c r="D74" s="87" t="str">
        <f aca="false">IF(Need_1&lt;&gt;"","",IF(E73=1,IF(Withdrawal_Timing="Start of year",(D73-C73)*(1+DD_Cautious),D73*(1+DD_Cautious)-C73),0))</f>
        <v/>
      </c>
      <c r="E74" s="86" t="str">
        <f aca="false">IF(Need_1&lt;&gt;"","",IF(Withdrawal_Timing="Start of year",IF(D74&gt;=C74,1,0),IF(D74*(1+DD_Cautious)&gt;=C74,1,0)))</f>
        <v/>
      </c>
      <c r="F74" s="87" t="str">
        <f aca="false">IF(Need_1&lt;&gt;"","",IF(G73=1,IF(Withdrawal_Timing="Start of year",(F73-C73)*(1+DD_Balanced),F73*(1+DD_Balanced)-C73),0))</f>
        <v/>
      </c>
      <c r="G74" s="86" t="str">
        <f aca="false">IF(Need_1&lt;&gt;"","",IF(Withdrawal_Timing="Start of year",IF(F74&gt;=C74,1,0),IF(F74*(1+DD_Balanced)&gt;=C74,1,0)))</f>
        <v/>
      </c>
      <c r="H74" s="87" t="str">
        <f aca="false">IF(Need_1&lt;&gt;"","",IF(I73=1,IF(Withdrawal_Timing="Start of year",(H73-C73)*(1+DD_Growth),H73*(1+DD_Growth)-C73),0))</f>
        <v/>
      </c>
      <c r="I74" s="86" t="str">
        <f aca="false">IF(Need_1&lt;&gt;"","",IF(Withdrawal_Timing="Start of year",IF(H74&gt;=C74,1,0),IF(H74*(1+DD_Growth)&gt;=C74,1,0)))</f>
        <v/>
      </c>
    </row>
    <row r="75" customFormat="false" ht="15" hidden="false" customHeight="true" outlineLevel="0" collapsed="false">
      <c r="B75" s="86" t="n">
        <v>43</v>
      </c>
      <c r="C75" s="87" t="str">
        <f aca="false">IF(Need_1&lt;&gt;"","",C74*(1+Inflation_Choice))</f>
        <v/>
      </c>
      <c r="D75" s="87" t="str">
        <f aca="false">IF(Need_1&lt;&gt;"","",IF(E74=1,IF(Withdrawal_Timing="Start of year",(D74-C74)*(1+DD_Cautious),D74*(1+DD_Cautious)-C74),0))</f>
        <v/>
      </c>
      <c r="E75" s="86" t="str">
        <f aca="false">IF(Need_1&lt;&gt;"","",IF(Withdrawal_Timing="Start of year",IF(D75&gt;=C75,1,0),IF(D75*(1+DD_Cautious)&gt;=C75,1,0)))</f>
        <v/>
      </c>
      <c r="F75" s="87" t="str">
        <f aca="false">IF(Need_1&lt;&gt;"","",IF(G74=1,IF(Withdrawal_Timing="Start of year",(F74-C74)*(1+DD_Balanced),F74*(1+DD_Balanced)-C74),0))</f>
        <v/>
      </c>
      <c r="G75" s="86" t="str">
        <f aca="false">IF(Need_1&lt;&gt;"","",IF(Withdrawal_Timing="Start of year",IF(F75&gt;=C75,1,0),IF(F75*(1+DD_Balanced)&gt;=C75,1,0)))</f>
        <v/>
      </c>
      <c r="H75" s="87" t="str">
        <f aca="false">IF(Need_1&lt;&gt;"","",IF(I74=1,IF(Withdrawal_Timing="Start of year",(H74-C74)*(1+DD_Growth),H74*(1+DD_Growth)-C74),0))</f>
        <v/>
      </c>
      <c r="I75" s="86" t="str">
        <f aca="false">IF(Need_1&lt;&gt;"","",IF(Withdrawal_Timing="Start of year",IF(H75&gt;=C75,1,0),IF(H75*(1+DD_Growth)&gt;=C75,1,0)))</f>
        <v/>
      </c>
    </row>
    <row r="76" customFormat="false" ht="15" hidden="false" customHeight="true" outlineLevel="0" collapsed="false">
      <c r="B76" s="86" t="n">
        <v>44</v>
      </c>
      <c r="C76" s="87" t="str">
        <f aca="false">IF(Need_1&lt;&gt;"","",C75*(1+Inflation_Choice))</f>
        <v/>
      </c>
      <c r="D76" s="87" t="str">
        <f aca="false">IF(Need_1&lt;&gt;"","",IF(E75=1,IF(Withdrawal_Timing="Start of year",(D75-C75)*(1+DD_Cautious),D75*(1+DD_Cautious)-C75),0))</f>
        <v/>
      </c>
      <c r="E76" s="86" t="str">
        <f aca="false">IF(Need_1&lt;&gt;"","",IF(Withdrawal_Timing="Start of year",IF(D76&gt;=C76,1,0),IF(D76*(1+DD_Cautious)&gt;=C76,1,0)))</f>
        <v/>
      </c>
      <c r="F76" s="87" t="str">
        <f aca="false">IF(Need_1&lt;&gt;"","",IF(G75=1,IF(Withdrawal_Timing="Start of year",(F75-C75)*(1+DD_Balanced),F75*(1+DD_Balanced)-C75),0))</f>
        <v/>
      </c>
      <c r="G76" s="86" t="str">
        <f aca="false">IF(Need_1&lt;&gt;"","",IF(Withdrawal_Timing="Start of year",IF(F76&gt;=C76,1,0),IF(F76*(1+DD_Balanced)&gt;=C76,1,0)))</f>
        <v/>
      </c>
      <c r="H76" s="87" t="str">
        <f aca="false">IF(Need_1&lt;&gt;"","",IF(I75=1,IF(Withdrawal_Timing="Start of year",(H75-C75)*(1+DD_Growth),H75*(1+DD_Growth)-C75),0))</f>
        <v/>
      </c>
      <c r="I76" s="86" t="str">
        <f aca="false">IF(Need_1&lt;&gt;"","",IF(Withdrawal_Timing="Start of year",IF(H76&gt;=C76,1,0),IF(H76*(1+DD_Growth)&gt;=C76,1,0)))</f>
        <v/>
      </c>
    </row>
    <row r="77" customFormat="false" ht="15" hidden="false" customHeight="true" outlineLevel="0" collapsed="false">
      <c r="B77" s="86" t="n">
        <v>45</v>
      </c>
      <c r="C77" s="87" t="str">
        <f aca="false">IF(Need_1&lt;&gt;"","",C76*(1+Inflation_Choice))</f>
        <v/>
      </c>
      <c r="D77" s="87" t="str">
        <f aca="false">IF(Need_1&lt;&gt;"","",IF(E76=1,IF(Withdrawal_Timing="Start of year",(D76-C76)*(1+DD_Cautious),D76*(1+DD_Cautious)-C76),0))</f>
        <v/>
      </c>
      <c r="E77" s="86" t="str">
        <f aca="false">IF(Need_1&lt;&gt;"","",IF(Withdrawal_Timing="Start of year",IF(D77&gt;=C77,1,0),IF(D77*(1+DD_Cautious)&gt;=C77,1,0)))</f>
        <v/>
      </c>
      <c r="F77" s="87" t="str">
        <f aca="false">IF(Need_1&lt;&gt;"","",IF(G76=1,IF(Withdrawal_Timing="Start of year",(F76-C76)*(1+DD_Balanced),F76*(1+DD_Balanced)-C76),0))</f>
        <v/>
      </c>
      <c r="G77" s="86" t="str">
        <f aca="false">IF(Need_1&lt;&gt;"","",IF(Withdrawal_Timing="Start of year",IF(F77&gt;=C77,1,0),IF(F77*(1+DD_Balanced)&gt;=C77,1,0)))</f>
        <v/>
      </c>
      <c r="H77" s="87" t="str">
        <f aca="false">IF(Need_1&lt;&gt;"","",IF(I76=1,IF(Withdrawal_Timing="Start of year",(H76-C76)*(1+DD_Growth),H76*(1+DD_Growth)-C76),0))</f>
        <v/>
      </c>
      <c r="I77" s="86" t="str">
        <f aca="false">IF(Need_1&lt;&gt;"","",IF(Withdrawal_Timing="Start of year",IF(H77&gt;=C77,1,0),IF(H77*(1+DD_Growth)&gt;=C77,1,0)))</f>
        <v/>
      </c>
    </row>
    <row r="78" customFormat="false" ht="15" hidden="false" customHeight="true" outlineLevel="0" collapsed="false">
      <c r="B78" s="86" t="n">
        <v>46</v>
      </c>
      <c r="C78" s="87" t="str">
        <f aca="false">IF(Need_1&lt;&gt;"","",C77*(1+Inflation_Choice))</f>
        <v/>
      </c>
      <c r="D78" s="87" t="str">
        <f aca="false">IF(Need_1&lt;&gt;"","",IF(E77=1,IF(Withdrawal_Timing="Start of year",(D77-C77)*(1+DD_Cautious),D77*(1+DD_Cautious)-C77),0))</f>
        <v/>
      </c>
      <c r="E78" s="86" t="str">
        <f aca="false">IF(Need_1&lt;&gt;"","",IF(Withdrawal_Timing="Start of year",IF(D78&gt;=C78,1,0),IF(D78*(1+DD_Cautious)&gt;=C78,1,0)))</f>
        <v/>
      </c>
      <c r="F78" s="87" t="str">
        <f aca="false">IF(Need_1&lt;&gt;"","",IF(G77=1,IF(Withdrawal_Timing="Start of year",(F77-C77)*(1+DD_Balanced),F77*(1+DD_Balanced)-C77),0))</f>
        <v/>
      </c>
      <c r="G78" s="86" t="str">
        <f aca="false">IF(Need_1&lt;&gt;"","",IF(Withdrawal_Timing="Start of year",IF(F78&gt;=C78,1,0),IF(F78*(1+DD_Balanced)&gt;=C78,1,0)))</f>
        <v/>
      </c>
      <c r="H78" s="87" t="str">
        <f aca="false">IF(Need_1&lt;&gt;"","",IF(I77=1,IF(Withdrawal_Timing="Start of year",(H77-C77)*(1+DD_Growth),H77*(1+DD_Growth)-C77),0))</f>
        <v/>
      </c>
      <c r="I78" s="86" t="str">
        <f aca="false">IF(Need_1&lt;&gt;"","",IF(Withdrawal_Timing="Start of year",IF(H78&gt;=C78,1,0),IF(H78*(1+DD_Growth)&gt;=C78,1,0)))</f>
        <v/>
      </c>
    </row>
    <row r="79" customFormat="false" ht="15" hidden="false" customHeight="true" outlineLevel="0" collapsed="false">
      <c r="B79" s="86" t="n">
        <v>47</v>
      </c>
      <c r="C79" s="87" t="str">
        <f aca="false">IF(Need_1&lt;&gt;"","",C78*(1+Inflation_Choice))</f>
        <v/>
      </c>
      <c r="D79" s="87" t="str">
        <f aca="false">IF(Need_1&lt;&gt;"","",IF(E78=1,IF(Withdrawal_Timing="Start of year",(D78-C78)*(1+DD_Cautious),D78*(1+DD_Cautious)-C78),0))</f>
        <v/>
      </c>
      <c r="E79" s="86" t="str">
        <f aca="false">IF(Need_1&lt;&gt;"","",IF(Withdrawal_Timing="Start of year",IF(D79&gt;=C79,1,0),IF(D79*(1+DD_Cautious)&gt;=C79,1,0)))</f>
        <v/>
      </c>
      <c r="F79" s="87" t="str">
        <f aca="false">IF(Need_1&lt;&gt;"","",IF(G78=1,IF(Withdrawal_Timing="Start of year",(F78-C78)*(1+DD_Balanced),F78*(1+DD_Balanced)-C78),0))</f>
        <v/>
      </c>
      <c r="G79" s="86" t="str">
        <f aca="false">IF(Need_1&lt;&gt;"","",IF(Withdrawal_Timing="Start of year",IF(F79&gt;=C79,1,0),IF(F79*(1+DD_Balanced)&gt;=C79,1,0)))</f>
        <v/>
      </c>
      <c r="H79" s="87" t="str">
        <f aca="false">IF(Need_1&lt;&gt;"","",IF(I78=1,IF(Withdrawal_Timing="Start of year",(H78-C78)*(1+DD_Growth),H78*(1+DD_Growth)-C78),0))</f>
        <v/>
      </c>
      <c r="I79" s="86" t="str">
        <f aca="false">IF(Need_1&lt;&gt;"","",IF(Withdrawal_Timing="Start of year",IF(H79&gt;=C79,1,0),IF(H79*(1+DD_Growth)&gt;=C79,1,0)))</f>
        <v/>
      </c>
    </row>
    <row r="80" customFormat="false" ht="15" hidden="false" customHeight="true" outlineLevel="0" collapsed="false">
      <c r="B80" s="86" t="n">
        <v>48</v>
      </c>
      <c r="C80" s="87" t="str">
        <f aca="false">IF(Need_1&lt;&gt;"","",C79*(1+Inflation_Choice))</f>
        <v/>
      </c>
      <c r="D80" s="87" t="str">
        <f aca="false">IF(Need_1&lt;&gt;"","",IF(E79=1,IF(Withdrawal_Timing="Start of year",(D79-C79)*(1+DD_Cautious),D79*(1+DD_Cautious)-C79),0))</f>
        <v/>
      </c>
      <c r="E80" s="86" t="str">
        <f aca="false">IF(Need_1&lt;&gt;"","",IF(Withdrawal_Timing="Start of year",IF(D80&gt;=C80,1,0),IF(D80*(1+DD_Cautious)&gt;=C80,1,0)))</f>
        <v/>
      </c>
      <c r="F80" s="87" t="str">
        <f aca="false">IF(Need_1&lt;&gt;"","",IF(G79=1,IF(Withdrawal_Timing="Start of year",(F79-C79)*(1+DD_Balanced),F79*(1+DD_Balanced)-C79),0))</f>
        <v/>
      </c>
      <c r="G80" s="86" t="str">
        <f aca="false">IF(Need_1&lt;&gt;"","",IF(Withdrawal_Timing="Start of year",IF(F80&gt;=C80,1,0),IF(F80*(1+DD_Balanced)&gt;=C80,1,0)))</f>
        <v/>
      </c>
      <c r="H80" s="87" t="str">
        <f aca="false">IF(Need_1&lt;&gt;"","",IF(I79=1,IF(Withdrawal_Timing="Start of year",(H79-C79)*(1+DD_Growth),H79*(1+DD_Growth)-C79),0))</f>
        <v/>
      </c>
      <c r="I80" s="86" t="str">
        <f aca="false">IF(Need_1&lt;&gt;"","",IF(Withdrawal_Timing="Start of year",IF(H80&gt;=C80,1,0),IF(H80*(1+DD_Growth)&gt;=C80,1,0)))</f>
        <v/>
      </c>
    </row>
    <row r="81" customFormat="false" ht="15" hidden="false" customHeight="true" outlineLevel="0" collapsed="false">
      <c r="B81" s="86" t="n">
        <v>49</v>
      </c>
      <c r="C81" s="87" t="str">
        <f aca="false">IF(Need_1&lt;&gt;"","",C80*(1+Inflation_Choice))</f>
        <v/>
      </c>
      <c r="D81" s="87" t="str">
        <f aca="false">IF(Need_1&lt;&gt;"","",IF(E80=1,IF(Withdrawal_Timing="Start of year",(D80-C80)*(1+DD_Cautious),D80*(1+DD_Cautious)-C80),0))</f>
        <v/>
      </c>
      <c r="E81" s="86" t="str">
        <f aca="false">IF(Need_1&lt;&gt;"","",IF(Withdrawal_Timing="Start of year",IF(D81&gt;=C81,1,0),IF(D81*(1+DD_Cautious)&gt;=C81,1,0)))</f>
        <v/>
      </c>
      <c r="F81" s="87" t="str">
        <f aca="false">IF(Need_1&lt;&gt;"","",IF(G80=1,IF(Withdrawal_Timing="Start of year",(F80-C80)*(1+DD_Balanced),F80*(1+DD_Balanced)-C80),0))</f>
        <v/>
      </c>
      <c r="G81" s="86" t="str">
        <f aca="false">IF(Need_1&lt;&gt;"","",IF(Withdrawal_Timing="Start of year",IF(F81&gt;=C81,1,0),IF(F81*(1+DD_Balanced)&gt;=C81,1,0)))</f>
        <v/>
      </c>
      <c r="H81" s="87" t="str">
        <f aca="false">IF(Need_1&lt;&gt;"","",IF(I80=1,IF(Withdrawal_Timing="Start of year",(H80-C80)*(1+DD_Growth),H80*(1+DD_Growth)-C80),0))</f>
        <v/>
      </c>
      <c r="I81" s="86" t="str">
        <f aca="false">IF(Need_1&lt;&gt;"","",IF(Withdrawal_Timing="Start of year",IF(H81&gt;=C81,1,0),IF(H81*(1+DD_Growth)&gt;=C81,1,0)))</f>
        <v/>
      </c>
    </row>
    <row r="82" customFormat="false" ht="15" hidden="false" customHeight="true" outlineLevel="0" collapsed="false">
      <c r="B82" s="86" t="n">
        <v>50</v>
      </c>
      <c r="C82" s="87" t="str">
        <f aca="false">IF(Need_1&lt;&gt;"","",C81*(1+Inflation_Choice))</f>
        <v/>
      </c>
      <c r="D82" s="87" t="str">
        <f aca="false">IF(Need_1&lt;&gt;"","",IF(E81=1,IF(Withdrawal_Timing="Start of year",(D81-C81)*(1+DD_Cautious),D81*(1+DD_Cautious)-C81),0))</f>
        <v/>
      </c>
      <c r="E82" s="86" t="str">
        <f aca="false">IF(Need_1&lt;&gt;"","",IF(Withdrawal_Timing="Start of year",IF(D82&gt;=C82,1,0),IF(D82*(1+DD_Cautious)&gt;=C82,1,0)))</f>
        <v/>
      </c>
      <c r="F82" s="87" t="str">
        <f aca="false">IF(Need_1&lt;&gt;"","",IF(G81=1,IF(Withdrawal_Timing="Start of year",(F81-C81)*(1+DD_Balanced),F81*(1+DD_Balanced)-C81),0))</f>
        <v/>
      </c>
      <c r="G82" s="86" t="str">
        <f aca="false">IF(Need_1&lt;&gt;"","",IF(Withdrawal_Timing="Start of year",IF(F82&gt;=C82,1,0),IF(F82*(1+DD_Balanced)&gt;=C82,1,0)))</f>
        <v/>
      </c>
      <c r="H82" s="87" t="str">
        <f aca="false">IF(Need_1&lt;&gt;"","",IF(I81=1,IF(Withdrawal_Timing="Start of year",(H81-C81)*(1+DD_Growth),H81*(1+DD_Growth)-C81),0))</f>
        <v/>
      </c>
      <c r="I82" s="86" t="str">
        <f aca="false">IF(Need_1&lt;&gt;"","",IF(Withdrawal_Timing="Start of year",IF(H82&gt;=C82,1,0),IF(H82*(1+DD_Growth)&gt;=C82,1,0)))</f>
        <v/>
      </c>
    </row>
    <row r="83" customFormat="false" ht="15" hidden="false" customHeight="true" outlineLevel="0" collapsed="false">
      <c r="B83" s="86" t="n">
        <v>51</v>
      </c>
      <c r="C83" s="87" t="str">
        <f aca="false">IF(Need_1&lt;&gt;"","",C82*(1+Inflation_Choice))</f>
        <v/>
      </c>
      <c r="D83" s="87" t="str">
        <f aca="false">IF(Need_1&lt;&gt;"","",IF(E82=1,IF(Withdrawal_Timing="Start of year",(D82-C82)*(1+DD_Cautious),D82*(1+DD_Cautious)-C82),0))</f>
        <v/>
      </c>
      <c r="E83" s="86" t="str">
        <f aca="false">IF(Need_1&lt;&gt;"","",IF(Withdrawal_Timing="Start of year",IF(D83&gt;=C83,1,0),IF(D83*(1+DD_Cautious)&gt;=C83,1,0)))</f>
        <v/>
      </c>
      <c r="F83" s="87" t="str">
        <f aca="false">IF(Need_1&lt;&gt;"","",IF(G82=1,IF(Withdrawal_Timing="Start of year",(F82-C82)*(1+DD_Balanced),F82*(1+DD_Balanced)-C82),0))</f>
        <v/>
      </c>
      <c r="G83" s="86" t="str">
        <f aca="false">IF(Need_1&lt;&gt;"","",IF(Withdrawal_Timing="Start of year",IF(F83&gt;=C83,1,0),IF(F83*(1+DD_Balanced)&gt;=C83,1,0)))</f>
        <v/>
      </c>
      <c r="H83" s="87" t="str">
        <f aca="false">IF(Need_1&lt;&gt;"","",IF(I82=1,IF(Withdrawal_Timing="Start of year",(H82-C82)*(1+DD_Growth),H82*(1+DD_Growth)-C82),0))</f>
        <v/>
      </c>
      <c r="I83" s="86" t="str">
        <f aca="false">IF(Need_1&lt;&gt;"","",IF(Withdrawal_Timing="Start of year",IF(H83&gt;=C83,1,0),IF(H83*(1+DD_Growth)&gt;=C83,1,0)))</f>
        <v/>
      </c>
    </row>
    <row r="84" customFormat="false" ht="15" hidden="false" customHeight="true" outlineLevel="0" collapsed="false">
      <c r="B84" s="86" t="n">
        <v>52</v>
      </c>
      <c r="C84" s="87" t="str">
        <f aca="false">IF(Need_1&lt;&gt;"","",C83*(1+Inflation_Choice))</f>
        <v/>
      </c>
      <c r="D84" s="87" t="str">
        <f aca="false">IF(Need_1&lt;&gt;"","",IF(E83=1,IF(Withdrawal_Timing="Start of year",(D83-C83)*(1+DD_Cautious),D83*(1+DD_Cautious)-C83),0))</f>
        <v/>
      </c>
      <c r="E84" s="86" t="str">
        <f aca="false">IF(Need_1&lt;&gt;"","",IF(Withdrawal_Timing="Start of year",IF(D84&gt;=C84,1,0),IF(D84*(1+DD_Cautious)&gt;=C84,1,0)))</f>
        <v/>
      </c>
      <c r="F84" s="87" t="str">
        <f aca="false">IF(Need_1&lt;&gt;"","",IF(G83=1,IF(Withdrawal_Timing="Start of year",(F83-C83)*(1+DD_Balanced),F83*(1+DD_Balanced)-C83),0))</f>
        <v/>
      </c>
      <c r="G84" s="86" t="str">
        <f aca="false">IF(Need_1&lt;&gt;"","",IF(Withdrawal_Timing="Start of year",IF(F84&gt;=C84,1,0),IF(F84*(1+DD_Balanced)&gt;=C84,1,0)))</f>
        <v/>
      </c>
      <c r="H84" s="87" t="str">
        <f aca="false">IF(Need_1&lt;&gt;"","",IF(I83=1,IF(Withdrawal_Timing="Start of year",(H83-C83)*(1+DD_Growth),H83*(1+DD_Growth)-C83),0))</f>
        <v/>
      </c>
      <c r="I84" s="86" t="str">
        <f aca="false">IF(Need_1&lt;&gt;"","",IF(Withdrawal_Timing="Start of year",IF(H84&gt;=C84,1,0),IF(H84*(1+DD_Growth)&gt;=C84,1,0)))</f>
        <v/>
      </c>
    </row>
    <row r="85" customFormat="false" ht="15" hidden="false" customHeight="true" outlineLevel="0" collapsed="false">
      <c r="B85" s="86" t="n">
        <v>53</v>
      </c>
      <c r="C85" s="87" t="str">
        <f aca="false">IF(Need_1&lt;&gt;"","",C84*(1+Inflation_Choice))</f>
        <v/>
      </c>
      <c r="D85" s="87" t="str">
        <f aca="false">IF(Need_1&lt;&gt;"","",IF(E84=1,IF(Withdrawal_Timing="Start of year",(D84-C84)*(1+DD_Cautious),D84*(1+DD_Cautious)-C84),0))</f>
        <v/>
      </c>
      <c r="E85" s="86" t="str">
        <f aca="false">IF(Need_1&lt;&gt;"","",IF(Withdrawal_Timing="Start of year",IF(D85&gt;=C85,1,0),IF(D85*(1+DD_Cautious)&gt;=C85,1,0)))</f>
        <v/>
      </c>
      <c r="F85" s="87" t="str">
        <f aca="false">IF(Need_1&lt;&gt;"","",IF(G84=1,IF(Withdrawal_Timing="Start of year",(F84-C84)*(1+DD_Balanced),F84*(1+DD_Balanced)-C84),0))</f>
        <v/>
      </c>
      <c r="G85" s="86" t="str">
        <f aca="false">IF(Need_1&lt;&gt;"","",IF(Withdrawal_Timing="Start of year",IF(F85&gt;=C85,1,0),IF(F85*(1+DD_Balanced)&gt;=C85,1,0)))</f>
        <v/>
      </c>
      <c r="H85" s="87" t="str">
        <f aca="false">IF(Need_1&lt;&gt;"","",IF(I84=1,IF(Withdrawal_Timing="Start of year",(H84-C84)*(1+DD_Growth),H84*(1+DD_Growth)-C84),0))</f>
        <v/>
      </c>
      <c r="I85" s="86" t="str">
        <f aca="false">IF(Need_1&lt;&gt;"","",IF(Withdrawal_Timing="Start of year",IF(H85&gt;=C85,1,0),IF(H85*(1+DD_Growth)&gt;=C85,1,0)))</f>
        <v/>
      </c>
    </row>
    <row r="86" customFormat="false" ht="15" hidden="false" customHeight="true" outlineLevel="0" collapsed="false">
      <c r="B86" s="86" t="n">
        <v>54</v>
      </c>
      <c r="C86" s="87" t="str">
        <f aca="false">IF(Need_1&lt;&gt;"","",C85*(1+Inflation_Choice))</f>
        <v/>
      </c>
      <c r="D86" s="87" t="str">
        <f aca="false">IF(Need_1&lt;&gt;"","",IF(E85=1,IF(Withdrawal_Timing="Start of year",(D85-C85)*(1+DD_Cautious),D85*(1+DD_Cautious)-C85),0))</f>
        <v/>
      </c>
      <c r="E86" s="86" t="str">
        <f aca="false">IF(Need_1&lt;&gt;"","",IF(Withdrawal_Timing="Start of year",IF(D86&gt;=C86,1,0),IF(D86*(1+DD_Cautious)&gt;=C86,1,0)))</f>
        <v/>
      </c>
      <c r="F86" s="87" t="str">
        <f aca="false">IF(Need_1&lt;&gt;"","",IF(G85=1,IF(Withdrawal_Timing="Start of year",(F85-C85)*(1+DD_Balanced),F85*(1+DD_Balanced)-C85),0))</f>
        <v/>
      </c>
      <c r="G86" s="86" t="str">
        <f aca="false">IF(Need_1&lt;&gt;"","",IF(Withdrawal_Timing="Start of year",IF(F86&gt;=C86,1,0),IF(F86*(1+DD_Balanced)&gt;=C86,1,0)))</f>
        <v/>
      </c>
      <c r="H86" s="87" t="str">
        <f aca="false">IF(Need_1&lt;&gt;"","",IF(I85=1,IF(Withdrawal_Timing="Start of year",(H85-C85)*(1+DD_Growth),H85*(1+DD_Growth)-C85),0))</f>
        <v/>
      </c>
      <c r="I86" s="86" t="str">
        <f aca="false">IF(Need_1&lt;&gt;"","",IF(Withdrawal_Timing="Start of year",IF(H86&gt;=C86,1,0),IF(H86*(1+DD_Growth)&gt;=C86,1,0)))</f>
        <v/>
      </c>
    </row>
    <row r="87" customFormat="false" ht="15" hidden="false" customHeight="true" outlineLevel="0" collapsed="false">
      <c r="B87" s="86" t="n">
        <v>55</v>
      </c>
      <c r="C87" s="87" t="str">
        <f aca="false">IF(Need_1&lt;&gt;"","",C86*(1+Inflation_Choice))</f>
        <v/>
      </c>
      <c r="D87" s="87" t="str">
        <f aca="false">IF(Need_1&lt;&gt;"","",IF(E86=1,IF(Withdrawal_Timing="Start of year",(D86-C86)*(1+DD_Cautious),D86*(1+DD_Cautious)-C86),0))</f>
        <v/>
      </c>
      <c r="E87" s="86" t="str">
        <f aca="false">IF(Need_1&lt;&gt;"","",IF(Withdrawal_Timing="Start of year",IF(D87&gt;=C87,1,0),IF(D87*(1+DD_Cautious)&gt;=C87,1,0)))</f>
        <v/>
      </c>
      <c r="F87" s="87" t="str">
        <f aca="false">IF(Need_1&lt;&gt;"","",IF(G86=1,IF(Withdrawal_Timing="Start of year",(F86-C86)*(1+DD_Balanced),F86*(1+DD_Balanced)-C86),0))</f>
        <v/>
      </c>
      <c r="G87" s="86" t="str">
        <f aca="false">IF(Need_1&lt;&gt;"","",IF(Withdrawal_Timing="Start of year",IF(F87&gt;=C87,1,0),IF(F87*(1+DD_Balanced)&gt;=C87,1,0)))</f>
        <v/>
      </c>
      <c r="H87" s="87" t="str">
        <f aca="false">IF(Need_1&lt;&gt;"","",IF(I86=1,IF(Withdrawal_Timing="Start of year",(H86-C86)*(1+DD_Growth),H86*(1+DD_Growth)-C86),0))</f>
        <v/>
      </c>
      <c r="I87" s="86" t="str">
        <f aca="false">IF(Need_1&lt;&gt;"","",IF(Withdrawal_Timing="Start of year",IF(H87&gt;=C87,1,0),IF(H87*(1+DD_Growth)&gt;=C87,1,0)))</f>
        <v/>
      </c>
    </row>
    <row r="88" customFormat="false" ht="15" hidden="false" customHeight="true" outlineLevel="0" collapsed="false">
      <c r="B88" s="86" t="n">
        <v>56</v>
      </c>
      <c r="C88" s="87" t="str">
        <f aca="false">IF(Need_1&lt;&gt;"","",C87*(1+Inflation_Choice))</f>
        <v/>
      </c>
      <c r="D88" s="87" t="str">
        <f aca="false">IF(Need_1&lt;&gt;"","",IF(E87=1,IF(Withdrawal_Timing="Start of year",(D87-C87)*(1+DD_Cautious),D87*(1+DD_Cautious)-C87),0))</f>
        <v/>
      </c>
      <c r="E88" s="86" t="str">
        <f aca="false">IF(Need_1&lt;&gt;"","",IF(Withdrawal_Timing="Start of year",IF(D88&gt;=C88,1,0),IF(D88*(1+DD_Cautious)&gt;=C88,1,0)))</f>
        <v/>
      </c>
      <c r="F88" s="87" t="str">
        <f aca="false">IF(Need_1&lt;&gt;"","",IF(G87=1,IF(Withdrawal_Timing="Start of year",(F87-C87)*(1+DD_Balanced),F87*(1+DD_Balanced)-C87),0))</f>
        <v/>
      </c>
      <c r="G88" s="86" t="str">
        <f aca="false">IF(Need_1&lt;&gt;"","",IF(Withdrawal_Timing="Start of year",IF(F88&gt;=C88,1,0),IF(F88*(1+DD_Balanced)&gt;=C88,1,0)))</f>
        <v/>
      </c>
      <c r="H88" s="87" t="str">
        <f aca="false">IF(Need_1&lt;&gt;"","",IF(I87=1,IF(Withdrawal_Timing="Start of year",(H87-C87)*(1+DD_Growth),H87*(1+DD_Growth)-C87),0))</f>
        <v/>
      </c>
      <c r="I88" s="86" t="str">
        <f aca="false">IF(Need_1&lt;&gt;"","",IF(Withdrawal_Timing="Start of year",IF(H88&gt;=C88,1,0),IF(H88*(1+DD_Growth)&gt;=C88,1,0)))</f>
        <v/>
      </c>
    </row>
    <row r="89" customFormat="false" ht="15" hidden="false" customHeight="true" outlineLevel="0" collapsed="false">
      <c r="B89" s="86" t="n">
        <v>57</v>
      </c>
      <c r="C89" s="87" t="str">
        <f aca="false">IF(Need_1&lt;&gt;"","",C88*(1+Inflation_Choice))</f>
        <v/>
      </c>
      <c r="D89" s="87" t="str">
        <f aca="false">IF(Need_1&lt;&gt;"","",IF(E88=1,IF(Withdrawal_Timing="Start of year",(D88-C88)*(1+DD_Cautious),D88*(1+DD_Cautious)-C88),0))</f>
        <v/>
      </c>
      <c r="E89" s="86" t="str">
        <f aca="false">IF(Need_1&lt;&gt;"","",IF(Withdrawal_Timing="Start of year",IF(D89&gt;=C89,1,0),IF(D89*(1+DD_Cautious)&gt;=C89,1,0)))</f>
        <v/>
      </c>
      <c r="F89" s="87" t="str">
        <f aca="false">IF(Need_1&lt;&gt;"","",IF(G88=1,IF(Withdrawal_Timing="Start of year",(F88-C88)*(1+DD_Balanced),F88*(1+DD_Balanced)-C88),0))</f>
        <v/>
      </c>
      <c r="G89" s="86" t="str">
        <f aca="false">IF(Need_1&lt;&gt;"","",IF(Withdrawal_Timing="Start of year",IF(F89&gt;=C89,1,0),IF(F89*(1+DD_Balanced)&gt;=C89,1,0)))</f>
        <v/>
      </c>
      <c r="H89" s="87" t="str">
        <f aca="false">IF(Need_1&lt;&gt;"","",IF(I88=1,IF(Withdrawal_Timing="Start of year",(H88-C88)*(1+DD_Growth),H88*(1+DD_Growth)-C88),0))</f>
        <v/>
      </c>
      <c r="I89" s="86" t="str">
        <f aca="false">IF(Need_1&lt;&gt;"","",IF(Withdrawal_Timing="Start of year",IF(H89&gt;=C89,1,0),IF(H89*(1+DD_Growth)&gt;=C89,1,0)))</f>
        <v/>
      </c>
    </row>
    <row r="90" customFormat="false" ht="15" hidden="false" customHeight="true" outlineLevel="0" collapsed="false">
      <c r="B90" s="86" t="n">
        <v>58</v>
      </c>
      <c r="C90" s="87" t="str">
        <f aca="false">IF(Need_1&lt;&gt;"","",C89*(1+Inflation_Choice))</f>
        <v/>
      </c>
      <c r="D90" s="87" t="str">
        <f aca="false">IF(Need_1&lt;&gt;"","",IF(E89=1,IF(Withdrawal_Timing="Start of year",(D89-C89)*(1+DD_Cautious),D89*(1+DD_Cautious)-C89),0))</f>
        <v/>
      </c>
      <c r="E90" s="86" t="str">
        <f aca="false">IF(Need_1&lt;&gt;"","",IF(Withdrawal_Timing="Start of year",IF(D90&gt;=C90,1,0),IF(D90*(1+DD_Cautious)&gt;=C90,1,0)))</f>
        <v/>
      </c>
      <c r="F90" s="87" t="str">
        <f aca="false">IF(Need_1&lt;&gt;"","",IF(G89=1,IF(Withdrawal_Timing="Start of year",(F89-C89)*(1+DD_Balanced),F89*(1+DD_Balanced)-C89),0))</f>
        <v/>
      </c>
      <c r="G90" s="86" t="str">
        <f aca="false">IF(Need_1&lt;&gt;"","",IF(Withdrawal_Timing="Start of year",IF(F90&gt;=C90,1,0),IF(F90*(1+DD_Balanced)&gt;=C90,1,0)))</f>
        <v/>
      </c>
      <c r="H90" s="87" t="str">
        <f aca="false">IF(Need_1&lt;&gt;"","",IF(I89=1,IF(Withdrawal_Timing="Start of year",(H89-C89)*(1+DD_Growth),H89*(1+DD_Growth)-C89),0))</f>
        <v/>
      </c>
      <c r="I90" s="86" t="str">
        <f aca="false">IF(Need_1&lt;&gt;"","",IF(Withdrawal_Timing="Start of year",IF(H90&gt;=C90,1,0),IF(H90*(1+DD_Growth)&gt;=C90,1,0)))</f>
        <v/>
      </c>
    </row>
    <row r="91" customFormat="false" ht="15" hidden="false" customHeight="true" outlineLevel="0" collapsed="false">
      <c r="B91" s="86" t="n">
        <v>59</v>
      </c>
      <c r="C91" s="87" t="str">
        <f aca="false">IF(Need_1&lt;&gt;"","",C90*(1+Inflation_Choice))</f>
        <v/>
      </c>
      <c r="D91" s="87" t="str">
        <f aca="false">IF(Need_1&lt;&gt;"","",IF(E90=1,IF(Withdrawal_Timing="Start of year",(D90-C90)*(1+DD_Cautious),D90*(1+DD_Cautious)-C90),0))</f>
        <v/>
      </c>
      <c r="E91" s="86" t="str">
        <f aca="false">IF(Need_1&lt;&gt;"","",IF(Withdrawal_Timing="Start of year",IF(D91&gt;=C91,1,0),IF(D91*(1+DD_Cautious)&gt;=C91,1,0)))</f>
        <v/>
      </c>
      <c r="F91" s="87" t="str">
        <f aca="false">IF(Need_1&lt;&gt;"","",IF(G90=1,IF(Withdrawal_Timing="Start of year",(F90-C90)*(1+DD_Balanced),F90*(1+DD_Balanced)-C90),0))</f>
        <v/>
      </c>
      <c r="G91" s="86" t="str">
        <f aca="false">IF(Need_1&lt;&gt;"","",IF(Withdrawal_Timing="Start of year",IF(F91&gt;=C91,1,0),IF(F91*(1+DD_Balanced)&gt;=C91,1,0)))</f>
        <v/>
      </c>
      <c r="H91" s="87" t="str">
        <f aca="false">IF(Need_1&lt;&gt;"","",IF(I90=1,IF(Withdrawal_Timing="Start of year",(H90-C90)*(1+DD_Growth),H90*(1+DD_Growth)-C90),0))</f>
        <v/>
      </c>
      <c r="I91" s="86" t="str">
        <f aca="false">IF(Need_1&lt;&gt;"","",IF(Withdrawal_Timing="Start of year",IF(H91&gt;=C91,1,0),IF(H91*(1+DD_Growth)&gt;=C91,1,0)))</f>
        <v/>
      </c>
    </row>
    <row r="92" customFormat="false" ht="15" hidden="false" customHeight="true" outlineLevel="0" collapsed="false">
      <c r="B92" s="86" t="n">
        <v>60</v>
      </c>
      <c r="C92" s="87" t="str">
        <f aca="false">IF(Need_1&lt;&gt;"","",C91*(1+Inflation_Choice))</f>
        <v/>
      </c>
      <c r="D92" s="87" t="str">
        <f aca="false">IF(Need_1&lt;&gt;"","",IF(E91=1,IF(Withdrawal_Timing="Start of year",(D91-C91)*(1+DD_Cautious),D91*(1+DD_Cautious)-C91),0))</f>
        <v/>
      </c>
      <c r="E92" s="86" t="str">
        <f aca="false">IF(Need_1&lt;&gt;"","",IF(Withdrawal_Timing="Start of year",IF(D92&gt;=C92,1,0),IF(D92*(1+DD_Cautious)&gt;=C92,1,0)))</f>
        <v/>
      </c>
      <c r="F92" s="87" t="str">
        <f aca="false">IF(Need_1&lt;&gt;"","",IF(G91=1,IF(Withdrawal_Timing="Start of year",(F91-C91)*(1+DD_Balanced),F91*(1+DD_Balanced)-C91),0))</f>
        <v/>
      </c>
      <c r="G92" s="86" t="str">
        <f aca="false">IF(Need_1&lt;&gt;"","",IF(Withdrawal_Timing="Start of year",IF(F92&gt;=C92,1,0),IF(F92*(1+DD_Balanced)&gt;=C92,1,0)))</f>
        <v/>
      </c>
      <c r="H92" s="87" t="str">
        <f aca="false">IF(Need_1&lt;&gt;"","",IF(I91=1,IF(Withdrawal_Timing="Start of year",(H91-C91)*(1+DD_Growth),H91*(1+DD_Growth)-C91),0))</f>
        <v/>
      </c>
      <c r="I92" s="86" t="str">
        <f aca="false">IF(Need_1&lt;&gt;"","",IF(Withdrawal_Timing="Start of year",IF(H92&gt;=C92,1,0),IF(H92*(1+DD_Growth)&gt;=C92,1,0)))</f>
        <v/>
      </c>
    </row>
    <row r="95" customFormat="false" ht="15" hidden="false" customHeight="true" outlineLevel="0" collapsed="false">
      <c r="B95" s="15" t="s">
        <v>301</v>
      </c>
      <c r="C95" s="16"/>
      <c r="D95" s="16"/>
      <c r="E95" s="16"/>
      <c r="F95" s="16"/>
      <c r="G95" s="16"/>
    </row>
    <row r="96" customFormat="false" ht="27.75" hidden="false" customHeight="true" outlineLevel="0" collapsed="false">
      <c r="B96" s="53" t="s">
        <v>954</v>
      </c>
      <c r="C96" s="53"/>
      <c r="D96" s="53"/>
      <c r="E96" s="53"/>
    </row>
    <row r="97" customFormat="false" ht="13.5" hidden="false" customHeight="true" outlineLevel="0" collapsed="false">
      <c r="B97" s="53" t="s">
        <v>955</v>
      </c>
      <c r="C97" s="53"/>
      <c r="D97" s="53"/>
      <c r="E97" s="53"/>
    </row>
    <row r="98" customFormat="false" ht="13.5" hidden="false" customHeight="true" outlineLevel="0" collapsed="false">
      <c r="B98" s="54" t="s">
        <v>304</v>
      </c>
      <c r="C98" s="54"/>
      <c r="D98" s="54"/>
      <c r="E98" s="54"/>
    </row>
    <row r="99" customFormat="false" ht="13.5" hidden="false" customHeight="true" outlineLevel="0" collapsed="false">
      <c r="B99" s="53" t="s">
        <v>956</v>
      </c>
      <c r="C99" s="53"/>
      <c r="D99" s="53"/>
      <c r="E99" s="53"/>
    </row>
    <row r="100" customFormat="false" ht="13.5" hidden="false" customHeight="true" outlineLevel="0" collapsed="false">
      <c r="B100" s="53" t="s">
        <v>957</v>
      </c>
      <c r="C100" s="53"/>
      <c r="D100" s="53"/>
      <c r="E100" s="53"/>
    </row>
    <row r="102" customFormat="false" ht="15" hidden="false" customHeight="true" outlineLevel="0" collapsed="false">
      <c r="B102" s="15" t="s">
        <v>309</v>
      </c>
      <c r="C102" s="16"/>
      <c r="D102" s="16"/>
      <c r="E102" s="16"/>
      <c r="F102" s="16"/>
      <c r="G102" s="16"/>
    </row>
    <row r="103" customFormat="false" ht="15" hidden="false" customHeight="true" outlineLevel="0" collapsed="false">
      <c r="B103" s="9" t="s">
        <v>310</v>
      </c>
      <c r="C103" s="55" t="str">
        <f aca="false">"No goal"</f>
        <v>No goal</v>
      </c>
      <c r="E103" s="56" t="s">
        <v>497</v>
      </c>
    </row>
    <row r="105" customFormat="false" ht="15" hidden="false" customHeight="true" outlineLevel="0" collapsed="false">
      <c r="B105" s="15" t="s">
        <v>318</v>
      </c>
      <c r="C105" s="16"/>
      <c r="D105" s="16"/>
      <c r="E105" s="16"/>
      <c r="F105" s="16"/>
      <c r="G105" s="16"/>
    </row>
    <row r="106" customFormat="false" ht="15" hidden="false" customHeight="true" outlineLevel="0" collapsed="false">
      <c r="B106" s="59" t="s">
        <v>958</v>
      </c>
      <c r="C106" s="59"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959</v>
      </c>
      <c r="E1" s="3" t="s">
        <v>960</v>
      </c>
    </row>
    <row r="2" customFormat="false" ht="15" hidden="false" customHeight="true" outlineLevel="0" collapsed="false">
      <c r="B2" s="28" t="s">
        <v>961</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962</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656</v>
      </c>
      <c r="C10" s="60"/>
      <c r="D10" s="60"/>
      <c r="E10" s="60"/>
    </row>
    <row r="11" customFormat="false" ht="15" hidden="false" customHeight="true" outlineLevel="0" collapsed="false">
      <c r="B11" s="9" t="s">
        <v>657</v>
      </c>
      <c r="C11" s="61"/>
      <c r="D11" s="34" t="s">
        <v>248</v>
      </c>
      <c r="E11" s="35" t="s">
        <v>658</v>
      </c>
      <c r="G11" s="59" t="s">
        <v>335</v>
      </c>
    </row>
    <row r="12" customFormat="false" ht="15" hidden="false" customHeight="true" outlineLevel="0" collapsed="false">
      <c r="B12" s="9" t="s">
        <v>342</v>
      </c>
      <c r="C12" s="64"/>
      <c r="D12" s="34" t="s">
        <v>343</v>
      </c>
      <c r="E12" s="35" t="s">
        <v>344</v>
      </c>
      <c r="G12" s="59" t="s">
        <v>335</v>
      </c>
    </row>
    <row r="14" customFormat="false" ht="15" hidden="false" customHeight="true" outlineLevel="0" collapsed="false">
      <c r="B14" s="15" t="s">
        <v>345</v>
      </c>
      <c r="C14" s="31" t="s">
        <v>243</v>
      </c>
      <c r="D14" s="31" t="s">
        <v>244</v>
      </c>
      <c r="E14" s="31" t="s">
        <v>245</v>
      </c>
      <c r="F14" s="32" t="s">
        <v>246</v>
      </c>
      <c r="G14" s="16"/>
    </row>
    <row r="15" customFormat="false" ht="21.75" hidden="false" customHeight="true" outlineLevel="0" collapsed="false">
      <c r="B15" s="9" t="s">
        <v>661</v>
      </c>
      <c r="C15" s="33"/>
      <c r="D15" s="34" t="s">
        <v>248</v>
      </c>
      <c r="E15" s="35" t="s">
        <v>662</v>
      </c>
      <c r="F15" s="36" t="n">
        <v>20000</v>
      </c>
      <c r="G15" s="37" t="str">
        <f aca="false">IF(ISBLANK(C15),IF(Fill_Example="Yes",F15,""),C15)</f>
        <v/>
      </c>
    </row>
    <row r="16" customFormat="false" ht="21.75" hidden="false" customHeight="true" outlineLevel="0" collapsed="false">
      <c r="B16" s="9" t="s">
        <v>963</v>
      </c>
      <c r="C16" s="41"/>
      <c r="D16" s="34" t="s">
        <v>259</v>
      </c>
      <c r="E16" s="42" t="s">
        <v>964</v>
      </c>
      <c r="F16" s="43" t="n">
        <f aca="false">Set_invGross</f>
        <v>0.05</v>
      </c>
      <c r="G16" s="44" t="n">
        <f aca="false">IF(ISBLANK(C16),F16,C16)</f>
        <v>0.05</v>
      </c>
    </row>
    <row r="17" customFormat="false" ht="15" hidden="false" customHeight="true" outlineLevel="0" collapsed="false">
      <c r="B17" s="9" t="s">
        <v>630</v>
      </c>
      <c r="C17" s="45"/>
      <c r="D17" s="34" t="s">
        <v>261</v>
      </c>
      <c r="E17" s="35" t="s">
        <v>631</v>
      </c>
      <c r="F17" s="46" t="n">
        <v>15</v>
      </c>
      <c r="G17" s="47" t="str">
        <f aca="false">IF(ISBLANK(C17),IF(Fill_Example="Yes",F17,""),C17)</f>
        <v/>
      </c>
    </row>
    <row r="19" customFormat="false" ht="15" hidden="false" customHeight="true" outlineLevel="0" collapsed="false">
      <c r="B19" s="15" t="s">
        <v>354</v>
      </c>
      <c r="C19" s="16"/>
      <c r="D19" s="16"/>
      <c r="E19" s="16"/>
      <c r="F19" s="16"/>
      <c r="G19" s="16"/>
    </row>
    <row r="20" customFormat="false" ht="15" hidden="false" customHeight="true" outlineLevel="0" collapsed="false">
      <c r="B20" s="9" t="s">
        <v>661</v>
      </c>
      <c r="C20" s="65" t="str">
        <f aca="false">IF(ISBLANK(Stmt_Total_Value),Amount,Stmt_Total_Value)</f>
        <v/>
      </c>
      <c r="D20" s="66" t="str">
        <f aca="false">IF(ISBLANK(Stmt_Total_Value),"Your figure","From your statement")</f>
        <v>Your figure</v>
      </c>
      <c r="E20" s="56" t="s">
        <v>671</v>
      </c>
    </row>
    <row r="21" customFormat="false" ht="21.75" hidden="false" customHeight="true" outlineLevel="0" collapsed="false">
      <c r="B21" s="9" t="s">
        <v>361</v>
      </c>
      <c r="C21" s="52" t="str">
        <f aca="true">IF(ISBLANK(Stmt_Statement_Date),"",IF(TODAY()-Stmt_Statement_Date&gt;Statement_Max_Age_Days,"Needs a look: statement is more than 12 months old","Up to date"))</f>
        <v/>
      </c>
      <c r="D21" s="34"/>
      <c r="E21" s="49" t="s">
        <v>362</v>
      </c>
    </row>
    <row r="23" customFormat="false" ht="15" hidden="false" customHeight="true" outlineLevel="0" collapsed="false">
      <c r="B23" s="15" t="s">
        <v>268</v>
      </c>
      <c r="C23" s="31" t="s">
        <v>269</v>
      </c>
      <c r="D23" s="31" t="s">
        <v>270</v>
      </c>
      <c r="E23" s="31" t="s">
        <v>271</v>
      </c>
      <c r="F23" s="16"/>
      <c r="G23" s="16"/>
    </row>
    <row r="24" customFormat="false" ht="17.25" hidden="false" customHeight="true" outlineLevel="0" collapsed="false">
      <c r="B24" s="28" t="s">
        <v>965</v>
      </c>
      <c r="C24" s="48" t="str">
        <f aca="false">IF(Need_1&lt;&gt;"",Need_1,IF(Inflation_Choice="","Choose your inflation rate to see this",Future_Value/(1+Inflation_Choice)^Years))</f>
        <v>Choose your years to see this</v>
      </c>
      <c r="D24" s="34" t="s">
        <v>248</v>
      </c>
      <c r="E24" s="49" t="s">
        <v>966</v>
      </c>
    </row>
    <row r="25" customFormat="false" ht="17.25" hidden="false" customHeight="true" outlineLevel="0" collapsed="false">
      <c r="B25" s="28" t="s">
        <v>967</v>
      </c>
      <c r="C25" s="48" t="str">
        <f aca="false">IF(Need_2&lt;&gt;"",Need_2,Used_Amount*(1+Nominal_Return)^Years)</f>
        <v>Choose your years to see this</v>
      </c>
      <c r="D25" s="34" t="s">
        <v>248</v>
      </c>
      <c r="E25" s="49" t="s">
        <v>968</v>
      </c>
    </row>
    <row r="26" customFormat="false" ht="17.25" hidden="false" customHeight="true" outlineLevel="0" collapsed="false">
      <c r="B26" s="28" t="s">
        <v>969</v>
      </c>
      <c r="C26" s="88" t="str">
        <f aca="false">IF(Need_3&lt;&gt;"",Need_3,IF(Inflation_Choice="","Choose your inflation rate to see this",(1+Nominal_Return)/(1+Inflation_Choice)-1))</f>
        <v>Choose your inflation rate to see this</v>
      </c>
      <c r="D26" s="34"/>
      <c r="E26" s="49" t="s">
        <v>970</v>
      </c>
    </row>
    <row r="27" customFormat="false" ht="15" hidden="false" customHeight="true" outlineLevel="0" collapsed="false">
      <c r="B27" s="75"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5"/>
      <c r="D27" s="75"/>
      <c r="E27" s="75"/>
    </row>
    <row r="29" customFormat="false" ht="15" hidden="false" customHeight="true" outlineLevel="0" collapsed="false">
      <c r="B29" s="15" t="s">
        <v>301</v>
      </c>
      <c r="C29" s="16"/>
      <c r="D29" s="16"/>
      <c r="E29" s="16"/>
      <c r="F29" s="16"/>
      <c r="G29" s="16"/>
    </row>
    <row r="30" customFormat="false" ht="13.5" hidden="false" customHeight="true" outlineLevel="0" collapsed="false">
      <c r="B30" s="53" t="s">
        <v>971</v>
      </c>
      <c r="C30" s="53"/>
      <c r="D30" s="53"/>
      <c r="E30" s="53"/>
    </row>
    <row r="31" customFormat="false" ht="13.5" hidden="false" customHeight="true" outlineLevel="0" collapsed="false">
      <c r="B31" s="53" t="s">
        <v>972</v>
      </c>
      <c r="C31" s="53"/>
      <c r="D31" s="53"/>
      <c r="E31" s="53"/>
    </row>
    <row r="32" customFormat="false" ht="13.5" hidden="false" customHeight="true" outlineLevel="0" collapsed="false">
      <c r="B32" s="54" t="s">
        <v>304</v>
      </c>
      <c r="C32" s="54"/>
      <c r="D32" s="54"/>
      <c r="E32" s="54"/>
    </row>
    <row r="33" customFormat="false" ht="13.5" hidden="false" customHeight="true" outlineLevel="0" collapsed="false">
      <c r="B33" s="53" t="s">
        <v>973</v>
      </c>
      <c r="C33" s="53"/>
      <c r="D33" s="53"/>
      <c r="E33" s="53"/>
    </row>
    <row r="35" customFormat="false" ht="15" hidden="false" customHeight="true" outlineLevel="0" collapsed="false">
      <c r="B35" s="15" t="s">
        <v>309</v>
      </c>
      <c r="C35" s="16"/>
      <c r="D35" s="16"/>
      <c r="E35" s="16"/>
      <c r="F35" s="16"/>
      <c r="G35" s="16"/>
    </row>
    <row r="36" customFormat="false" ht="15" hidden="false" customHeight="true" outlineLevel="0" collapsed="false">
      <c r="B36" s="9" t="s">
        <v>310</v>
      </c>
      <c r="C36" s="55" t="str">
        <f aca="false">"No goal"</f>
        <v>No goal</v>
      </c>
      <c r="E36" s="56" t="s">
        <v>497</v>
      </c>
    </row>
    <row r="38" customFormat="false" ht="15" hidden="false" customHeight="true" outlineLevel="0" collapsed="false">
      <c r="B38" s="15" t="s">
        <v>318</v>
      </c>
      <c r="C38" s="16"/>
      <c r="D38" s="16"/>
      <c r="E38" s="16"/>
      <c r="F38" s="16"/>
      <c r="G38" s="16"/>
    </row>
    <row r="39" customFormat="false" ht="15" hidden="false" customHeight="true" outlineLevel="0" collapsed="false">
      <c r="B39" s="59" t="s">
        <v>974</v>
      </c>
      <c r="C39" s="59"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9" t="s">
        <v>975</v>
      </c>
      <c r="C40" s="59" t="str">
        <f aca="false">IF(Years="","Choose your years to see this",IF(NOT(ISNUMBER(Used_Amount)),IF(Used_Amount="",IF(Amount="","Choose your amount to see this",""),Used_Amount),""))</f>
        <v>Choose your years to see this</v>
      </c>
    </row>
    <row r="41" customFormat="false" ht="15" hidden="false" customHeight="true" outlineLevel="0" collapsed="false">
      <c r="B41" s="59" t="s">
        <v>976</v>
      </c>
      <c r="C41" s="59"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977</v>
      </c>
      <c r="E1" s="3" t="s">
        <v>978</v>
      </c>
    </row>
    <row r="2" customFormat="false" ht="15" hidden="false" customHeight="true" outlineLevel="0" collapsed="false">
      <c r="B2" s="28" t="s">
        <v>979</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980</v>
      </c>
    </row>
    <row r="5" customFormat="false" ht="15" hidden="false" customHeight="true" outlineLevel="0" collapsed="false">
      <c r="B5" s="15" t="s">
        <v>585</v>
      </c>
      <c r="C5" s="31" t="s">
        <v>243</v>
      </c>
      <c r="D5" s="31" t="s">
        <v>244</v>
      </c>
      <c r="E5" s="31" t="s">
        <v>245</v>
      </c>
      <c r="F5" s="32" t="s">
        <v>246</v>
      </c>
      <c r="G5" s="16"/>
    </row>
    <row r="6" customFormat="false" ht="21.75" hidden="false" customHeight="true" outlineLevel="0" collapsed="false">
      <c r="B6" s="9" t="s">
        <v>586</v>
      </c>
      <c r="C6" s="41"/>
      <c r="D6" s="34" t="s">
        <v>259</v>
      </c>
      <c r="E6" s="42"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3" t="n">
        <v>0.02</v>
      </c>
      <c r="G6" s="44" t="str">
        <f aca="false">IF(ISBLANK(C6),IF(Fill_Example="Yes",F6,""),C6)</f>
        <v/>
      </c>
    </row>
    <row r="7" customFormat="false" ht="27.75" hidden="false" customHeight="true" outlineLevel="0" collapsed="false">
      <c r="B7" s="60"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0"/>
      <c r="D7" s="60"/>
      <c r="E7" s="60"/>
    </row>
    <row r="9" customFormat="false" ht="15" hidden="false" customHeight="true" outlineLevel="0" collapsed="false">
      <c r="B9" s="15" t="s">
        <v>331</v>
      </c>
      <c r="C9" s="16"/>
      <c r="D9" s="16"/>
      <c r="E9" s="16"/>
      <c r="F9" s="16"/>
      <c r="G9" s="16"/>
    </row>
    <row r="10" customFormat="false" ht="27.75" hidden="false" customHeight="true" outlineLevel="0" collapsed="false">
      <c r="B10" s="60" t="s">
        <v>656</v>
      </c>
      <c r="C10" s="60"/>
      <c r="D10" s="60"/>
      <c r="E10" s="60"/>
    </row>
    <row r="11" customFormat="false" ht="15" hidden="false" customHeight="true" outlineLevel="0" collapsed="false">
      <c r="B11" s="9" t="s">
        <v>981</v>
      </c>
      <c r="C11" s="61"/>
      <c r="D11" s="34" t="s">
        <v>248</v>
      </c>
      <c r="E11" s="35" t="s">
        <v>982</v>
      </c>
      <c r="G11" s="59" t="s">
        <v>335</v>
      </c>
    </row>
    <row r="12" customFormat="false" ht="15" hidden="false" customHeight="true" outlineLevel="0" collapsed="false">
      <c r="B12" s="9" t="s">
        <v>659</v>
      </c>
      <c r="C12" s="62"/>
      <c r="D12" s="34" t="s">
        <v>259</v>
      </c>
      <c r="E12" s="35" t="s">
        <v>660</v>
      </c>
      <c r="G12" s="59" t="s">
        <v>335</v>
      </c>
    </row>
    <row r="13" customFormat="false" ht="15" hidden="false" customHeight="true" outlineLevel="0" collapsed="false">
      <c r="B13" s="9" t="s">
        <v>342</v>
      </c>
      <c r="C13" s="64"/>
      <c r="D13" s="34" t="s">
        <v>343</v>
      </c>
      <c r="E13" s="35" t="s">
        <v>344</v>
      </c>
      <c r="G13" s="59" t="s">
        <v>335</v>
      </c>
    </row>
    <row r="15" customFormat="false" ht="15" hidden="false" customHeight="true" outlineLevel="0" collapsed="false">
      <c r="B15" s="15" t="s">
        <v>345</v>
      </c>
      <c r="C15" s="31" t="s">
        <v>243</v>
      </c>
      <c r="D15" s="31" t="s">
        <v>244</v>
      </c>
      <c r="E15" s="31" t="s">
        <v>245</v>
      </c>
      <c r="F15" s="32" t="s">
        <v>246</v>
      </c>
      <c r="G15" s="16"/>
    </row>
    <row r="16" customFormat="false" ht="15" hidden="false" customHeight="true" outlineLevel="0" collapsed="false">
      <c r="B16" s="9" t="s">
        <v>983</v>
      </c>
      <c r="C16" s="33"/>
      <c r="D16" s="34" t="s">
        <v>248</v>
      </c>
      <c r="E16" s="35" t="s">
        <v>984</v>
      </c>
      <c r="F16" s="36" t="n">
        <v>300</v>
      </c>
      <c r="G16" s="37" t="str">
        <f aca="false">IF(ISBLANK(C16),IF(Fill_Example="Yes",F16,""),C16)</f>
        <v/>
      </c>
    </row>
    <row r="17" customFormat="false" ht="15" hidden="false" customHeight="true" outlineLevel="0" collapsed="false">
      <c r="B17" s="9" t="s">
        <v>630</v>
      </c>
      <c r="C17" s="45"/>
      <c r="D17" s="34" t="s">
        <v>261</v>
      </c>
      <c r="E17" s="35" t="s">
        <v>631</v>
      </c>
      <c r="F17" s="46" t="n">
        <v>15</v>
      </c>
      <c r="G17" s="47" t="str">
        <f aca="false">IF(ISBLANK(C17),IF(Fill_Example="Yes",F17,""),C17)</f>
        <v/>
      </c>
    </row>
    <row r="18" customFormat="false" ht="21.75" hidden="false" customHeight="true" outlineLevel="0" collapsed="false">
      <c r="B18" s="9" t="s">
        <v>985</v>
      </c>
      <c r="C18" s="41"/>
      <c r="D18" s="34" t="s">
        <v>259</v>
      </c>
      <c r="E18" s="42" t="s">
        <v>629</v>
      </c>
      <c r="F18" s="43" t="n">
        <f aca="false">Set_invGross</f>
        <v>0.05</v>
      </c>
      <c r="G18" s="44" t="n">
        <f aca="false">IF(ISBLANK(C18),F18,C18)</f>
        <v>0.05</v>
      </c>
    </row>
    <row r="19" customFormat="false" ht="21.75" hidden="false" customHeight="true" outlineLevel="0" collapsed="false">
      <c r="B19" s="9" t="s">
        <v>664</v>
      </c>
      <c r="C19" s="41"/>
      <c r="D19" s="34" t="s">
        <v>259</v>
      </c>
      <c r="E19" s="42"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3" t="n">
        <f aca="false">IF(ISNUMBER(Suggest_Fund_Charges),Suggest_Fund_Charges,"")</f>
        <v>0.01</v>
      </c>
      <c r="G19" s="44" t="str">
        <f aca="false">IF(ISBLANK(C19),IF(Fill_Example="Yes",F19,""),C19)</f>
        <v/>
      </c>
    </row>
    <row r="20" customFormat="false" ht="15" hidden="false" customHeight="true" outlineLevel="0" collapsed="false">
      <c r="B20" s="9" t="s">
        <v>667</v>
      </c>
      <c r="C20" s="38"/>
      <c r="D20" s="34" t="s">
        <v>255</v>
      </c>
      <c r="E20" s="35" t="s">
        <v>668</v>
      </c>
      <c r="F20" s="39" t="s">
        <v>3</v>
      </c>
      <c r="G20" s="40" t="str">
        <f aca="false">IF(ISBLANK(C20),F20,C20)</f>
        <v>No</v>
      </c>
    </row>
    <row r="22" customFormat="false" ht="15" hidden="false" customHeight="true" outlineLevel="0" collapsed="false">
      <c r="B22" s="15" t="s">
        <v>354</v>
      </c>
      <c r="C22" s="16"/>
      <c r="D22" s="16"/>
      <c r="E22" s="16"/>
      <c r="F22" s="16"/>
      <c r="G22" s="16"/>
    </row>
    <row r="23" customFormat="false" ht="15" hidden="false" customHeight="true" outlineLevel="0" collapsed="false">
      <c r="B23" s="9" t="s">
        <v>669</v>
      </c>
      <c r="C23" s="52" t="str">
        <f aca="false">IF(COUNTA(Stmt_Monthly_Invested,Stmt_Charges,Stmt_Statement_Date)&gt;0,"Yes","No")</f>
        <v>No</v>
      </c>
      <c r="D23" s="34"/>
      <c r="E23" s="49" t="s">
        <v>986</v>
      </c>
    </row>
    <row r="24" customFormat="false" ht="15" hidden="false" customHeight="true" outlineLevel="0" collapsed="false">
      <c r="B24" s="9" t="s">
        <v>983</v>
      </c>
      <c r="C24" s="65" t="str">
        <f aca="false">IF(ISBLANK(Stmt_Monthly_Invested),Monthly_Amount,Stmt_Monthly_Invested)</f>
        <v/>
      </c>
      <c r="D24" s="66" t="str">
        <f aca="false">IF(ISBLANK(Stmt_Monthly_Invested),"Your figure","From your statement")</f>
        <v>Your figure</v>
      </c>
      <c r="E24" s="56" t="s">
        <v>987</v>
      </c>
    </row>
    <row r="25" customFormat="false" ht="15" hidden="false" customHeight="true" outlineLevel="0" collapsed="false">
      <c r="B25" s="9" t="s">
        <v>664</v>
      </c>
      <c r="C25" s="67" t="str">
        <f aca="false">IF(NOT(ISBLANK(Stmt_Charges)),Stmt_Charges,IF(Statement_Uploaded="Yes",0,Yearly_Fees))</f>
        <v/>
      </c>
      <c r="D25" s="66" t="str">
        <f aca="false">IF(NOT(ISBLANK(Stmt_Charges)),"From your statement",IF(Statement_Uploaded="Yes","None shown on your statement","Your figure"))</f>
        <v>Your figure</v>
      </c>
      <c r="E25" s="56" t="s">
        <v>672</v>
      </c>
    </row>
    <row r="26" customFormat="false" ht="21.75" hidden="false" customHeight="true" outlineLevel="0" collapsed="false">
      <c r="B26" s="9" t="s">
        <v>361</v>
      </c>
      <c r="C26" s="52" t="str">
        <f aca="true">IF(ISBLANK(Stmt_Statement_Date),"",IF(TODAY()-Stmt_Statement_Date&gt;Statement_Max_Age_Days,"Needs a look: statement is more than 12 months old","Up to date"))</f>
        <v/>
      </c>
      <c r="D26" s="34"/>
      <c r="E26" s="49" t="s">
        <v>362</v>
      </c>
    </row>
    <row r="28" customFormat="false" ht="15" hidden="false" customHeight="true" outlineLevel="0" collapsed="false">
      <c r="B28" s="15" t="s">
        <v>268</v>
      </c>
      <c r="C28" s="31" t="s">
        <v>269</v>
      </c>
      <c r="D28" s="31" t="s">
        <v>270</v>
      </c>
      <c r="E28" s="31" t="s">
        <v>271</v>
      </c>
      <c r="F28" s="16"/>
      <c r="G28" s="16"/>
    </row>
    <row r="29" customFormat="false" ht="17.25" hidden="false" customHeight="true" outlineLevel="0" collapsed="false">
      <c r="B29" s="28" t="s">
        <v>988</v>
      </c>
      <c r="C29" s="48" t="str">
        <f aca="false">IF(Need_1&lt;&gt;"",Need_1,IF(Adjust_For_Inflation="Yes",Value_Today,Value_After_Fees))</f>
        <v>Choose your years to see this</v>
      </c>
      <c r="D29" s="34" t="s">
        <v>248</v>
      </c>
      <c r="E29" s="49" t="s">
        <v>989</v>
      </c>
    </row>
    <row r="30" customFormat="false" ht="15" hidden="false" customHeight="true" outlineLevel="0" collapsed="false">
      <c r="B30" s="9" t="s">
        <v>990</v>
      </c>
      <c r="C30" s="50" t="str">
        <f aca="false">IF(Need_1&lt;&gt;"",Need_1,FV((1+Growth_After_Fees)^(1/12)-1,Years*12,-Used_Monthly_Amount))</f>
        <v>Choose your years to see this</v>
      </c>
      <c r="D30" s="34" t="s">
        <v>248</v>
      </c>
      <c r="E30" s="49" t="s">
        <v>991</v>
      </c>
    </row>
    <row r="31" customFormat="false" ht="15" hidden="false" customHeight="true" outlineLevel="0" collapsed="false">
      <c r="B31" s="9" t="s">
        <v>992</v>
      </c>
      <c r="C31" s="50" t="str">
        <f aca="false">IF(Need_2&lt;&gt;"",Need_2,FV((1+Growth_Rate)^(1/12)-1,Years*12,-Used_Monthly_Amount))</f>
        <v>Choose your years to see this</v>
      </c>
      <c r="D31" s="34" t="s">
        <v>248</v>
      </c>
      <c r="E31" s="49" t="s">
        <v>993</v>
      </c>
    </row>
    <row r="32" customFormat="false" ht="17.25" hidden="false" customHeight="true" outlineLevel="0" collapsed="false">
      <c r="B32" s="28" t="s">
        <v>681</v>
      </c>
      <c r="C32" s="48" t="str">
        <f aca="false">IF(Need_1&lt;&gt;"",Need_1,Value_Before_Fees-Value_After_Fees)</f>
        <v>Choose your years to see this</v>
      </c>
      <c r="D32" s="34" t="s">
        <v>248</v>
      </c>
      <c r="E32" s="49" t="s">
        <v>994</v>
      </c>
    </row>
    <row r="33" customFormat="false" ht="15" hidden="false" customHeight="true" outlineLevel="0" collapsed="false">
      <c r="B33" s="9" t="s">
        <v>636</v>
      </c>
      <c r="C33" s="50" t="str">
        <f aca="false">IF(Need_3&lt;&gt;"",Need_3,Used_Monthly_Amount*12*Years)</f>
        <v>Choose your years to see this</v>
      </c>
      <c r="D33" s="34" t="s">
        <v>248</v>
      </c>
      <c r="E33" s="49" t="s">
        <v>995</v>
      </c>
    </row>
    <row r="34" customFormat="false" ht="15" hidden="false" customHeight="true" outlineLevel="0" collapsed="false">
      <c r="B34" s="9" t="s">
        <v>634</v>
      </c>
      <c r="C34" s="50" t="str">
        <f aca="false">IF(Need_4&lt;&gt;"",Need_4,IF(Inflation_Choice="","Choose your inflation rate to see this",Value_After_Fees/(1+Inflation_Choice)^Years))</f>
        <v>Choose your years to see this</v>
      </c>
      <c r="D34" s="34" t="s">
        <v>248</v>
      </c>
      <c r="E34" s="49" t="s">
        <v>996</v>
      </c>
    </row>
    <row r="35" customFormat="false" ht="15" hidden="false" customHeight="true" outlineLevel="0" collapsed="false">
      <c r="B35" s="9" t="s">
        <v>683</v>
      </c>
      <c r="C35" s="71" t="str">
        <f aca="false">IF(Need_5&lt;&gt;"",Need_5,(1+Growth_Rate)*(1-Used_Yearly_Fees)-1)</f>
        <v>Choose your yearly fees to see this</v>
      </c>
      <c r="D35" s="34"/>
      <c r="E35" s="49" t="s">
        <v>684</v>
      </c>
    </row>
    <row r="36" customFormat="false" ht="15" hidden="false" customHeight="true" outlineLevel="0" collapsed="false">
      <c r="B36" s="9" t="s">
        <v>685</v>
      </c>
      <c r="C36" s="71" t="str">
        <f aca="false">IF(Need_6&lt;&gt;"",Need_6,IF(Inflation_Choice="","Choose your inflation rate to see this",(1+Growth_After_Fees)/(1+Inflation_Choice)-1))</f>
        <v>Choose your yearly fees to see this</v>
      </c>
      <c r="D36" s="34"/>
      <c r="E36" s="49" t="s">
        <v>686</v>
      </c>
    </row>
    <row r="37" customFormat="false" ht="15" hidden="false" customHeight="true" outlineLevel="0" collapsed="false">
      <c r="B37" s="75"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5"/>
      <c r="D37" s="75"/>
      <c r="E37" s="75"/>
    </row>
    <row r="39" customFormat="false" ht="15" hidden="false" customHeight="true" outlineLevel="0" collapsed="false">
      <c r="B39" s="15" t="s">
        <v>301</v>
      </c>
      <c r="C39" s="16"/>
      <c r="D39" s="16"/>
      <c r="E39" s="16"/>
      <c r="F39" s="16"/>
      <c r="G39" s="16"/>
    </row>
    <row r="40" customFormat="false" ht="27.75" hidden="false" customHeight="true" outlineLevel="0" collapsed="false">
      <c r="B40" s="53" t="s">
        <v>997</v>
      </c>
      <c r="C40" s="53"/>
      <c r="D40" s="53"/>
      <c r="E40" s="53"/>
    </row>
    <row r="41" customFormat="false" ht="13.5" hidden="false" customHeight="true" outlineLevel="0" collapsed="false">
      <c r="B41" s="53" t="s">
        <v>998</v>
      </c>
      <c r="C41" s="53"/>
      <c r="D41" s="53"/>
      <c r="E41" s="53"/>
    </row>
    <row r="42" customFormat="false" ht="13.5" hidden="false" customHeight="true" outlineLevel="0" collapsed="false">
      <c r="B42" s="54" t="s">
        <v>304</v>
      </c>
      <c r="C42" s="54"/>
      <c r="D42" s="54"/>
      <c r="E42" s="54"/>
    </row>
    <row r="43" customFormat="false" ht="13.5" hidden="false" customHeight="true" outlineLevel="0" collapsed="false">
      <c r="B43" s="53" t="s">
        <v>999</v>
      </c>
      <c r="C43" s="53"/>
      <c r="D43" s="53"/>
      <c r="E43" s="53"/>
    </row>
    <row r="45" customFormat="false" ht="15" hidden="false" customHeight="true" outlineLevel="0" collapsed="false">
      <c r="B45" s="15" t="s">
        <v>309</v>
      </c>
      <c r="C45" s="16"/>
      <c r="D45" s="16"/>
      <c r="E45" s="16"/>
      <c r="F45" s="16"/>
      <c r="G45" s="16"/>
    </row>
    <row r="46" customFormat="false" ht="15" hidden="false" customHeight="true" outlineLevel="0" collapsed="false">
      <c r="B46" s="9" t="s">
        <v>310</v>
      </c>
      <c r="C46" s="55" t="str">
        <f aca="false">"Grow my wealth (plan kind pot)"</f>
        <v>Grow my wealth (plan kind pot)</v>
      </c>
      <c r="E46" s="56" t="s">
        <v>644</v>
      </c>
    </row>
    <row r="47" customFormat="false" ht="15" hidden="false" customHeight="true" outlineLevel="0" collapsed="false">
      <c r="B47" s="9" t="s">
        <v>645</v>
      </c>
      <c r="C47" s="57" t="str">
        <f aca="false">IF(Need_1&lt;&gt;"",Need_1,IF(Inflation_Choice="","Choose an inflation rate first",ROUND(Value_Today,0)))</f>
        <v>Choose your years to see this</v>
      </c>
      <c r="E47" s="56" t="s">
        <v>646</v>
      </c>
    </row>
    <row r="48" customFormat="false" ht="15" hidden="false" customHeight="true" outlineLevel="0" collapsed="false">
      <c r="B48" s="9" t="s">
        <v>316</v>
      </c>
      <c r="C48" s="58" t="str">
        <f aca="false">IF(Need_7&lt;&gt;"",Need_7,Years)</f>
        <v>Choose your years to see this</v>
      </c>
      <c r="E48" s="56" t="s">
        <v>611</v>
      </c>
    </row>
    <row r="49" customFormat="false" ht="15" hidden="false" customHeight="true" outlineLevel="0" collapsed="false">
      <c r="B49" s="9" t="s">
        <v>612</v>
      </c>
      <c r="C49" s="76" t="str">
        <f aca="false">IF(Inflation_Choice="","Choose an inflation rate first",Inflation_Choice)</f>
        <v>Choose an inflation rate first</v>
      </c>
      <c r="E49" s="56" t="s">
        <v>613</v>
      </c>
    </row>
    <row r="50" customFormat="false" ht="13.5" hidden="false" customHeight="true" outlineLevel="0" collapsed="false">
      <c r="B50" s="60" t="s">
        <v>1000</v>
      </c>
      <c r="C50" s="60"/>
      <c r="D50" s="60"/>
      <c r="E50" s="60"/>
    </row>
    <row r="52" customFormat="false" ht="15" hidden="false" customHeight="true" outlineLevel="0" collapsed="false">
      <c r="B52" s="15" t="s">
        <v>318</v>
      </c>
      <c r="C52" s="16"/>
      <c r="D52" s="16"/>
      <c r="E52" s="16"/>
      <c r="F52" s="16"/>
      <c r="G52" s="16"/>
    </row>
    <row r="53" customFormat="false" ht="15" hidden="false" customHeight="true" outlineLevel="0" collapsed="false">
      <c r="B53" s="59" t="s">
        <v>1001</v>
      </c>
      <c r="C53" s="59"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9" t="s">
        <v>1002</v>
      </c>
      <c r="C54" s="59"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9" t="s">
        <v>1003</v>
      </c>
      <c r="C55" s="59"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9" t="s">
        <v>1004</v>
      </c>
      <c r="C56" s="59"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9" t="s">
        <v>696</v>
      </c>
      <c r="C57" s="59" t="str">
        <f aca="false">IF(NOT(ISNUMBER(Used_Yearly_Fees)),IF(Used_Yearly_Fees="",IF(Yearly_Fees="","Choose your yearly fees to see this",""),Used_Yearly_Fees),"")</f>
        <v>Choose your yearly fees to see this</v>
      </c>
    </row>
    <row r="58" customFormat="false" ht="15" hidden="false" customHeight="true" outlineLevel="0" collapsed="false">
      <c r="B58" s="59" t="s">
        <v>697</v>
      </c>
      <c r="C58" s="59"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9" t="s">
        <v>651</v>
      </c>
      <c r="C59" s="59"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1005</v>
      </c>
      <c r="E1" s="3" t="s">
        <v>1006</v>
      </c>
    </row>
    <row r="2" customFormat="false" ht="15" hidden="false" customHeight="true" outlineLevel="0" collapsed="false">
      <c r="B2" s="28" t="s">
        <v>1007</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1008</v>
      </c>
    </row>
    <row r="5" customFormat="false" ht="15" hidden="false" customHeight="true" outlineLevel="0" collapsed="false">
      <c r="B5" s="15" t="s">
        <v>331</v>
      </c>
      <c r="C5" s="16"/>
      <c r="D5" s="16"/>
      <c r="E5" s="16"/>
      <c r="F5" s="16"/>
      <c r="G5" s="16"/>
    </row>
    <row r="6" customFormat="false" ht="27.75" hidden="false" customHeight="true" outlineLevel="0" collapsed="false">
      <c r="B6" s="60" t="s">
        <v>656</v>
      </c>
      <c r="C6" s="60"/>
      <c r="D6" s="60"/>
      <c r="E6" s="60"/>
    </row>
    <row r="7" customFormat="false" ht="15" hidden="false" customHeight="true" outlineLevel="0" collapsed="false">
      <c r="B7" s="9" t="s">
        <v>657</v>
      </c>
      <c r="C7" s="61"/>
      <c r="D7" s="34" t="s">
        <v>248</v>
      </c>
      <c r="E7" s="35" t="s">
        <v>658</v>
      </c>
      <c r="G7" s="59" t="s">
        <v>335</v>
      </c>
    </row>
    <row r="8" customFormat="false" ht="15" hidden="false" customHeight="true" outlineLevel="0" collapsed="false">
      <c r="B8" s="9" t="s">
        <v>659</v>
      </c>
      <c r="C8" s="62"/>
      <c r="D8" s="34" t="s">
        <v>259</v>
      </c>
      <c r="E8" s="35" t="s">
        <v>660</v>
      </c>
      <c r="G8" s="59" t="s">
        <v>335</v>
      </c>
    </row>
    <row r="9" customFormat="false" ht="15" hidden="false" customHeight="true" outlineLevel="0" collapsed="false">
      <c r="B9" s="9" t="s">
        <v>342</v>
      </c>
      <c r="C9" s="64"/>
      <c r="D9" s="34" t="s">
        <v>343</v>
      </c>
      <c r="E9" s="35" t="s">
        <v>344</v>
      </c>
      <c r="G9" s="59" t="s">
        <v>335</v>
      </c>
    </row>
    <row r="11" customFormat="false" ht="15" hidden="false" customHeight="true" outlineLevel="0" collapsed="false">
      <c r="B11" s="15" t="s">
        <v>345</v>
      </c>
      <c r="C11" s="31" t="s">
        <v>243</v>
      </c>
      <c r="D11" s="31" t="s">
        <v>244</v>
      </c>
      <c r="E11" s="31" t="s">
        <v>245</v>
      </c>
      <c r="F11" s="32" t="s">
        <v>246</v>
      </c>
      <c r="G11" s="16"/>
    </row>
    <row r="12" customFormat="false" ht="21.75" hidden="false" customHeight="true" outlineLevel="0" collapsed="false">
      <c r="B12" s="9" t="s">
        <v>1009</v>
      </c>
      <c r="C12" s="33"/>
      <c r="D12" s="34" t="s">
        <v>248</v>
      </c>
      <c r="E12" s="35" t="s">
        <v>1010</v>
      </c>
      <c r="F12" s="36" t="n">
        <v>50000</v>
      </c>
      <c r="G12" s="37" t="str">
        <f aca="false">IF(ISBLANK(C12),IF(Fill_Example="Yes",F12,""),C12)</f>
        <v/>
      </c>
    </row>
    <row r="13" customFormat="false" ht="15" hidden="false" customHeight="true" outlineLevel="0" collapsed="false">
      <c r="B13" s="9" t="s">
        <v>630</v>
      </c>
      <c r="C13" s="45"/>
      <c r="D13" s="34" t="s">
        <v>261</v>
      </c>
      <c r="E13" s="35" t="s">
        <v>631</v>
      </c>
      <c r="F13" s="46" t="n">
        <v>20</v>
      </c>
      <c r="G13" s="47" t="str">
        <f aca="false">IF(ISBLANK(C13),IF(Fill_Example="Yes",F13,""),C13)</f>
        <v/>
      </c>
    </row>
    <row r="14" customFormat="false" ht="21.75" hidden="false" customHeight="true" outlineLevel="0" collapsed="false">
      <c r="B14" s="9" t="s">
        <v>985</v>
      </c>
      <c r="C14" s="41"/>
      <c r="D14" s="34" t="s">
        <v>259</v>
      </c>
      <c r="E14" s="42" t="s">
        <v>629</v>
      </c>
      <c r="F14" s="43" t="n">
        <f aca="false">Set_invGross</f>
        <v>0.05</v>
      </c>
      <c r="G14" s="44" t="n">
        <f aca="false">IF(ISBLANK(C14),F14,C14)</f>
        <v>0.05</v>
      </c>
    </row>
    <row r="15" customFormat="false" ht="21.75" hidden="false" customHeight="true" outlineLevel="0" collapsed="false">
      <c r="B15" s="9" t="s">
        <v>1011</v>
      </c>
      <c r="C15" s="41"/>
      <c r="D15" s="34" t="s">
        <v>259</v>
      </c>
      <c r="E15" s="42"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3" t="n">
        <f aca="false">IF(ISNUMBER(Suggest_Fund_Charges),Suggest_Fund_Charges,"")</f>
        <v>0.01</v>
      </c>
      <c r="G15" s="44" t="str">
        <f aca="false">IF(ISBLANK(C15),IF(Fill_Example="Yes",F15,""),C15)</f>
        <v/>
      </c>
    </row>
    <row r="16" customFormat="false" ht="21.75" hidden="false" customHeight="true" outlineLevel="0" collapsed="false">
      <c r="B16" s="9" t="s">
        <v>1012</v>
      </c>
      <c r="C16" s="41"/>
      <c r="D16" s="34" t="s">
        <v>259</v>
      </c>
      <c r="E16" s="42"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3" t="n">
        <f aca="false">IF(ISNUMBER(Suggest_Fund_Charges),Suggest_Fund_Charges,"")</f>
        <v>0.01</v>
      </c>
      <c r="G16" s="44" t="str">
        <f aca="false">IF(ISBLANK(C16),IF(Fill_Example="Yes",F16,""),C16)</f>
        <v/>
      </c>
    </row>
    <row r="18" customFormat="false" ht="15" hidden="false" customHeight="true" outlineLevel="0" collapsed="false">
      <c r="B18" s="15" t="s">
        <v>354</v>
      </c>
      <c r="C18" s="16"/>
      <c r="D18" s="16"/>
      <c r="E18" s="16"/>
      <c r="F18" s="16"/>
      <c r="G18" s="16"/>
    </row>
    <row r="19" customFormat="false" ht="15" hidden="false" customHeight="true" outlineLevel="0" collapsed="false">
      <c r="B19" s="9" t="s">
        <v>669</v>
      </c>
      <c r="C19" s="52" t="str">
        <f aca="false">IF(COUNTA(Stmt_Total_Value,Stmt_Charges,Stmt_Statement_Date)&gt;0,"Yes","No")</f>
        <v>No</v>
      </c>
      <c r="D19" s="34"/>
      <c r="E19" s="49" t="s">
        <v>670</v>
      </c>
    </row>
    <row r="20" customFormat="false" ht="15" hidden="false" customHeight="true" outlineLevel="0" collapsed="false">
      <c r="B20" s="9" t="s">
        <v>1009</v>
      </c>
      <c r="C20" s="65" t="str">
        <f aca="false">IF(ISBLANK(Stmt_Total_Value),Amount_Invested,Stmt_Total_Value)</f>
        <v/>
      </c>
      <c r="D20" s="66" t="str">
        <f aca="false">IF(ISBLANK(Stmt_Total_Value),"Your figure","From your statement")</f>
        <v>Your figure</v>
      </c>
      <c r="E20" s="56" t="s">
        <v>1013</v>
      </c>
    </row>
    <row r="21" customFormat="false" ht="15" hidden="false" customHeight="true" outlineLevel="0" collapsed="false">
      <c r="B21" s="9" t="s">
        <v>1014</v>
      </c>
      <c r="C21" s="67" t="str">
        <f aca="false">IF(NOT(ISBLANK(Stmt_Charges)),Stmt_Charges,IF(Statement_Uploaded="Yes",0,Fee_A))</f>
        <v/>
      </c>
      <c r="D21" s="66" t="str">
        <f aca="false">IF(NOT(ISBLANK(Stmt_Charges)),"From your statement",IF(Statement_Uploaded="Yes","None shown on your statement","Your figure"))</f>
        <v>Your figure</v>
      </c>
      <c r="E21" s="56" t="s">
        <v>1015</v>
      </c>
    </row>
    <row r="22" customFormat="false" ht="21.75" hidden="false" customHeight="true" outlineLevel="0" collapsed="false">
      <c r="B22" s="9" t="s">
        <v>361</v>
      </c>
      <c r="C22" s="52" t="str">
        <f aca="true">IF(ISBLANK(Stmt_Statement_Date),"",IF(TODAY()-Stmt_Statement_Date&gt;Statement_Max_Age_Days,"Needs a look: statement is more than 12 months old","Up to date"))</f>
        <v/>
      </c>
      <c r="D22" s="34"/>
      <c r="E22" s="49" t="s">
        <v>362</v>
      </c>
    </row>
    <row r="24" customFormat="false" ht="15" hidden="false" customHeight="true" outlineLevel="0" collapsed="false">
      <c r="B24" s="15" t="s">
        <v>268</v>
      </c>
      <c r="C24" s="31" t="s">
        <v>269</v>
      </c>
      <c r="D24" s="31" t="s">
        <v>270</v>
      </c>
      <c r="E24" s="31" t="s">
        <v>271</v>
      </c>
      <c r="F24" s="16"/>
      <c r="G24" s="16"/>
    </row>
    <row r="25" customFormat="false" ht="17.25" hidden="false" customHeight="true" outlineLevel="0" collapsed="false">
      <c r="B25" s="28" t="s">
        <v>1016</v>
      </c>
      <c r="C25" s="48" t="str">
        <f aca="false">IF(Need_1&lt;&gt;"",Need_1,ABS(Value_With_Fee_A-Value_With_Fee_B))</f>
        <v>Choose your years to see this</v>
      </c>
      <c r="D25" s="34" t="s">
        <v>248</v>
      </c>
      <c r="E25" s="49" t="s">
        <v>1017</v>
      </c>
    </row>
    <row r="26" customFormat="false" ht="17.25" hidden="false" customHeight="true" outlineLevel="0" collapsed="false">
      <c r="B26" s="28" t="s">
        <v>1018</v>
      </c>
      <c r="C26" s="48" t="str">
        <f aca="false">IF(Need_2&lt;&gt;"",Need_2,Used_Amount_Invested*((1+Growth_Rate)*(1-Used_Fee_A))^Years)</f>
        <v>Choose your years to see this</v>
      </c>
      <c r="D26" s="34" t="s">
        <v>248</v>
      </c>
      <c r="E26" s="49" t="s">
        <v>1019</v>
      </c>
    </row>
    <row r="27" customFormat="false" ht="17.25" hidden="false" customHeight="true" outlineLevel="0" collapsed="false">
      <c r="B27" s="28" t="s">
        <v>1020</v>
      </c>
      <c r="C27" s="48" t="str">
        <f aca="false">IF(Need_3&lt;&gt;"",Need_3,Used_Amount_Invested*((1+Growth_Rate)*(1-Fee_B))^Years)</f>
        <v>Choose your years to see this</v>
      </c>
      <c r="D27" s="34" t="s">
        <v>248</v>
      </c>
      <c r="E27" s="49" t="s">
        <v>1021</v>
      </c>
    </row>
    <row r="28" customFormat="false" ht="15" hidden="false" customHeight="true" outlineLevel="0" collapsed="false">
      <c r="B28" s="9" t="s">
        <v>1022</v>
      </c>
      <c r="C28" s="72" t="str">
        <f aca="false">IF(Need_4&lt;&gt;"",Need_4,ABS(Fee_B-Used_Fee_A))</f>
        <v>Choose the first fee (fee A) to see this</v>
      </c>
      <c r="D28" s="34" t="s">
        <v>259</v>
      </c>
      <c r="E28" s="49" t="s">
        <v>1023</v>
      </c>
    </row>
    <row r="30" customFormat="false" ht="15" hidden="false" customHeight="true" outlineLevel="0" collapsed="false">
      <c r="B30" s="15" t="s">
        <v>301</v>
      </c>
      <c r="C30" s="16"/>
      <c r="D30" s="16"/>
      <c r="E30" s="16"/>
      <c r="F30" s="16"/>
      <c r="G30" s="16"/>
    </row>
    <row r="31" customFormat="false" ht="13.5" hidden="false" customHeight="true" outlineLevel="0" collapsed="false">
      <c r="B31" s="53" t="s">
        <v>1024</v>
      </c>
      <c r="C31" s="53"/>
      <c r="D31" s="53"/>
      <c r="E31" s="53"/>
    </row>
    <row r="32" customFormat="false" ht="13.5" hidden="false" customHeight="true" outlineLevel="0" collapsed="false">
      <c r="B32" s="54" t="s">
        <v>304</v>
      </c>
      <c r="C32" s="54"/>
      <c r="D32" s="54"/>
      <c r="E32" s="54"/>
    </row>
    <row r="33" customFormat="false" ht="13.5" hidden="false" customHeight="true" outlineLevel="0" collapsed="false">
      <c r="B33" s="53" t="s">
        <v>1025</v>
      </c>
      <c r="C33" s="53"/>
      <c r="D33" s="53"/>
      <c r="E33" s="53"/>
    </row>
    <row r="35" customFormat="false" ht="15" hidden="false" customHeight="true" outlineLevel="0" collapsed="false">
      <c r="B35" s="15" t="s">
        <v>309</v>
      </c>
      <c r="C35" s="16"/>
      <c r="D35" s="16"/>
      <c r="E35" s="16"/>
      <c r="F35" s="16"/>
      <c r="G35" s="16"/>
    </row>
    <row r="36" customFormat="false" ht="15" hidden="false" customHeight="true" outlineLevel="0" collapsed="false">
      <c r="B36" s="9" t="s">
        <v>310</v>
      </c>
      <c r="C36" s="55" t="str">
        <f aca="false">"No goal"</f>
        <v>No goal</v>
      </c>
      <c r="E36" s="56" t="s">
        <v>497</v>
      </c>
    </row>
    <row r="38" customFormat="false" ht="15" hidden="false" customHeight="true" outlineLevel="0" collapsed="false">
      <c r="B38" s="15" t="s">
        <v>318</v>
      </c>
      <c r="C38" s="16"/>
      <c r="D38" s="16"/>
      <c r="E38" s="16"/>
      <c r="F38" s="16"/>
      <c r="G38" s="16"/>
    </row>
    <row r="39" customFormat="false" ht="15" hidden="false" customHeight="true" outlineLevel="0" collapsed="false">
      <c r="B39" s="59" t="s">
        <v>1026</v>
      </c>
      <c r="C39" s="59"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9" t="s">
        <v>1027</v>
      </c>
      <c r="C40" s="59"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9" t="s">
        <v>1028</v>
      </c>
      <c r="C41" s="59"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9" t="s">
        <v>1029</v>
      </c>
      <c r="C42" s="59"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1030</v>
      </c>
      <c r="E1" s="3" t="s">
        <v>1031</v>
      </c>
    </row>
    <row r="2" customFormat="false" ht="15" hidden="false" customHeight="true" outlineLevel="0" collapsed="false">
      <c r="B2" s="28" t="s">
        <v>1032</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1033</v>
      </c>
    </row>
    <row r="5" customFormat="false" ht="15" hidden="false" customHeight="true" outlineLevel="0" collapsed="false">
      <c r="B5" s="15" t="s">
        <v>331</v>
      </c>
      <c r="C5" s="16"/>
      <c r="D5" s="16"/>
      <c r="E5" s="16"/>
      <c r="F5" s="16"/>
      <c r="G5" s="16"/>
    </row>
    <row r="6" customFormat="false" ht="27.75" hidden="false" customHeight="true" outlineLevel="0" collapsed="false">
      <c r="B6" s="60" t="s">
        <v>656</v>
      </c>
      <c r="C6" s="60"/>
      <c r="D6" s="60"/>
      <c r="E6" s="60"/>
    </row>
    <row r="7" customFormat="false" ht="15" hidden="false" customHeight="true" outlineLevel="0" collapsed="false">
      <c r="B7" s="9" t="s">
        <v>657</v>
      </c>
      <c r="C7" s="61"/>
      <c r="D7" s="34" t="s">
        <v>248</v>
      </c>
      <c r="E7" s="35" t="s">
        <v>658</v>
      </c>
      <c r="G7" s="59" t="s">
        <v>335</v>
      </c>
    </row>
    <row r="8" customFormat="false" ht="15" hidden="false" customHeight="true" outlineLevel="0" collapsed="false">
      <c r="B8" s="9" t="s">
        <v>1034</v>
      </c>
      <c r="C8" s="62"/>
      <c r="D8" s="34" t="s">
        <v>259</v>
      </c>
      <c r="E8" s="35" t="s">
        <v>1035</v>
      </c>
      <c r="G8" s="59" t="s">
        <v>335</v>
      </c>
    </row>
    <row r="9" customFormat="false" ht="15" hidden="false" customHeight="true" outlineLevel="0" collapsed="false">
      <c r="B9" s="9" t="s">
        <v>342</v>
      </c>
      <c r="C9" s="64"/>
      <c r="D9" s="34" t="s">
        <v>343</v>
      </c>
      <c r="E9" s="35" t="s">
        <v>344</v>
      </c>
      <c r="G9" s="59" t="s">
        <v>335</v>
      </c>
    </row>
    <row r="11" customFormat="false" ht="15" hidden="false" customHeight="true" outlineLevel="0" collapsed="false">
      <c r="B11" s="15" t="s">
        <v>345</v>
      </c>
      <c r="C11" s="31" t="s">
        <v>243</v>
      </c>
      <c r="D11" s="31" t="s">
        <v>244</v>
      </c>
      <c r="E11" s="31" t="s">
        <v>245</v>
      </c>
      <c r="F11" s="32" t="s">
        <v>246</v>
      </c>
      <c r="G11" s="16"/>
    </row>
    <row r="12" customFormat="false" ht="21.75" hidden="false" customHeight="true" outlineLevel="0" collapsed="false">
      <c r="B12" s="9" t="s">
        <v>661</v>
      </c>
      <c r="C12" s="33"/>
      <c r="D12" s="34" t="s">
        <v>248</v>
      </c>
      <c r="E12" s="35" t="s">
        <v>1010</v>
      </c>
      <c r="F12" s="36" t="n">
        <v>20000</v>
      </c>
      <c r="G12" s="37" t="str">
        <f aca="false">IF(ISBLANK(C12),IF(Fill_Example="Yes",F12,""),C12)</f>
        <v/>
      </c>
    </row>
    <row r="13" customFormat="false" ht="15" hidden="false" customHeight="true" outlineLevel="0" collapsed="false">
      <c r="B13" s="9" t="s">
        <v>630</v>
      </c>
      <c r="C13" s="45"/>
      <c r="D13" s="34" t="s">
        <v>261</v>
      </c>
      <c r="E13" s="35" t="s">
        <v>536</v>
      </c>
      <c r="F13" s="46" t="n">
        <v>10</v>
      </c>
      <c r="G13" s="47" t="str">
        <f aca="false">IF(AND(ISNUMBER(C13),N(C13)&lt;1),"",IF(ISBLANK(C13),IF(Fill_Example="Yes",F13,""),C13))</f>
        <v/>
      </c>
    </row>
    <row r="14" customFormat="false" ht="21.75" hidden="false" customHeight="true" outlineLevel="0" collapsed="false">
      <c r="B14" s="9" t="s">
        <v>1036</v>
      </c>
      <c r="C14" s="45"/>
      <c r="D14" s="34" t="s">
        <v>1037</v>
      </c>
      <c r="E14" s="42" t="s">
        <v>1038</v>
      </c>
      <c r="F14" s="46" t="n">
        <f aca="false">Set_style</f>
        <v>2</v>
      </c>
      <c r="G14" s="47" t="n">
        <f aca="false">IF(AND(ISNUMBER(C14),OR(N(C14)&lt;1,N(C14)&gt;3)),"",IF(ISBLANK(C14),F14,C14))</f>
        <v>2</v>
      </c>
    </row>
    <row r="15" customFormat="false" ht="21.75" hidden="false" customHeight="true" outlineLevel="0" collapsed="false">
      <c r="B15" s="9" t="s">
        <v>1039</v>
      </c>
      <c r="C15" s="41"/>
      <c r="D15" s="34" t="s">
        <v>259</v>
      </c>
      <c r="E15" s="42" t="s">
        <v>1040</v>
      </c>
      <c r="F15" s="43" t="n">
        <f aca="false">Set_riskMu_1</f>
        <v>0.02</v>
      </c>
      <c r="G15" s="44" t="n">
        <f aca="false">IF(ISBLANK(C15),F15,C15)</f>
        <v>0.02</v>
      </c>
    </row>
    <row r="16" customFormat="false" ht="21.75" hidden="false" customHeight="true" outlineLevel="0" collapsed="false">
      <c r="B16" s="9" t="s">
        <v>1041</v>
      </c>
      <c r="C16" s="41"/>
      <c r="D16" s="34" t="s">
        <v>259</v>
      </c>
      <c r="E16" s="42" t="s">
        <v>1042</v>
      </c>
      <c r="F16" s="43" t="n">
        <f aca="false">Set_riskMu_2</f>
        <v>0.04</v>
      </c>
      <c r="G16" s="44" t="n">
        <f aca="false">IF(ISBLANK(C16),F16,C16)</f>
        <v>0.04</v>
      </c>
    </row>
    <row r="17" customFormat="false" ht="21.75" hidden="false" customHeight="true" outlineLevel="0" collapsed="false">
      <c r="B17" s="9" t="s">
        <v>1043</v>
      </c>
      <c r="C17" s="41"/>
      <c r="D17" s="34" t="s">
        <v>259</v>
      </c>
      <c r="E17" s="42" t="s">
        <v>1044</v>
      </c>
      <c r="F17" s="43" t="n">
        <f aca="false">Set_riskMu_3</f>
        <v>0.06</v>
      </c>
      <c r="G17" s="44" t="n">
        <f aca="false">IF(ISBLANK(C17),F17,C17)</f>
        <v>0.06</v>
      </c>
    </row>
    <row r="18" customFormat="false" ht="21.75" hidden="false" customHeight="true" outlineLevel="0" collapsed="false">
      <c r="B18" s="9" t="s">
        <v>1045</v>
      </c>
      <c r="C18" s="41"/>
      <c r="D18" s="34" t="s">
        <v>259</v>
      </c>
      <c r="E18" s="42" t="s">
        <v>1046</v>
      </c>
      <c r="F18" s="43" t="n">
        <f aca="false">Set_riskVol_1</f>
        <v>0.05</v>
      </c>
      <c r="G18" s="44" t="n">
        <f aca="false">IF(ISBLANK(C18),F18,C18)</f>
        <v>0.05</v>
      </c>
    </row>
    <row r="19" customFormat="false" ht="21.75" hidden="false" customHeight="true" outlineLevel="0" collapsed="false">
      <c r="B19" s="9" t="s">
        <v>1047</v>
      </c>
      <c r="C19" s="41"/>
      <c r="D19" s="34" t="s">
        <v>259</v>
      </c>
      <c r="E19" s="42" t="s">
        <v>1048</v>
      </c>
      <c r="F19" s="43" t="n">
        <f aca="false">Set_riskVol_2</f>
        <v>0.1</v>
      </c>
      <c r="G19" s="44" t="n">
        <f aca="false">IF(ISBLANK(C19),F19,C19)</f>
        <v>0.1</v>
      </c>
    </row>
    <row r="20" customFormat="false" ht="21.75" hidden="false" customHeight="true" outlineLevel="0" collapsed="false">
      <c r="B20" s="9" t="s">
        <v>1049</v>
      </c>
      <c r="C20" s="41"/>
      <c r="D20" s="34" t="s">
        <v>259</v>
      </c>
      <c r="E20" s="42" t="s">
        <v>1050</v>
      </c>
      <c r="F20" s="43" t="n">
        <f aca="false">Set_riskVol_3</f>
        <v>0.16</v>
      </c>
      <c r="G20" s="44" t="n">
        <f aca="false">IF(ISBLANK(C20),F20,C20)</f>
        <v>0.16</v>
      </c>
    </row>
    <row r="22" customFormat="false" ht="15" hidden="false" customHeight="true" outlineLevel="0" collapsed="false">
      <c r="B22" s="15" t="s">
        <v>354</v>
      </c>
      <c r="C22" s="16"/>
      <c r="D22" s="16"/>
      <c r="E22" s="16"/>
      <c r="F22" s="16"/>
      <c r="G22" s="16"/>
    </row>
    <row r="23" customFormat="false" ht="15" hidden="false" customHeight="true" outlineLevel="0" collapsed="false">
      <c r="B23" s="9" t="s">
        <v>661</v>
      </c>
      <c r="C23" s="65" t="str">
        <f aca="false">IF(ISBLANK(Stmt_Total_Value),Amount,Stmt_Total_Value)</f>
        <v/>
      </c>
      <c r="D23" s="66" t="str">
        <f aca="false">IF(ISBLANK(Stmt_Total_Value),"Your figure","From your statement")</f>
        <v>Your figure</v>
      </c>
      <c r="E23" s="56" t="s">
        <v>671</v>
      </c>
    </row>
    <row r="24" customFormat="false" ht="15" hidden="false" customHeight="true" outlineLevel="0" collapsed="false">
      <c r="B24" s="9" t="s">
        <v>1051</v>
      </c>
      <c r="C24" s="68" t="n">
        <f aca="false">IF(ISBLANK(Stmt_Shares_Pct),Style,IF(Stmt_Shares_Pct&gt;=Shares_For_Growth,3,IF(Stmt_Shares_Pct&gt;=Shares_For_Balanced,2,1)))</f>
        <v>2</v>
      </c>
      <c r="D24" s="66" t="str">
        <f aca="false">IF(ISBLANK(Stmt_Shares_Pct),"Your figure","From your statement (holdings in shares)")</f>
        <v>Your figure</v>
      </c>
      <c r="E24" s="56" t="s">
        <v>1052</v>
      </c>
    </row>
    <row r="25" customFormat="false" ht="21.75" hidden="false" customHeight="true" outlineLevel="0" collapsed="false">
      <c r="B25" s="9" t="s">
        <v>361</v>
      </c>
      <c r="C25" s="52" t="str">
        <f aca="true">IF(ISBLANK(Stmt_Statement_Date),"",IF(TODAY()-Stmt_Statement_Date&gt;Statement_Max_Age_Days,"Needs a look: statement is more than 12 months old","Up to date"))</f>
        <v/>
      </c>
      <c r="D25" s="34"/>
      <c r="E25" s="49" t="s">
        <v>362</v>
      </c>
    </row>
    <row r="27" customFormat="false" ht="15" hidden="false" customHeight="true" outlineLevel="0" collapsed="false">
      <c r="B27" s="15" t="s">
        <v>268</v>
      </c>
      <c r="C27" s="31" t="s">
        <v>269</v>
      </c>
      <c r="D27" s="31" t="s">
        <v>270</v>
      </c>
      <c r="E27" s="31" t="s">
        <v>271</v>
      </c>
      <c r="F27" s="16"/>
      <c r="G27" s="16"/>
    </row>
    <row r="28" customFormat="false" ht="17.25" hidden="false" customHeight="true" outlineLevel="0" collapsed="false">
      <c r="B28" s="28" t="s">
        <v>1053</v>
      </c>
      <c r="C28" s="48" t="str">
        <f aca="false">IF(Need_1&lt;&gt;"",Need_1,Used_Amount*(1+Middle_Growth)^Years)</f>
        <v>Choose your years to see this</v>
      </c>
      <c r="D28" s="70" t="str">
        <f aca="false">IF(Need_1&lt;&gt;"",Need_1,Style_Name&amp;" · middle outcome")</f>
        <v>Choose your years to see this</v>
      </c>
      <c r="E28" s="49" t="s">
        <v>1054</v>
      </c>
    </row>
    <row r="29" customFormat="false" ht="17.25" hidden="false" customHeight="true" outlineLevel="0" collapsed="false">
      <c r="B29" s="28" t="s">
        <v>1055</v>
      </c>
      <c r="C29" s="48" t="str">
        <f aca="false">IF(Need_2&lt;&gt;"",Need_2,Used_Amount*(1+Middle_Growth-Spread)^Years)</f>
        <v>Choose your years to see this</v>
      </c>
      <c r="D29" s="34" t="s">
        <v>248</v>
      </c>
      <c r="E29" s="49" t="s">
        <v>1056</v>
      </c>
    </row>
    <row r="30" customFormat="false" ht="17.25" hidden="false" customHeight="true" outlineLevel="0" collapsed="false">
      <c r="B30" s="28" t="s">
        <v>1057</v>
      </c>
      <c r="C30" s="48" t="str">
        <f aca="false">IF(Need_2&lt;&gt;"",Need_2,Used_Amount*(1+Middle_Growth+Spread)^Years)</f>
        <v>Choose your years to see this</v>
      </c>
      <c r="D30" s="34" t="s">
        <v>248</v>
      </c>
      <c r="E30" s="49" t="s">
        <v>1058</v>
      </c>
    </row>
    <row r="31" customFormat="false" ht="15" hidden="false" customHeight="true" outlineLevel="0" collapsed="false">
      <c r="B31" s="9" t="s">
        <v>1059</v>
      </c>
      <c r="C31" s="72" t="n">
        <f aca="false">IF(Need_3&lt;&gt;"",Need_3,ROUND((Volatility*One_In_20_Z-Middle_Growth)*100,0)/100)</f>
        <v>0.12</v>
      </c>
      <c r="D31" s="34" t="s">
        <v>259</v>
      </c>
      <c r="E31" s="49" t="s">
        <v>1060</v>
      </c>
    </row>
    <row r="32" customFormat="false" ht="15" hidden="false" customHeight="true" outlineLevel="0" collapsed="false">
      <c r="B32" s="9" t="s">
        <v>1051</v>
      </c>
      <c r="C32" s="52" t="str">
        <f aca="false">IF(Need_4&lt;&gt;"",Need_4,IF(OR(Used_Style&lt;1,Used_Style&gt;3,Used_Style&lt;&gt;INT(Used_Style)),"Choose 1, 2 or 3",INDEX(Risk_Names,Used_Style)))</f>
        <v>Balanced</v>
      </c>
      <c r="D32" s="34"/>
      <c r="E32" s="49" t="s">
        <v>1061</v>
      </c>
    </row>
    <row r="33" customFormat="false" ht="15" hidden="false" customHeight="true" outlineLevel="0" collapsed="false">
      <c r="B33" s="9" t="s">
        <v>1062</v>
      </c>
      <c r="C33" s="72" t="n">
        <f aca="false">IF(Need_5&lt;&gt;"",Need_5,CHOOSE(Used_Style,Mu_Cautious,Mu_Balanced,Mu_Growth))</f>
        <v>0.04</v>
      </c>
      <c r="D33" s="34" t="s">
        <v>259</v>
      </c>
      <c r="E33" s="49" t="s">
        <v>1063</v>
      </c>
    </row>
    <row r="34" customFormat="false" ht="15" hidden="false" customHeight="true" outlineLevel="0" collapsed="false">
      <c r="B34" s="9" t="s">
        <v>1064</v>
      </c>
      <c r="C34" s="72" t="n">
        <f aca="false">IF(Need_6&lt;&gt;"",Need_6,CHOOSE(Used_Style,Vol_Cautious,Vol_Balanced,Vol_Growth))</f>
        <v>0.1</v>
      </c>
      <c r="D34" s="34" t="s">
        <v>259</v>
      </c>
      <c r="E34" s="49" t="s">
        <v>1065</v>
      </c>
    </row>
    <row r="35" customFormat="false" ht="15" hidden="false" customHeight="true" outlineLevel="0" collapsed="false">
      <c r="B35" s="9" t="s">
        <v>1066</v>
      </c>
      <c r="C35" s="71" t="str">
        <f aca="false">IF(Need_7&lt;&gt;"",Need_7,Volatility/SQRT(Years))</f>
        <v>Choose your years to see this</v>
      </c>
      <c r="D35" s="34"/>
      <c r="E35" s="49" t="s">
        <v>1067</v>
      </c>
    </row>
    <row r="37" customFormat="false" ht="15" hidden="false" customHeight="true" outlineLevel="0" collapsed="false">
      <c r="B37" s="15" t="s">
        <v>301</v>
      </c>
      <c r="C37" s="16"/>
      <c r="D37" s="16"/>
      <c r="E37" s="16"/>
      <c r="F37" s="16"/>
      <c r="G37" s="16"/>
    </row>
    <row r="38" customFormat="false" ht="27.75" hidden="false" customHeight="true" outlineLevel="0" collapsed="false">
      <c r="B38" s="53" t="s">
        <v>1068</v>
      </c>
      <c r="C38" s="53"/>
      <c r="D38" s="53"/>
      <c r="E38" s="53"/>
    </row>
    <row r="39" customFormat="false" ht="13.5" hidden="false" customHeight="true" outlineLevel="0" collapsed="false">
      <c r="B39" s="53" t="s">
        <v>1069</v>
      </c>
      <c r="C39" s="53"/>
      <c r="D39" s="53"/>
      <c r="E39" s="53"/>
    </row>
    <row r="40" customFormat="false" ht="13.5" hidden="false" customHeight="true" outlineLevel="0" collapsed="false">
      <c r="B40" s="54" t="s">
        <v>304</v>
      </c>
      <c r="C40" s="54"/>
      <c r="D40" s="54"/>
      <c r="E40" s="54"/>
    </row>
    <row r="41" customFormat="false" ht="13.5" hidden="false" customHeight="true" outlineLevel="0" collapsed="false">
      <c r="B41" s="53" t="s">
        <v>1070</v>
      </c>
      <c r="C41" s="53"/>
      <c r="D41" s="53"/>
      <c r="E41" s="53"/>
    </row>
    <row r="42" customFormat="false" ht="13.5" hidden="false" customHeight="true" outlineLevel="0" collapsed="false">
      <c r="B42" s="53" t="s">
        <v>1071</v>
      </c>
      <c r="C42" s="53"/>
      <c r="D42" s="53"/>
      <c r="E42" s="53"/>
    </row>
    <row r="44" customFormat="false" ht="15" hidden="false" customHeight="true" outlineLevel="0" collapsed="false">
      <c r="B44" s="15" t="s">
        <v>309</v>
      </c>
      <c r="C44" s="16"/>
      <c r="D44" s="16"/>
      <c r="E44" s="16"/>
      <c r="F44" s="16"/>
      <c r="G44" s="16"/>
    </row>
    <row r="45" customFormat="false" ht="15" hidden="false" customHeight="true" outlineLevel="0" collapsed="false">
      <c r="B45" s="9" t="s">
        <v>310</v>
      </c>
      <c r="C45" s="55" t="str">
        <f aca="false">"No goal"</f>
        <v>No goal</v>
      </c>
      <c r="E45" s="56" t="s">
        <v>497</v>
      </c>
    </row>
    <row r="47" customFormat="false" ht="15" hidden="false" customHeight="true" outlineLevel="0" collapsed="false">
      <c r="B47" s="15" t="s">
        <v>318</v>
      </c>
      <c r="C47" s="16"/>
      <c r="D47" s="16"/>
      <c r="E47" s="16"/>
      <c r="F47" s="16"/>
      <c r="G47" s="16"/>
    </row>
    <row r="48" customFormat="false" ht="15" hidden="false" customHeight="true" outlineLevel="0" collapsed="false">
      <c r="B48" s="59" t="s">
        <v>1072</v>
      </c>
      <c r="C48" s="59" t="str">
        <f aca="false">IF(Years="","Choose your years to see this",IF(NOT(ISNUMBER(Used_Amount)),IF(Used_Amount="",IF(Amount="","Choose your amount to see this",""),Used_Amount),""))</f>
        <v>Choose your years to see this</v>
      </c>
    </row>
    <row r="49" customFormat="false" ht="15" hidden="false" customHeight="true" outlineLevel="0" collapsed="false">
      <c r="B49" s="59" t="s">
        <v>1073</v>
      </c>
      <c r="C49" s="59" t="str">
        <f aca="false">IF(Years="","Choose your years to see this",IF(NOT(ISNUMBER(Used_Amount)),IF(Used_Amount="",IF(Amount="","Choose your amount to see this",""),Used_Amount),""))</f>
        <v>Choose your years to see this</v>
      </c>
    </row>
    <row r="50" customFormat="false" ht="15" hidden="false" customHeight="true" outlineLevel="0" collapsed="false">
      <c r="B50" s="59" t="s">
        <v>1074</v>
      </c>
      <c r="C50" s="59" t="str">
        <f aca="false">""</f>
        <v/>
      </c>
    </row>
    <row r="51" customFormat="false" ht="15" hidden="false" customHeight="true" outlineLevel="0" collapsed="false">
      <c r="B51" s="59" t="s">
        <v>1075</v>
      </c>
      <c r="C51" s="59" t="str">
        <f aca="false">""</f>
        <v/>
      </c>
    </row>
    <row r="52" customFormat="false" ht="15" hidden="false" customHeight="true" outlineLevel="0" collapsed="false">
      <c r="B52" s="59" t="s">
        <v>1076</v>
      </c>
      <c r="C52" s="59" t="str">
        <f aca="false">""</f>
        <v/>
      </c>
    </row>
    <row r="53" customFormat="false" ht="15" hidden="false" customHeight="true" outlineLevel="0" collapsed="false">
      <c r="B53" s="59" t="s">
        <v>1077</v>
      </c>
      <c r="C53" s="59" t="str">
        <f aca="false">""</f>
        <v/>
      </c>
    </row>
    <row r="54" customFormat="false" ht="15" hidden="false" customHeight="true" outlineLevel="0" collapsed="false">
      <c r="B54" s="59" t="s">
        <v>1078</v>
      </c>
      <c r="C54" s="59" t="str">
        <f aca="false">IF(Years="","Choose your years to see this","")</f>
        <v>Choose your years to see this</v>
      </c>
    </row>
    <row r="56" customFormat="false" ht="15" hidden="false" customHeight="true" outlineLevel="0" collapsed="false">
      <c r="B56" s="23" t="s">
        <v>1079</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1080</v>
      </c>
      <c r="E1" s="3" t="s">
        <v>1081</v>
      </c>
    </row>
    <row r="2" customFormat="false" ht="15" hidden="false" customHeight="true" outlineLevel="0" collapsed="false">
      <c r="B2" s="28" t="s">
        <v>1082</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1083</v>
      </c>
    </row>
    <row r="5" customFormat="false" ht="15" hidden="false" customHeight="true" outlineLevel="0" collapsed="false">
      <c r="B5" s="15" t="s">
        <v>331</v>
      </c>
      <c r="C5" s="16"/>
      <c r="D5" s="16"/>
      <c r="E5" s="16"/>
      <c r="F5" s="16"/>
      <c r="G5" s="16"/>
    </row>
    <row r="6" customFormat="false" ht="27.75" hidden="false" customHeight="true" outlineLevel="0" collapsed="false">
      <c r="B6" s="60" t="s">
        <v>332</v>
      </c>
      <c r="C6" s="60"/>
      <c r="D6" s="60"/>
      <c r="E6" s="60"/>
    </row>
    <row r="7" customFormat="false" ht="15" hidden="false" customHeight="true" outlineLevel="0" collapsed="false">
      <c r="B7" s="9" t="s">
        <v>333</v>
      </c>
      <c r="C7" s="61"/>
      <c r="D7" s="34" t="s">
        <v>248</v>
      </c>
      <c r="E7" s="35" t="s">
        <v>334</v>
      </c>
      <c r="G7" s="59" t="s">
        <v>335</v>
      </c>
    </row>
    <row r="8" customFormat="false" ht="15" hidden="false" customHeight="true" outlineLevel="0" collapsed="false">
      <c r="B8" s="9" t="s">
        <v>342</v>
      </c>
      <c r="C8" s="64"/>
      <c r="D8" s="34" t="s">
        <v>343</v>
      </c>
      <c r="E8" s="35" t="s">
        <v>344</v>
      </c>
      <c r="G8" s="59" t="s">
        <v>335</v>
      </c>
    </row>
    <row r="10" customFormat="false" ht="15" hidden="false" customHeight="true" outlineLevel="0" collapsed="false">
      <c r="B10" s="15" t="s">
        <v>345</v>
      </c>
      <c r="C10" s="31" t="s">
        <v>243</v>
      </c>
      <c r="D10" s="31" t="s">
        <v>244</v>
      </c>
      <c r="E10" s="31" t="s">
        <v>245</v>
      </c>
      <c r="F10" s="32" t="s">
        <v>246</v>
      </c>
      <c r="G10" s="16"/>
    </row>
    <row r="11" customFormat="false" ht="21.75" hidden="false" customHeight="true" outlineLevel="0" collapsed="false">
      <c r="B11" s="9" t="s">
        <v>247</v>
      </c>
      <c r="C11" s="33"/>
      <c r="D11" s="34" t="s">
        <v>248</v>
      </c>
      <c r="E11" s="35" t="s">
        <v>1084</v>
      </c>
      <c r="F11" s="36" t="n">
        <v>60000</v>
      </c>
      <c r="G11" s="37" t="str">
        <f aca="false">IF(ISBLANK(C11),IF(Fill_Example="Yes",F11,""),C11)</f>
        <v/>
      </c>
    </row>
    <row r="12" customFormat="false" ht="21.75" hidden="false" customHeight="true" outlineLevel="0" collapsed="false">
      <c r="B12" s="9" t="s">
        <v>1085</v>
      </c>
      <c r="C12" s="45"/>
      <c r="D12" s="34" t="s">
        <v>261</v>
      </c>
      <c r="E12" s="42" t="s">
        <v>1086</v>
      </c>
      <c r="F12" s="46" t="n">
        <f aca="false">Set_lifeYears</f>
        <v>15</v>
      </c>
      <c r="G12" s="47" t="n">
        <f aca="false">IF(ISBLANK(C12),F12,C12)</f>
        <v>15</v>
      </c>
    </row>
    <row r="13" customFormat="false" ht="21.75" hidden="false" customHeight="true" outlineLevel="0" collapsed="false">
      <c r="B13" s="9" t="s">
        <v>1087</v>
      </c>
      <c r="C13" s="41"/>
      <c r="D13" s="34" t="s">
        <v>259</v>
      </c>
      <c r="E13" s="42" t="s">
        <v>1088</v>
      </c>
      <c r="F13" s="43" t="n">
        <f aca="false">Set_lifeShare</f>
        <v>0.6</v>
      </c>
      <c r="G13" s="44" t="n">
        <f aca="false">IF(ISBLANK(C13),F13,C13)</f>
        <v>0.6</v>
      </c>
    </row>
    <row r="14" customFormat="false" ht="21.75" hidden="false" customHeight="true" outlineLevel="0" collapsed="false">
      <c r="B14" s="9" t="s">
        <v>436</v>
      </c>
      <c r="C14" s="33"/>
      <c r="D14" s="34" t="s">
        <v>248</v>
      </c>
      <c r="E14" s="35" t="s">
        <v>1089</v>
      </c>
      <c r="F14" s="36" t="n">
        <v>250000</v>
      </c>
      <c r="G14" s="37" t="str">
        <f aca="false">IF(ISBLANK(C14),IF(Fill_Example="Yes",F14,""),C14)</f>
        <v/>
      </c>
    </row>
    <row r="15" customFormat="false" ht="15" hidden="false" customHeight="true" outlineLevel="0" collapsed="false">
      <c r="B15" s="9" t="s">
        <v>1090</v>
      </c>
      <c r="C15" s="38"/>
      <c r="D15" s="34" t="s">
        <v>255</v>
      </c>
      <c r="E15" s="35" t="s">
        <v>1091</v>
      </c>
      <c r="F15" s="39" t="s">
        <v>257</v>
      </c>
      <c r="G15" s="40" t="str">
        <f aca="false">IF(ISBLANK(C15),IF(Fill_Example="Yes",F15,""),C15)</f>
        <v/>
      </c>
    </row>
    <row r="16" customFormat="false" ht="21.75" hidden="false" customHeight="true" outlineLevel="0" collapsed="false">
      <c r="B16" s="9" t="s">
        <v>1092</v>
      </c>
      <c r="C16" s="33"/>
      <c r="D16" s="34" t="s">
        <v>248</v>
      </c>
      <c r="E16" s="35" t="s">
        <v>1093</v>
      </c>
      <c r="F16" s="36" t="n">
        <v>10000</v>
      </c>
      <c r="G16" s="37" t="str">
        <f aca="false">IF(ISBLANK(C16),IF(Debts_Listed_Total&gt;0,Debts_Listed_Total,IF(Fill_Example="Yes",F16,"")),C16)</f>
        <v/>
      </c>
    </row>
    <row r="17" customFormat="false" ht="21.75" hidden="false" customHeight="true" outlineLevel="0" collapsed="false">
      <c r="B17" s="9" t="s">
        <v>1094</v>
      </c>
      <c r="C17" s="33"/>
      <c r="D17" s="34" t="s">
        <v>248</v>
      </c>
      <c r="E17" s="35" t="s">
        <v>1095</v>
      </c>
      <c r="F17" s="36" t="n">
        <v>20000</v>
      </c>
      <c r="G17" s="37" t="str">
        <f aca="false">IF(ISBLANK(C17),IF(Fill_Example="Yes",F17,""),C17)</f>
        <v/>
      </c>
    </row>
    <row r="18" customFormat="false" ht="15" hidden="false" customHeight="true" outlineLevel="0" collapsed="false">
      <c r="B18" s="9" t="s">
        <v>1096</v>
      </c>
      <c r="C18" s="33"/>
      <c r="D18" s="34" t="s">
        <v>248</v>
      </c>
      <c r="E18" s="35" t="s">
        <v>1097</v>
      </c>
      <c r="F18" s="36" t="n">
        <v>100000</v>
      </c>
      <c r="G18" s="37" t="str">
        <f aca="false">IF(ISBLANK(C18),IF(Cover_Existing_Total&gt;0,Cover_Existing_Total,IF(Fill_Example="Yes",F18,"")),C18)</f>
        <v/>
      </c>
    </row>
    <row r="19" customFormat="false" ht="33" hidden="false" customHeight="true" outlineLevel="0" collapsed="false">
      <c r="B19" s="9" t="s">
        <v>1098</v>
      </c>
      <c r="C19" s="89"/>
      <c r="D19" s="34" t="s">
        <v>1099</v>
      </c>
      <c r="E19" s="42"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90" t="n">
        <f aca="false">Survivor_Pension_Week</f>
        <v>259.5</v>
      </c>
      <c r="G19" s="91" t="str">
        <f aca="false">IF(ISBLANK(C19),IF(Fill_Example="Yes",F19,""),C19)</f>
        <v/>
      </c>
    </row>
    <row r="21" customFormat="false" ht="15" hidden="false" customHeight="true" outlineLevel="0" collapsed="false">
      <c r="B21" s="15" t="s">
        <v>354</v>
      </c>
      <c r="C21" s="16"/>
      <c r="D21" s="16"/>
      <c r="E21" s="16"/>
      <c r="F21" s="16"/>
      <c r="G21" s="16"/>
    </row>
    <row r="22" customFormat="false" ht="15" hidden="false" customHeight="true" outlineLevel="0" collapsed="false">
      <c r="B22" s="9" t="s">
        <v>436</v>
      </c>
      <c r="C22" s="65" t="str">
        <f aca="false">IF(ISBLANK(Stmt_Balance),Mortgage_Balance,Stmt_Balance)</f>
        <v/>
      </c>
      <c r="D22" s="66" t="str">
        <f aca="false">IF(ISBLANK(Stmt_Balance),"Your figure","From your statement")</f>
        <v>Your figure</v>
      </c>
      <c r="E22" s="56" t="s">
        <v>442</v>
      </c>
    </row>
    <row r="23" customFormat="false" ht="21.75" hidden="false" customHeight="true" outlineLevel="0" collapsed="false">
      <c r="B23" s="9" t="s">
        <v>361</v>
      </c>
      <c r="C23" s="52" t="str">
        <f aca="true">IF(ISBLANK(Stmt_Statement_Date),"",IF(TODAY()-Stmt_Statement_Date&gt;Statement_Max_Age_Days,"Needs a look: statement is more than 12 months old","Up to date"))</f>
        <v/>
      </c>
      <c r="D23" s="34"/>
      <c r="E23" s="49" t="s">
        <v>362</v>
      </c>
    </row>
    <row r="25" customFormat="false" ht="15" hidden="false" customHeight="true" outlineLevel="0" collapsed="false">
      <c r="B25" s="15" t="s">
        <v>268</v>
      </c>
      <c r="C25" s="31" t="s">
        <v>269</v>
      </c>
      <c r="D25" s="31" t="s">
        <v>270</v>
      </c>
      <c r="E25" s="31" t="s">
        <v>271</v>
      </c>
      <c r="F25" s="16"/>
      <c r="G25" s="16"/>
    </row>
    <row r="26" customFormat="false" ht="17.25" hidden="false" customHeight="true" outlineLevel="0" collapsed="false">
      <c r="B26" s="28" t="s">
        <v>1100</v>
      </c>
      <c r="C26" s="48" t="str">
        <f aca="false">IF(Need_1&lt;&gt;"",Need_1,MAX(0,Income_Need+Debts_To_Clear-Already_Have))</f>
        <v>Choose your gross yearly income to see this</v>
      </c>
      <c r="D26" s="34" t="s">
        <v>248</v>
      </c>
      <c r="E26" s="49" t="s">
        <v>1101</v>
      </c>
    </row>
    <row r="27" customFormat="false" ht="17.25" hidden="false" customHeight="true" outlineLevel="0" collapsed="false">
      <c r="B27" s="28" t="s">
        <v>1102</v>
      </c>
      <c r="C27" s="48" t="str">
        <f aca="false">IF(Need_2&lt;&gt;"",Need_2,MAX(0,Yearly_Income*Life_Replace-Survivor_Pension*Weeks_Per_Year)*Years_Support)</f>
        <v>Choose your gross yearly income to see this</v>
      </c>
      <c r="D27" s="34" t="s">
        <v>248</v>
      </c>
      <c r="E27" s="49" t="s">
        <v>1103</v>
      </c>
    </row>
    <row r="28" customFormat="false" ht="17.25" hidden="false" customHeight="true" outlineLevel="0" collapsed="false">
      <c r="B28" s="28" t="s">
        <v>1104</v>
      </c>
      <c r="C28" s="48" t="str">
        <f aca="false">IF(Need_3&lt;&gt;"",Need_3,IF(Mortgage_Protected="Yes",0,Used_Mortgage_Balance)+Other_Debts)</f>
        <v>Choose your mortgage protection answer to see this</v>
      </c>
      <c r="D28" s="34" t="s">
        <v>248</v>
      </c>
      <c r="E28" s="49" t="s">
        <v>1105</v>
      </c>
    </row>
    <row r="29" customFormat="false" ht="15" hidden="false" customHeight="true" outlineLevel="0" collapsed="false">
      <c r="B29" s="9" t="s">
        <v>1106</v>
      </c>
      <c r="C29" s="50" t="str">
        <f aca="false">IF(Need_4&lt;&gt;"",Need_4,Existing_Cover+Savings)</f>
        <v>Choose your savings &amp; investments to see this</v>
      </c>
      <c r="D29" s="34" t="s">
        <v>248</v>
      </c>
      <c r="E29" s="49" t="s">
        <v>1107</v>
      </c>
    </row>
    <row r="30" customFormat="false" ht="15" hidden="false" customHeight="true" outlineLevel="0" collapsed="false">
      <c r="B30" s="9" t="s">
        <v>1108</v>
      </c>
      <c r="C30" s="50" t="str">
        <f aca="false">IF(Need_5&lt;&gt;"",Need_5,Yearly_Income*Life_Replace*Years_Support)</f>
        <v>Choose your gross yearly income to see this</v>
      </c>
      <c r="D30" s="34" t="s">
        <v>248</v>
      </c>
      <c r="E30" s="49" t="s">
        <v>1109</v>
      </c>
    </row>
    <row r="32" customFormat="false" ht="15" hidden="false" customHeight="true" outlineLevel="0" collapsed="false">
      <c r="B32" s="15" t="s">
        <v>301</v>
      </c>
      <c r="C32" s="16"/>
      <c r="D32" s="16"/>
      <c r="E32" s="16"/>
      <c r="F32" s="16"/>
      <c r="G32" s="16"/>
    </row>
    <row r="33" customFormat="false" ht="13.5" hidden="false" customHeight="true" outlineLevel="0" collapsed="false">
      <c r="B33" s="53" t="s">
        <v>1110</v>
      </c>
      <c r="C33" s="53"/>
      <c r="D33" s="53"/>
      <c r="E33" s="53"/>
    </row>
    <row r="34" customFormat="false" ht="27.75" hidden="false" customHeight="true" outlineLevel="0" collapsed="false">
      <c r="B34" s="53" t="s">
        <v>1111</v>
      </c>
      <c r="C34" s="53"/>
      <c r="D34" s="53"/>
      <c r="E34" s="53"/>
    </row>
    <row r="35" customFormat="false" ht="13.5" hidden="false" customHeight="true" outlineLevel="0" collapsed="false">
      <c r="B35" s="53" t="s">
        <v>1112</v>
      </c>
      <c r="C35" s="53"/>
      <c r="D35" s="53"/>
      <c r="E35" s="53"/>
    </row>
    <row r="36" customFormat="false" ht="13.5" hidden="false" customHeight="true" outlineLevel="0" collapsed="false">
      <c r="B36" s="54" t="s">
        <v>304</v>
      </c>
      <c r="C36" s="54"/>
      <c r="D36" s="54"/>
      <c r="E36" s="54"/>
    </row>
    <row r="37" customFormat="false" ht="13.5" hidden="false" customHeight="true" outlineLevel="0" collapsed="false">
      <c r="B37" s="53" t="s">
        <v>1113</v>
      </c>
      <c r="C37" s="53"/>
      <c r="D37" s="53"/>
      <c r="E37" s="53"/>
    </row>
    <row r="38" customFormat="false" ht="13.5" hidden="false" customHeight="true" outlineLevel="0" collapsed="false">
      <c r="B38" s="53" t="str">
        <f aca="false">"• Survivor's pension defaults to the 2026 rate under 66 ("&amp;"€"&amp;TEXT(Survivor_Pension_Week,"0.00")&amp;" a week); enter 0 if it would not be paid."</f>
        <v>• Survivor's pension defaults to the 2026 rate under 66 (€259.50 a week); enter 0 if it would not be paid.</v>
      </c>
      <c r="C38" s="53"/>
      <c r="D38" s="53"/>
      <c r="E38" s="53"/>
    </row>
    <row r="40" customFormat="false" ht="15" hidden="false" customHeight="true" outlineLevel="0" collapsed="false">
      <c r="B40" s="15" t="s">
        <v>309</v>
      </c>
      <c r="C40" s="16"/>
      <c r="D40" s="16"/>
      <c r="E40" s="16"/>
      <c r="F40" s="16"/>
      <c r="G40" s="16"/>
    </row>
    <row r="41" customFormat="false" ht="15" hidden="false" customHeight="true" outlineLevel="0" collapsed="false">
      <c r="B41" s="9" t="s">
        <v>310</v>
      </c>
      <c r="C41" s="55" t="str">
        <f aca="false">"No goal: record a protection need for the adviser"</f>
        <v>No goal: record a protection need for the adviser</v>
      </c>
      <c r="E41" s="56" t="s">
        <v>1114</v>
      </c>
    </row>
    <row r="42" customFormat="false" ht="15" hidden="false" customHeight="true" outlineLevel="0" collapsed="false">
      <c r="B42" s="9" t="s">
        <v>1115</v>
      </c>
      <c r="C42" s="57" t="str">
        <f aca="false">IF(Need_1&lt;&gt;"",Need_1,Cover_Gap)</f>
        <v>Choose your gross yearly income to see this</v>
      </c>
      <c r="E42" s="56" t="s">
        <v>1116</v>
      </c>
    </row>
    <row r="43" customFormat="false" ht="13.5" hidden="false" customHeight="true" outlineLevel="0" collapsed="false">
      <c r="B43" s="60" t="s">
        <v>1117</v>
      </c>
      <c r="C43" s="60"/>
      <c r="D43" s="60"/>
      <c r="E43" s="60"/>
    </row>
    <row r="45" customFormat="false" ht="15" hidden="false" customHeight="true" outlineLevel="0" collapsed="false">
      <c r="B45" s="15" t="s">
        <v>318</v>
      </c>
      <c r="C45" s="16"/>
      <c r="D45" s="16"/>
      <c r="E45" s="16"/>
      <c r="F45" s="16"/>
      <c r="G45" s="16"/>
    </row>
    <row r="46" customFormat="false" ht="15" hidden="false" customHeight="true" outlineLevel="0" collapsed="false">
      <c r="B46" s="59" t="s">
        <v>1118</v>
      </c>
      <c r="C46" s="59"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9" t="s">
        <v>1119</v>
      </c>
      <c r="C47" s="59"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9" t="s">
        <v>1120</v>
      </c>
      <c r="C48" s="59"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9" t="s">
        <v>1121</v>
      </c>
      <c r="C49" s="59"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9" t="s">
        <v>1122</v>
      </c>
      <c r="C50" s="59"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1123</v>
      </c>
      <c r="E1" s="3" t="s">
        <v>1124</v>
      </c>
    </row>
    <row r="2" customFormat="false" ht="15" hidden="false" customHeight="true" outlineLevel="0" collapsed="false">
      <c r="B2" s="28" t="s">
        <v>1125</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1126</v>
      </c>
    </row>
    <row r="5" customFormat="false" ht="15" hidden="false" customHeight="true" outlineLevel="0" collapsed="false">
      <c r="B5" s="15" t="s">
        <v>242</v>
      </c>
      <c r="C5" s="31" t="s">
        <v>243</v>
      </c>
      <c r="D5" s="31" t="s">
        <v>244</v>
      </c>
      <c r="E5" s="31" t="s">
        <v>245</v>
      </c>
      <c r="F5" s="32" t="s">
        <v>246</v>
      </c>
      <c r="G5" s="16"/>
    </row>
    <row r="6" customFormat="false" ht="21.75" hidden="false" customHeight="true" outlineLevel="0" collapsed="false">
      <c r="B6" s="9" t="s">
        <v>703</v>
      </c>
      <c r="C6" s="33"/>
      <c r="D6" s="34" t="s">
        <v>248</v>
      </c>
      <c r="E6" s="35" t="s">
        <v>704</v>
      </c>
      <c r="F6" s="36" t="n">
        <v>2500</v>
      </c>
      <c r="G6" s="37" t="str">
        <f aca="false">IF(ISBLANK(C6),IF(Fill_Example="Yes",F6,""),C6)</f>
        <v/>
      </c>
    </row>
    <row r="7" customFormat="false" ht="15" hidden="false" customHeight="true" outlineLevel="0" collapsed="false">
      <c r="B7" s="9" t="s">
        <v>1127</v>
      </c>
      <c r="C7" s="45"/>
      <c r="D7" s="34" t="s">
        <v>706</v>
      </c>
      <c r="E7" s="35" t="s">
        <v>1128</v>
      </c>
      <c r="F7" s="46" t="n">
        <v>3</v>
      </c>
      <c r="G7" s="47" t="str">
        <f aca="false">IF(ISBLANK(C7),IF(Fill_Example="Yes",F7,""),C7)</f>
        <v/>
      </c>
    </row>
    <row r="8" customFormat="false" ht="21.75" hidden="false" customHeight="true" outlineLevel="0" collapsed="false">
      <c r="B8" s="9" t="s">
        <v>710</v>
      </c>
      <c r="C8" s="33"/>
      <c r="D8" s="34" t="s">
        <v>248</v>
      </c>
      <c r="E8" s="35" t="s">
        <v>1129</v>
      </c>
      <c r="F8" s="36" t="n">
        <v>8000</v>
      </c>
      <c r="G8" s="37" t="str">
        <f aca="false">IF(ISBLANK(C8),IF(Fill_Example="Yes",F8,""),C8)</f>
        <v/>
      </c>
    </row>
    <row r="9" customFormat="false" ht="21.75" hidden="false" customHeight="true" outlineLevel="0" collapsed="false">
      <c r="B9" s="9" t="s">
        <v>247</v>
      </c>
      <c r="C9" s="33"/>
      <c r="D9" s="34" t="s">
        <v>248</v>
      </c>
      <c r="E9" s="35" t="s">
        <v>1084</v>
      </c>
      <c r="F9" s="36" t="n">
        <v>60000</v>
      </c>
      <c r="G9" s="37" t="str">
        <f aca="false">IF(ISBLANK(C9),IF(Fill_Example="Yes",F9,""),C9)</f>
        <v/>
      </c>
    </row>
    <row r="10" customFormat="false" ht="21.75" hidden="false" customHeight="true" outlineLevel="0" collapsed="false">
      <c r="B10" s="9" t="s">
        <v>1130</v>
      </c>
      <c r="C10" s="89"/>
      <c r="D10" s="34" t="s">
        <v>1099</v>
      </c>
      <c r="E10" s="42"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90" t="n">
        <f aca="false">Illness_Benefit_Week</f>
        <v>254</v>
      </c>
      <c r="G10" s="91" t="str">
        <f aca="false">IF(ISBLANK(C10),IF(Fill_Example="Yes",F10,""),C10)</f>
        <v/>
      </c>
    </row>
    <row r="12" customFormat="false" ht="15" hidden="false" customHeight="true" outlineLevel="0" collapsed="false">
      <c r="B12" s="15" t="s">
        <v>268</v>
      </c>
      <c r="C12" s="31" t="s">
        <v>269</v>
      </c>
      <c r="D12" s="31" t="s">
        <v>270</v>
      </c>
      <c r="E12" s="31" t="s">
        <v>271</v>
      </c>
      <c r="F12" s="16"/>
      <c r="G12" s="16"/>
    </row>
    <row r="13" customFormat="false" ht="23.25" hidden="false" customHeight="true" outlineLevel="0" collapsed="false">
      <c r="B13" s="28" t="s">
        <v>1131</v>
      </c>
      <c r="C13" s="77" t="str">
        <f aca="false">IF(Need_1&lt;&gt;"",Need_1,IF(Monthly_Gap=0,24,MIN(24,Sick_Pay_Months+Savings/Monthly_Gap)))</f>
        <v>Choose your essential monthly spending to see this</v>
      </c>
      <c r="D13" s="70" t="str">
        <f aca="false">IF(Need_1&lt;&gt;"",Need_1,IF(Monthly_Gap=0,"up to 2 years",IF(Sick_Pay_Months+Savings/Monthly_Gap&gt;=24,"up to 2 years",IF(ROUND(Months_Coping,1)=1,"1 month",FIXED(Months_Coping,1)&amp;" months"))))</f>
        <v>Choose your essential monthly spending to see this</v>
      </c>
      <c r="E13" s="49" t="s">
        <v>1132</v>
      </c>
    </row>
    <row r="14" customFormat="false" ht="17.25" hidden="false" customHeight="true" outlineLevel="0" collapsed="false">
      <c r="B14" s="28" t="s">
        <v>1133</v>
      </c>
      <c r="C14" s="48" t="str">
        <f aca="false">IF(Need_2&lt;&gt;"",Need_2,MAX(0,Essential_Spending-Illness_Benefit_Month))</f>
        <v>Choose your essential monthly spending to see this</v>
      </c>
      <c r="D14" s="34" t="s">
        <v>248</v>
      </c>
      <c r="E14" s="49" t="s">
        <v>1134</v>
      </c>
    </row>
    <row r="15" customFormat="false" ht="17.25" hidden="false" customHeight="true" outlineLevel="0" collapsed="false">
      <c r="B15" s="28" t="s">
        <v>1135</v>
      </c>
      <c r="C15" s="48" t="str">
        <f aca="false">IF(Need_3&lt;&gt;"",Need_3,MIN(Monthly_Gap,IP_Max))</f>
        <v>Choose your essential monthly spending to see this</v>
      </c>
      <c r="D15" s="34" t="s">
        <v>248</v>
      </c>
      <c r="E15" s="49" t="s">
        <v>1136</v>
      </c>
    </row>
    <row r="16" customFormat="false" ht="15" hidden="false" customHeight="true" outlineLevel="0" collapsed="false">
      <c r="B16" s="9" t="s">
        <v>1137</v>
      </c>
      <c r="C16" s="50" t="str">
        <f aca="false">IF(Need_4&lt;&gt;"",Need_4,Illness_Benefit*Weeks_Per_Year/12)</f>
        <v>Choose your Illness Benefit to see this</v>
      </c>
      <c r="D16" s="34" t="s">
        <v>248</v>
      </c>
      <c r="E16" s="49" t="s">
        <v>1138</v>
      </c>
    </row>
    <row r="17" customFormat="false" ht="23.25" hidden="false" customHeight="true" outlineLevel="0" collapsed="false">
      <c r="B17" s="9" t="s">
        <v>1139</v>
      </c>
      <c r="C17" s="92" t="str">
        <f aca="false">IF(Need_5&lt;&gt;"",Need_5,IF(Monthly_Gap=0,"Not needed",Savings/Monthly_Gap))</f>
        <v>Choose your essential monthly spending to see this</v>
      </c>
      <c r="D17" s="74" t="str">
        <f aca="false">IF(Need_5&lt;&gt;"",Need_5,IF(Savings_Months="Not needed","Not needed while Illness Benefit covers your spending",IF(Savings_Months&gt;=24,"more than 2 years",IF(ROUND(Savings_Months,1)=1,"1 month",FIXED(Savings_Months,1)&amp;" months"))))</f>
        <v>Choose your essential monthly spending to see this</v>
      </c>
      <c r="E17" s="49" t="s">
        <v>1140</v>
      </c>
    </row>
    <row r="18" customFormat="false" ht="15" hidden="false" customHeight="true" outlineLevel="0" collapsed="false">
      <c r="B18" s="9" t="s">
        <v>1141</v>
      </c>
      <c r="C18" s="50" t="str">
        <f aca="false">IF(Need_6&lt;&gt;"",Need_6,MAX(0,Gross_Income*IP_Max_Pct/12-Illness_Benefit_Month))</f>
        <v>Choose your gross yearly income to see this</v>
      </c>
      <c r="D18" s="34" t="s">
        <v>248</v>
      </c>
      <c r="E18" s="49" t="s">
        <v>1142</v>
      </c>
    </row>
    <row r="20" customFormat="false" ht="15" hidden="false" customHeight="true" outlineLevel="0" collapsed="false">
      <c r="B20" s="15" t="s">
        <v>301</v>
      </c>
      <c r="C20" s="16"/>
      <c r="D20" s="16"/>
      <c r="E20" s="16"/>
      <c r="F20" s="16"/>
      <c r="G20" s="16"/>
    </row>
    <row r="21" customFormat="false" ht="27.75" hidden="false" customHeight="true" outlineLevel="0" collapsed="false">
      <c r="B21" s="53" t="s">
        <v>1143</v>
      </c>
      <c r="C21" s="53"/>
      <c r="D21" s="53"/>
      <c r="E21" s="53"/>
    </row>
    <row r="22" customFormat="false" ht="13.5" hidden="false" customHeight="true" outlineLevel="0" collapsed="false">
      <c r="B22" s="53" t="s">
        <v>1144</v>
      </c>
      <c r="C22" s="53"/>
      <c r="D22" s="53"/>
      <c r="E22" s="53"/>
    </row>
    <row r="23" customFormat="false" ht="13.5" hidden="false" customHeight="true" outlineLevel="0" collapsed="false">
      <c r="B23" s="53" t="s">
        <v>1145</v>
      </c>
      <c r="C23" s="53"/>
      <c r="D23" s="53"/>
      <c r="E23" s="53"/>
    </row>
    <row r="24" customFormat="false" ht="13.5" hidden="false" customHeight="true" outlineLevel="0" collapsed="false">
      <c r="B24" s="54" t="s">
        <v>304</v>
      </c>
      <c r="C24" s="54"/>
      <c r="D24" s="54"/>
      <c r="E24" s="54"/>
    </row>
    <row r="25" customFormat="false" ht="13.5" hidden="false" customHeight="true" outlineLevel="0" collapsed="false">
      <c r="B25" s="53" t="s">
        <v>1146</v>
      </c>
      <c r="C25" s="53"/>
      <c r="D25" s="53"/>
      <c r="E25" s="53"/>
    </row>
    <row r="26" customFormat="false" ht="13.5" hidden="false" customHeight="true" outlineLevel="0" collapsed="false">
      <c r="B26" s="53" t="s">
        <v>1147</v>
      </c>
      <c r="C26" s="53"/>
      <c r="D26" s="53"/>
      <c r="E26" s="53"/>
    </row>
    <row r="28" customFormat="false" ht="15" hidden="false" customHeight="true" outlineLevel="0" collapsed="false">
      <c r="B28" s="15" t="s">
        <v>309</v>
      </c>
      <c r="C28" s="16"/>
      <c r="D28" s="16"/>
      <c r="E28" s="16"/>
      <c r="F28" s="16"/>
      <c r="G28" s="16"/>
    </row>
    <row r="29" customFormat="false" ht="15" hidden="false" customHeight="true" outlineLevel="0" collapsed="false">
      <c r="B29" s="9" t="s">
        <v>310</v>
      </c>
      <c r="C29" s="55" t="str">
        <f aca="false">"No goal: record an income protection need for the adviser"</f>
        <v>No goal: record an income protection need for the adviser</v>
      </c>
      <c r="E29" s="56" t="s">
        <v>1148</v>
      </c>
    </row>
    <row r="30" customFormat="false" ht="15" hidden="false" customHeight="true" outlineLevel="0" collapsed="false">
      <c r="B30" s="9" t="s">
        <v>1149</v>
      </c>
      <c r="C30" s="57" t="str">
        <f aca="false">IF(Need_3&lt;&gt;"",Need_3,IP_Needed)</f>
        <v>Choose your essential monthly spending to see this</v>
      </c>
      <c r="E30" s="56" t="s">
        <v>1150</v>
      </c>
    </row>
    <row r="32" customFormat="false" ht="15" hidden="false" customHeight="true" outlineLevel="0" collapsed="false">
      <c r="B32" s="15" t="s">
        <v>318</v>
      </c>
      <c r="C32" s="16"/>
      <c r="D32" s="16"/>
      <c r="E32" s="16"/>
      <c r="F32" s="16"/>
      <c r="G32" s="16"/>
    </row>
    <row r="33" customFormat="false" ht="15" hidden="false" customHeight="true" outlineLevel="0" collapsed="false">
      <c r="B33" s="59" t="s">
        <v>1151</v>
      </c>
      <c r="C33" s="59"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9" t="s">
        <v>1152</v>
      </c>
      <c r="C34" s="59"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9" t="s">
        <v>1153</v>
      </c>
      <c r="C35" s="59"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9" t="s">
        <v>1154</v>
      </c>
      <c r="C36" s="59" t="str">
        <f aca="false">IF(Illness_Benefit="","Choose your Illness Benefit to see this","")</f>
        <v>Choose your Illness Benefit to see this</v>
      </c>
    </row>
    <row r="37" customFormat="false" ht="15" hidden="false" customHeight="true" outlineLevel="0" collapsed="false">
      <c r="B37" s="59" t="s">
        <v>1155</v>
      </c>
      <c r="C37" s="59"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9" t="s">
        <v>1156</v>
      </c>
      <c r="C38" s="59"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1157</v>
      </c>
      <c r="E1" s="3" t="s">
        <v>1158</v>
      </c>
    </row>
    <row r="2" customFormat="false" ht="15" hidden="false" customHeight="true" outlineLevel="0" collapsed="false">
      <c r="B2" s="28" t="s">
        <v>1159</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1160</v>
      </c>
    </row>
    <row r="5" customFormat="false" ht="15" hidden="false" customHeight="true" outlineLevel="0" collapsed="false">
      <c r="B5" s="15" t="s">
        <v>331</v>
      </c>
      <c r="C5" s="16"/>
      <c r="D5" s="16"/>
      <c r="E5" s="16"/>
      <c r="F5" s="16"/>
      <c r="G5" s="16"/>
    </row>
    <row r="6" customFormat="false" ht="27.75" hidden="false" customHeight="true" outlineLevel="0" collapsed="false">
      <c r="B6" s="60" t="s">
        <v>332</v>
      </c>
      <c r="C6" s="60"/>
      <c r="D6" s="60"/>
      <c r="E6" s="60"/>
    </row>
    <row r="7" customFormat="false" ht="15" hidden="false" customHeight="true" outlineLevel="0" collapsed="false">
      <c r="B7" s="9" t="s">
        <v>333</v>
      </c>
      <c r="C7" s="61"/>
      <c r="D7" s="34" t="s">
        <v>248</v>
      </c>
      <c r="E7" s="35" t="s">
        <v>334</v>
      </c>
      <c r="G7" s="59" t="s">
        <v>335</v>
      </c>
    </row>
    <row r="8" customFormat="false" ht="15" hidden="false" customHeight="true" outlineLevel="0" collapsed="false">
      <c r="B8" s="9" t="s">
        <v>336</v>
      </c>
      <c r="C8" s="62"/>
      <c r="D8" s="34" t="s">
        <v>259</v>
      </c>
      <c r="E8" s="35" t="s">
        <v>337</v>
      </c>
      <c r="G8" s="59" t="s">
        <v>335</v>
      </c>
    </row>
    <row r="9" customFormat="false" ht="15" hidden="false" customHeight="true" outlineLevel="0" collapsed="false">
      <c r="B9" s="9" t="s">
        <v>338</v>
      </c>
      <c r="C9" s="63"/>
      <c r="D9" s="34" t="s">
        <v>261</v>
      </c>
      <c r="E9" s="35" t="s">
        <v>339</v>
      </c>
      <c r="G9" s="59" t="s">
        <v>335</v>
      </c>
    </row>
    <row r="10" customFormat="false" ht="15" hidden="false" customHeight="true" outlineLevel="0" collapsed="false">
      <c r="B10" s="9" t="s">
        <v>340</v>
      </c>
      <c r="C10" s="61"/>
      <c r="D10" s="34" t="s">
        <v>248</v>
      </c>
      <c r="E10" s="35" t="s">
        <v>341</v>
      </c>
      <c r="G10" s="59" t="s">
        <v>335</v>
      </c>
    </row>
    <row r="11" customFormat="false" ht="15" hidden="false" customHeight="true" outlineLevel="0" collapsed="false">
      <c r="B11" s="9" t="s">
        <v>342</v>
      </c>
      <c r="C11" s="64"/>
      <c r="D11" s="34" t="s">
        <v>343</v>
      </c>
      <c r="E11" s="35" t="s">
        <v>344</v>
      </c>
      <c r="G11" s="59" t="s">
        <v>335</v>
      </c>
    </row>
    <row r="13" customFormat="false" ht="15" hidden="false" customHeight="true" outlineLevel="0" collapsed="false">
      <c r="B13" s="15" t="s">
        <v>345</v>
      </c>
      <c r="C13" s="31" t="s">
        <v>243</v>
      </c>
      <c r="D13" s="31" t="s">
        <v>244</v>
      </c>
      <c r="E13" s="31" t="s">
        <v>245</v>
      </c>
      <c r="F13" s="32" t="s">
        <v>246</v>
      </c>
      <c r="G13" s="16"/>
    </row>
    <row r="14" customFormat="false" ht="21.75" hidden="false" customHeight="true" outlineLevel="0" collapsed="false">
      <c r="B14" s="9" t="s">
        <v>436</v>
      </c>
      <c r="C14" s="33"/>
      <c r="D14" s="34" t="s">
        <v>248</v>
      </c>
      <c r="E14" s="35" t="s">
        <v>1161</v>
      </c>
      <c r="F14" s="36" t="n">
        <v>250000</v>
      </c>
      <c r="G14" s="37" t="str">
        <f aca="false">IF(ISBLANK(C14),IF(Fill_Example="Yes",F14,""),C14)</f>
        <v/>
      </c>
    </row>
    <row r="15" customFormat="false" ht="21.75" hidden="false" customHeight="true" outlineLevel="0" collapsed="false">
      <c r="B15" s="9" t="s">
        <v>336</v>
      </c>
      <c r="C15" s="41"/>
      <c r="D15" s="34" t="s">
        <v>259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3" t="n">
        <f aca="false">IF(ISNUMBER(Suggest_Mortgage_Rate),Suggest_Mortgage_Rate,"")</f>
        <v>0.0348</v>
      </c>
      <c r="G15" s="44" t="str">
        <f aca="false">IF(ISBLANK(C15),IF(Fill_Example="Yes",F15,""),C15)</f>
        <v/>
      </c>
    </row>
    <row r="16" customFormat="false" ht="21.75" hidden="false" customHeight="true" outlineLevel="0" collapsed="false">
      <c r="B16" s="9" t="s">
        <v>438</v>
      </c>
      <c r="C16" s="45"/>
      <c r="D16" s="34" t="s">
        <v>261</v>
      </c>
      <c r="E16" s="35" t="s">
        <v>349</v>
      </c>
      <c r="F16" s="46" t="n">
        <v>25</v>
      </c>
      <c r="G16" s="47" t="str">
        <f aca="false">IF(AND(ISNUMBER(C16),N(C16)&lt;5),"",IF(ISBLANK(C16),IF(Fill_Example="Yes",F16,""),C16))</f>
        <v/>
      </c>
    </row>
    <row r="17" customFormat="false" ht="21.75" hidden="false" customHeight="true" outlineLevel="0" collapsed="false">
      <c r="B17" s="9" t="s">
        <v>350</v>
      </c>
      <c r="C17" s="33"/>
      <c r="D17" s="34" t="s">
        <v>248</v>
      </c>
      <c r="E17" s="35" t="s">
        <v>1162</v>
      </c>
      <c r="F17" s="36" t="n">
        <v>0</v>
      </c>
      <c r="G17" s="37" t="n">
        <f aca="false">IF(ISBLANK(C17),F17,C17)</f>
        <v>0</v>
      </c>
    </row>
    <row r="19" customFormat="false" ht="15" hidden="false" customHeight="true" outlineLevel="0" collapsed="false">
      <c r="B19" s="15" t="s">
        <v>354</v>
      </c>
      <c r="C19" s="16"/>
      <c r="D19" s="16"/>
      <c r="E19" s="16"/>
      <c r="F19" s="16"/>
      <c r="G19" s="16"/>
    </row>
    <row r="20" customFormat="false" ht="15" hidden="false" customHeight="true" outlineLevel="0" collapsed="false">
      <c r="B20" s="9" t="s">
        <v>436</v>
      </c>
      <c r="C20" s="65" t="str">
        <f aca="false">IF(ISBLANK(Stmt_Balance),Mortgage_Balance,Stmt_Balance)</f>
        <v/>
      </c>
      <c r="D20" s="66" t="str">
        <f aca="false">IF(ISBLANK(Stmt_Balance),"Your figure","From your statement")</f>
        <v>Your figure</v>
      </c>
      <c r="E20" s="56" t="s">
        <v>442</v>
      </c>
    </row>
    <row r="21" customFormat="false" ht="15" hidden="false" customHeight="true" outlineLevel="0" collapsed="false">
      <c r="B21" s="9" t="s">
        <v>336</v>
      </c>
      <c r="C21" s="67" t="str">
        <f aca="false">IF(ISBLANK(Stmt_Rate),Interest_Rate,Stmt_Rate)</f>
        <v/>
      </c>
      <c r="D21" s="66" t="str">
        <f aca="false">IF(ISBLANK(Stmt_Rate),"Your figure","From your statement")</f>
        <v>Your figure</v>
      </c>
      <c r="E21" s="56" t="s">
        <v>356</v>
      </c>
    </row>
    <row r="22" customFormat="false" ht="15" hidden="false" customHeight="true" outlineLevel="0" collapsed="false">
      <c r="B22" s="9" t="s">
        <v>438</v>
      </c>
      <c r="C22" s="68" t="str">
        <f aca="false">IF(ISBLANK(Stmt_Term),Years_Left,Stmt_Term)</f>
        <v/>
      </c>
      <c r="D22" s="66" t="str">
        <f aca="false">IF(ISBLANK(Stmt_Term),"Your figure","From your statement")</f>
        <v>Your figure</v>
      </c>
      <c r="E22" s="56" t="s">
        <v>443</v>
      </c>
    </row>
    <row r="23" customFormat="false" ht="15" hidden="false" customHeight="true" outlineLevel="0" collapsed="false">
      <c r="B23" s="9" t="s">
        <v>359</v>
      </c>
      <c r="C23" s="65" t="n">
        <f aca="false">IF(ISBLANK(Stmt_Repayment),Actual_Repayment,Stmt_Repayment)</f>
        <v>0</v>
      </c>
      <c r="D23" s="66" t="str">
        <f aca="false">IF(ISBLANK(Stmt_Repayment),"Your figure","From your statement")</f>
        <v>Your figure</v>
      </c>
      <c r="E23" s="56" t="s">
        <v>360</v>
      </c>
    </row>
    <row r="24" customFormat="false" ht="21.75" hidden="false" customHeight="true" outlineLevel="0" collapsed="false">
      <c r="B24" s="9" t="s">
        <v>361</v>
      </c>
      <c r="C24" s="52" t="str">
        <f aca="true">IF(ISBLANK(Stmt_Statement_Date),"",IF(TODAY()-Stmt_Statement_Date&gt;Statement_Max_Age_Days,"Needs a look: statement is more than 12 months old","Up to date"))</f>
        <v/>
      </c>
      <c r="D24" s="34"/>
      <c r="E24" s="49" t="s">
        <v>362</v>
      </c>
    </row>
    <row r="26" customFormat="false" ht="15" hidden="false" customHeight="true" outlineLevel="0" collapsed="false">
      <c r="B26" s="15" t="s">
        <v>268</v>
      </c>
      <c r="C26" s="31" t="s">
        <v>269</v>
      </c>
      <c r="D26" s="31" t="s">
        <v>270</v>
      </c>
      <c r="E26" s="31" t="s">
        <v>271</v>
      </c>
      <c r="F26" s="16"/>
      <c r="G26" s="16"/>
    </row>
    <row r="27" customFormat="false" ht="17.25" hidden="false" customHeight="true" outlineLevel="0" collapsed="false">
      <c r="B27" s="28" t="s">
        <v>1163</v>
      </c>
      <c r="C27" s="48" t="str">
        <f aca="false">IF(Need_1&lt;&gt;"",Need_1,Used_Mortgage_Balance)</f>
        <v>Choose your mortgage balance to see this</v>
      </c>
      <c r="D27" s="34" t="s">
        <v>248</v>
      </c>
      <c r="E27" s="49" t="s">
        <v>1164</v>
      </c>
    </row>
    <row r="28" customFormat="false" ht="15" hidden="false" customHeight="true" outlineLevel="0" collapsed="false">
      <c r="B28" s="79" t="s">
        <v>792</v>
      </c>
      <c r="C28" s="80" t="str">
        <f aca="false">IF(Need_2&lt;&gt;"","",IF(Repayment&lt;=Used_Mortgage_Balance*Monthly_Rate,"Your repayment doesn't cover the interest: please check the figures.",""))</f>
        <v/>
      </c>
      <c r="D28" s="80"/>
      <c r="E28" s="80"/>
    </row>
    <row r="29" customFormat="false" ht="17.25" hidden="false" customHeight="true" outlineLevel="0" collapsed="false">
      <c r="B29" s="28" t="s">
        <v>1165</v>
      </c>
      <c r="C29" s="48" t="str">
        <f aca="false">IF(Need_2&lt;&gt;"",Need_2,IF(Warning&lt;&gt;"","—",MAX(0,-FV(Monthly_Rate,MP_Year_1*12,-Repayment,Used_Mortgage_Balance))))</f>
        <v>Choose your mortgage balance to see this</v>
      </c>
      <c r="D29" s="34" t="s">
        <v>248</v>
      </c>
      <c r="E29" s="49" t="s">
        <v>1166</v>
      </c>
    </row>
    <row r="30" customFormat="false" ht="17.25" hidden="false" customHeight="true" outlineLevel="0" collapsed="false">
      <c r="B30" s="28" t="s">
        <v>1167</v>
      </c>
      <c r="C30" s="48" t="str">
        <f aca="false">IF(Need_2&lt;&gt;"",Need_2,IF(Warning&lt;&gt;"","—",MAX(0,-FV(Monthly_Rate,MP_Year_2*12,-Repayment,Used_Mortgage_Balance))))</f>
        <v>Choose your mortgage balance to see this</v>
      </c>
      <c r="D30" s="34" t="s">
        <v>248</v>
      </c>
      <c r="E30" s="49" t="s">
        <v>1168</v>
      </c>
    </row>
    <row r="31" customFormat="false" ht="17.25" hidden="false" customHeight="true" outlineLevel="0" collapsed="false">
      <c r="B31" s="28" t="s">
        <v>1169</v>
      </c>
      <c r="C31" s="48" t="str">
        <f aca="false">IF(Need_2&lt;&gt;"",Need_2,IF(Warning&lt;&gt;"","—",MAX(0,-FV(Monthly_Rate,MP_Year_3*12,-Repayment,Used_Mortgage_Balance))))</f>
        <v>Choose your mortgage balance to see this</v>
      </c>
      <c r="D31" s="34" t="s">
        <v>248</v>
      </c>
      <c r="E31" s="49" t="s">
        <v>1170</v>
      </c>
    </row>
    <row r="32" customFormat="false" ht="15" hidden="false" customHeight="true" outlineLevel="0" collapsed="false">
      <c r="B32" s="9" t="s">
        <v>370</v>
      </c>
      <c r="C32" s="71" t="str">
        <f aca="false">IF(Need_3&lt;&gt;"",Need_3,Used_Interest_Rate/12)</f>
        <v>Choose your mortgage rate to see this</v>
      </c>
      <c r="D32" s="34"/>
      <c r="E32" s="49" t="s">
        <v>371</v>
      </c>
    </row>
    <row r="33" customFormat="false" ht="15" hidden="false" customHeight="true" outlineLevel="0" collapsed="false">
      <c r="B33" s="9" t="s">
        <v>1171</v>
      </c>
      <c r="C33" s="50" t="str">
        <f aca="false">IF(Need_2&lt;&gt;"",Need_2,IF(Used_Actual_Repayment&gt;0,Used_Actual_Repayment,PMT(Monthly_Rate,Used_Years_Left*12,-Used_Mortgage_Balance)))</f>
        <v>Choose your mortgage balance to see this</v>
      </c>
      <c r="D33" s="34" t="s">
        <v>248</v>
      </c>
      <c r="E33" s="49" t="s">
        <v>453</v>
      </c>
    </row>
    <row r="35" customFormat="false" ht="15" hidden="false" customHeight="true" outlineLevel="0" collapsed="false">
      <c r="B35" s="15" t="s">
        <v>301</v>
      </c>
      <c r="C35" s="16"/>
      <c r="D35" s="16"/>
      <c r="E35" s="16"/>
      <c r="F35" s="16"/>
      <c r="G35" s="16"/>
    </row>
    <row r="36" customFormat="false" ht="13.5" hidden="false" customHeight="true" outlineLevel="0" collapsed="false">
      <c r="B36" s="53" t="s">
        <v>1172</v>
      </c>
      <c r="C36" s="53"/>
      <c r="D36" s="53"/>
      <c r="E36" s="53"/>
    </row>
    <row r="37" customFormat="false" ht="13.5" hidden="false" customHeight="true" outlineLevel="0" collapsed="false">
      <c r="B37" s="54" t="s">
        <v>304</v>
      </c>
      <c r="C37" s="54"/>
      <c r="D37" s="54"/>
      <c r="E37" s="54"/>
    </row>
    <row r="38" customFormat="false" ht="13.5" hidden="false" customHeight="true" outlineLevel="0" collapsed="false">
      <c r="B38" s="53" t="s">
        <v>1173</v>
      </c>
      <c r="C38" s="53"/>
      <c r="D38" s="53"/>
      <c r="E38" s="53"/>
    </row>
    <row r="40" customFormat="false" ht="15" hidden="false" customHeight="true" outlineLevel="0" collapsed="false">
      <c r="B40" s="15" t="s">
        <v>309</v>
      </c>
      <c r="C40" s="16"/>
      <c r="D40" s="16"/>
      <c r="E40" s="16"/>
      <c r="F40" s="16"/>
      <c r="G40" s="16"/>
    </row>
    <row r="41" customFormat="false" ht="15" hidden="false" customHeight="true" outlineLevel="0" collapsed="false">
      <c r="B41" s="9" t="s">
        <v>310</v>
      </c>
      <c r="C41" s="55" t="str">
        <f aca="false">"No goal"</f>
        <v>No goal</v>
      </c>
      <c r="E41" s="56" t="s">
        <v>497</v>
      </c>
    </row>
    <row r="43" customFormat="false" ht="15" hidden="false" customHeight="true" outlineLevel="0" collapsed="false">
      <c r="B43" s="15" t="s">
        <v>318</v>
      </c>
      <c r="C43" s="16"/>
      <c r="D43" s="16"/>
      <c r="E43" s="16"/>
      <c r="F43" s="16"/>
      <c r="G43" s="16"/>
    </row>
    <row r="44" customFormat="false" ht="15" hidden="false" customHeight="true" outlineLevel="0" collapsed="false">
      <c r="B44" s="59" t="s">
        <v>1174</v>
      </c>
      <c r="C44" s="59"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9" t="s">
        <v>473</v>
      </c>
      <c r="C45" s="59"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9" t="s">
        <v>391</v>
      </c>
      <c r="C46" s="59"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1175</v>
      </c>
      <c r="E1" s="3" t="s">
        <v>1176</v>
      </c>
    </row>
    <row r="2" customFormat="false" ht="15" hidden="false" customHeight="true" outlineLevel="0" collapsed="false">
      <c r="B2" s="28" t="s">
        <v>1177</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1178</v>
      </c>
    </row>
    <row r="5" customFormat="false" ht="15" hidden="false" customHeight="true" outlineLevel="0" collapsed="false">
      <c r="B5" s="15" t="s">
        <v>331</v>
      </c>
      <c r="C5" s="16"/>
      <c r="D5" s="16"/>
      <c r="E5" s="16"/>
      <c r="F5" s="16"/>
      <c r="G5" s="16"/>
    </row>
    <row r="6" customFormat="false" ht="27.75" hidden="false" customHeight="true" outlineLevel="0" collapsed="false">
      <c r="B6" s="60" t="s">
        <v>1179</v>
      </c>
      <c r="C6" s="60"/>
      <c r="D6" s="60"/>
      <c r="E6" s="60"/>
    </row>
    <row r="7" customFormat="false" ht="15" hidden="false" customHeight="true" outlineLevel="0" collapsed="false">
      <c r="B7" s="9" t="s">
        <v>333</v>
      </c>
      <c r="C7" s="61"/>
      <c r="D7" s="34" t="s">
        <v>248</v>
      </c>
      <c r="E7" s="35" t="s">
        <v>334</v>
      </c>
      <c r="G7" s="59" t="s">
        <v>335</v>
      </c>
    </row>
    <row r="8" customFormat="false" ht="15" hidden="false" customHeight="true" outlineLevel="0" collapsed="false">
      <c r="B8" s="9" t="s">
        <v>1180</v>
      </c>
      <c r="C8" s="61"/>
      <c r="D8" s="34" t="s">
        <v>248</v>
      </c>
      <c r="E8" s="35" t="s">
        <v>658</v>
      </c>
      <c r="G8" s="59" t="s">
        <v>335</v>
      </c>
    </row>
    <row r="9" customFormat="false" ht="15" hidden="false" customHeight="true" outlineLevel="0" collapsed="false">
      <c r="B9" s="9" t="s">
        <v>734</v>
      </c>
      <c r="C9" s="61"/>
      <c r="D9" s="34" t="s">
        <v>248</v>
      </c>
      <c r="E9" s="35" t="s">
        <v>735</v>
      </c>
      <c r="G9" s="59" t="s">
        <v>335</v>
      </c>
    </row>
    <row r="10" customFormat="false" ht="15" hidden="false" customHeight="true" outlineLevel="0" collapsed="false">
      <c r="B10" s="9" t="s">
        <v>657</v>
      </c>
      <c r="C10" s="61"/>
      <c r="D10" s="34" t="s">
        <v>248</v>
      </c>
      <c r="E10" s="35" t="s">
        <v>658</v>
      </c>
      <c r="G10" s="59" t="s">
        <v>335</v>
      </c>
    </row>
    <row r="12" customFormat="false" ht="15" hidden="false" customHeight="true" outlineLevel="0" collapsed="false">
      <c r="B12" s="15" t="s">
        <v>345</v>
      </c>
      <c r="C12" s="31" t="s">
        <v>243</v>
      </c>
      <c r="D12" s="31" t="s">
        <v>244</v>
      </c>
      <c r="E12" s="31" t="s">
        <v>245</v>
      </c>
      <c r="F12" s="32" t="s">
        <v>246</v>
      </c>
      <c r="G12" s="16"/>
    </row>
    <row r="13" customFormat="false" ht="21.75" hidden="false" customHeight="true" outlineLevel="0" collapsed="false">
      <c r="B13" s="9" t="s">
        <v>1181</v>
      </c>
      <c r="C13" s="33"/>
      <c r="D13" s="34" t="s">
        <v>248</v>
      </c>
      <c r="E13" s="35" t="s">
        <v>1182</v>
      </c>
      <c r="F13" s="36" t="n">
        <v>15000</v>
      </c>
      <c r="G13" s="37" t="str">
        <f aca="false">IF(ISBLANK(C13),IF(Fill_Example="Yes",F13,""),C13)</f>
        <v/>
      </c>
    </row>
    <row r="14" customFormat="false" ht="21.75" hidden="false" customHeight="true" outlineLevel="0" collapsed="false">
      <c r="B14" s="9" t="s">
        <v>56</v>
      </c>
      <c r="C14" s="33"/>
      <c r="D14" s="34" t="s">
        <v>248</v>
      </c>
      <c r="E14" s="35" t="s">
        <v>1183</v>
      </c>
      <c r="F14" s="36" t="n">
        <v>10000</v>
      </c>
      <c r="G14" s="37" t="str">
        <f aca="false">IF(ISBLANK(C14),IF(Fill_Example="Yes",F14,""),C14)</f>
        <v/>
      </c>
    </row>
    <row r="15" customFormat="false" ht="21.75" hidden="false" customHeight="true" outlineLevel="0" collapsed="false">
      <c r="B15" s="9" t="s">
        <v>1184</v>
      </c>
      <c r="C15" s="33"/>
      <c r="D15" s="34" t="s">
        <v>248</v>
      </c>
      <c r="E15" s="35" t="s">
        <v>1185</v>
      </c>
      <c r="F15" s="36" t="n">
        <v>60000</v>
      </c>
      <c r="G15" s="37" t="str">
        <f aca="false">IF(ISBLANK(C15),IF(Pens_Value_Total&gt;0,Pens_Value_Total,IF(Fill_Example="Yes",F15,"")),C15)</f>
        <v/>
      </c>
    </row>
    <row r="16" customFormat="false" ht="21.75" hidden="false" customHeight="true" outlineLevel="0" collapsed="false">
      <c r="B16" s="9" t="s">
        <v>1186</v>
      </c>
      <c r="C16" s="33"/>
      <c r="D16" s="34" t="s">
        <v>248</v>
      </c>
      <c r="E16" s="35" t="s">
        <v>1187</v>
      </c>
      <c r="F16" s="36" t="n">
        <v>350000</v>
      </c>
      <c r="G16" s="37" t="str">
        <f aca="false">IF(ISBLANK(C16),IF(Fill_Example="Yes",F16,""),C16)</f>
        <v/>
      </c>
    </row>
    <row r="17" customFormat="false" ht="21.75" hidden="false" customHeight="true" outlineLevel="0" collapsed="false">
      <c r="B17" s="9" t="s">
        <v>553</v>
      </c>
      <c r="C17" s="33"/>
      <c r="D17" s="34" t="s">
        <v>248</v>
      </c>
      <c r="E17" s="35" t="s">
        <v>1188</v>
      </c>
      <c r="F17" s="36" t="n">
        <v>250000</v>
      </c>
      <c r="G17" s="37" t="str">
        <f aca="false">IF(ISBLANK(C17),IF(Fill_Example="Yes",F17,""),C17)</f>
        <v/>
      </c>
    </row>
    <row r="18" customFormat="false" ht="21.75" hidden="false" customHeight="true" outlineLevel="0" collapsed="false">
      <c r="B18" s="9" t="s">
        <v>1189</v>
      </c>
      <c r="C18" s="33"/>
      <c r="D18" s="34" t="s">
        <v>248</v>
      </c>
      <c r="E18" s="35" t="s">
        <v>1190</v>
      </c>
      <c r="F18" s="36" t="n">
        <v>8000</v>
      </c>
      <c r="G18" s="37" t="str">
        <f aca="false">IF(ISBLANK(C18),IF(Debts_Listed_Total&gt;0,Debts_Listed_Total,IF(Fill_Example="Yes",F18,"")),C18)</f>
        <v/>
      </c>
    </row>
    <row r="20" customFormat="false" ht="15" hidden="false" customHeight="true" outlineLevel="0" collapsed="false">
      <c r="B20" s="15" t="s">
        <v>354</v>
      </c>
      <c r="C20" s="16"/>
      <c r="D20" s="16"/>
      <c r="E20" s="16"/>
      <c r="F20" s="16"/>
      <c r="G20" s="16"/>
    </row>
    <row r="21" customFormat="false" ht="15" hidden="false" customHeight="true" outlineLevel="0" collapsed="false">
      <c r="B21" s="9" t="s">
        <v>553</v>
      </c>
      <c r="C21" s="65" t="str">
        <f aca="false">IF(ISBLANK(Stmt_Mortgage_Balance),Mortgage,Stmt_Mortgage_Balance)</f>
        <v/>
      </c>
      <c r="D21" s="66" t="str">
        <f aca="false">IF(ISBLANK(Stmt_Mortgage_Balance),"Your figure","From your statement")</f>
        <v>Your figure</v>
      </c>
      <c r="E21" s="56" t="s">
        <v>1191</v>
      </c>
    </row>
    <row r="22" customFormat="false" ht="15" hidden="false" customHeight="true" outlineLevel="0" collapsed="false">
      <c r="B22" s="9" t="s">
        <v>1186</v>
      </c>
      <c r="C22" s="65" t="str">
        <f aca="false">IF(ISBLANK(Stmt_Property_Value),Property,Stmt_Property_Value)</f>
        <v/>
      </c>
      <c r="D22" s="66" t="str">
        <f aca="false">IF(ISBLANK(Stmt_Property_Value),"Your figure","From your statement")</f>
        <v>Your figure</v>
      </c>
      <c r="E22" s="56" t="s">
        <v>1192</v>
      </c>
    </row>
    <row r="23" customFormat="false" ht="15" hidden="false" customHeight="true" outlineLevel="0" collapsed="false">
      <c r="B23" s="9" t="s">
        <v>1184</v>
      </c>
      <c r="C23" s="65" t="str">
        <f aca="false">IF(ISBLANK(Stmt_Pension_Value),Pensions,Stmt_Pension_Value)</f>
        <v/>
      </c>
      <c r="D23" s="66" t="str">
        <f aca="false">IF(ISBLANK(Stmt_Pension_Value),"Your figure","From your statement")</f>
        <v>Your figure</v>
      </c>
      <c r="E23" s="56" t="s">
        <v>1193</v>
      </c>
    </row>
    <row r="24" customFormat="false" ht="15" hidden="false" customHeight="true" outlineLevel="0" collapsed="false">
      <c r="B24" s="9" t="s">
        <v>56</v>
      </c>
      <c r="C24" s="65" t="str">
        <f aca="false">IF(ISBLANK(Stmt_Investment_Value),Investments,Stmt_Investment_Value)</f>
        <v/>
      </c>
      <c r="D24" s="66" t="str">
        <f aca="false">IF(ISBLANK(Stmt_Investment_Value),"Your figure","From your statement")</f>
        <v>Your figure</v>
      </c>
      <c r="E24" s="56" t="s">
        <v>1194</v>
      </c>
    </row>
    <row r="26" customFormat="false" ht="15" hidden="false" customHeight="true" outlineLevel="0" collapsed="false">
      <c r="B26" s="15" t="s">
        <v>268</v>
      </c>
      <c r="C26" s="31" t="s">
        <v>269</v>
      </c>
      <c r="D26" s="31" t="s">
        <v>270</v>
      </c>
      <c r="E26" s="31" t="s">
        <v>271</v>
      </c>
      <c r="F26" s="16"/>
      <c r="G26" s="16"/>
    </row>
    <row r="27" customFormat="false" ht="17.25" hidden="false" customHeight="true" outlineLevel="0" collapsed="false">
      <c r="B27" s="28" t="s">
        <v>1195</v>
      </c>
      <c r="C27" s="48" t="str">
        <f aca="false">IF(Need_1&lt;&gt;"",Need_1,You_Own-You_Owe)</f>
        <v>Choose your savings to see this</v>
      </c>
      <c r="D27" s="34" t="s">
        <v>248</v>
      </c>
      <c r="E27" s="49" t="s">
        <v>1196</v>
      </c>
    </row>
    <row r="28" customFormat="false" ht="17.25" hidden="false" customHeight="true" outlineLevel="0" collapsed="false">
      <c r="B28" s="28" t="s">
        <v>1197</v>
      </c>
      <c r="C28" s="48" t="str">
        <f aca="false">IF(Need_2&lt;&gt;"",Need_2,Savings+Used_Investments+Used_Pensions+Used_Property)</f>
        <v>Choose your savings to see this</v>
      </c>
      <c r="D28" s="34" t="s">
        <v>248</v>
      </c>
      <c r="E28" s="49" t="s">
        <v>1198</v>
      </c>
    </row>
    <row r="29" customFormat="false" ht="17.25" hidden="false" customHeight="true" outlineLevel="0" collapsed="false">
      <c r="B29" s="28" t="s">
        <v>1199</v>
      </c>
      <c r="C29" s="48" t="str">
        <f aca="false">IF(Need_3&lt;&gt;"",Need_3,Used_Mortgage+Other_Loans)</f>
        <v>Choose your other loans to see this</v>
      </c>
      <c r="D29" s="34" t="s">
        <v>248</v>
      </c>
      <c r="E29" s="49" t="s">
        <v>1200</v>
      </c>
    </row>
    <row r="31" customFormat="false" ht="15" hidden="false" customHeight="true" outlineLevel="0" collapsed="false">
      <c r="B31" s="15" t="s">
        <v>301</v>
      </c>
      <c r="C31" s="16"/>
      <c r="D31" s="16"/>
      <c r="E31" s="16"/>
      <c r="F31" s="16"/>
      <c r="G31" s="16"/>
    </row>
    <row r="32" customFormat="false" ht="13.5" hidden="false" customHeight="true" outlineLevel="0" collapsed="false">
      <c r="B32" s="53" t="s">
        <v>1201</v>
      </c>
      <c r="C32" s="53"/>
      <c r="D32" s="53"/>
      <c r="E32" s="53"/>
    </row>
    <row r="33" customFormat="false" ht="13.5" hidden="false" customHeight="true" outlineLevel="0" collapsed="false">
      <c r="B33" s="54" t="s">
        <v>304</v>
      </c>
      <c r="C33" s="54"/>
      <c r="D33" s="54"/>
      <c r="E33" s="54"/>
    </row>
    <row r="34" customFormat="false" ht="13.5" hidden="false" customHeight="true" outlineLevel="0" collapsed="false">
      <c r="B34" s="53" t="s">
        <v>1202</v>
      </c>
      <c r="C34" s="53"/>
      <c r="D34" s="53"/>
      <c r="E34" s="53"/>
    </row>
    <row r="36" customFormat="false" ht="15" hidden="false" customHeight="true" outlineLevel="0" collapsed="false">
      <c r="B36" s="15" t="s">
        <v>309</v>
      </c>
      <c r="C36" s="16"/>
      <c r="D36" s="16"/>
      <c r="E36" s="16"/>
      <c r="F36" s="16"/>
      <c r="G36" s="16"/>
    </row>
    <row r="37" customFormat="false" ht="15" hidden="false" customHeight="true" outlineLevel="0" collapsed="false">
      <c r="B37" s="9" t="s">
        <v>310</v>
      </c>
      <c r="C37" s="55" t="str">
        <f aca="false">"No goal"</f>
        <v>No goal</v>
      </c>
      <c r="E37" s="56" t="s">
        <v>497</v>
      </c>
    </row>
    <row r="39" customFormat="false" ht="15" hidden="false" customHeight="true" outlineLevel="0" collapsed="false">
      <c r="B39" s="15" t="s">
        <v>318</v>
      </c>
      <c r="C39" s="16"/>
      <c r="D39" s="16"/>
      <c r="E39" s="16"/>
      <c r="F39" s="16"/>
      <c r="G39" s="16"/>
    </row>
    <row r="40" customFormat="false" ht="15" hidden="false" customHeight="true" outlineLevel="0" collapsed="false">
      <c r="B40" s="59" t="s">
        <v>1203</v>
      </c>
      <c r="C40" s="59"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9" t="s">
        <v>1204</v>
      </c>
      <c r="C41" s="59"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9" t="s">
        <v>1205</v>
      </c>
      <c r="C42" s="59"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1206</v>
      </c>
      <c r="E1" s="3" t="s">
        <v>1207</v>
      </c>
    </row>
    <row r="2" customFormat="false" ht="15" hidden="false" customHeight="true" outlineLevel="0" collapsed="false">
      <c r="B2" s="28" t="s">
        <v>1208</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1209</v>
      </c>
    </row>
    <row r="5" customFormat="false" ht="15" hidden="false" customHeight="true" outlineLevel="0" collapsed="false">
      <c r="B5" s="15" t="s">
        <v>242</v>
      </c>
      <c r="C5" s="31" t="s">
        <v>243</v>
      </c>
      <c r="D5" s="31" t="s">
        <v>244</v>
      </c>
      <c r="E5" s="31" t="s">
        <v>245</v>
      </c>
      <c r="F5" s="32" t="s">
        <v>246</v>
      </c>
      <c r="G5" s="16"/>
    </row>
    <row r="6" customFormat="false" ht="15" hidden="false" customHeight="true" outlineLevel="0" collapsed="false">
      <c r="B6" s="9" t="s">
        <v>1210</v>
      </c>
      <c r="C6" s="33"/>
      <c r="D6" s="34" t="s">
        <v>248</v>
      </c>
      <c r="E6" s="35" t="str">
        <f aca="false">"Type 3 · optional · Optional: leave blank for none. Allowed: €500 to "&amp;TEXT(Max_Money_Input,"€#,##0")&amp;" · steps of €50"</f>
        <v>Type 3 · optional · Optional: leave blank for none. Allowed: €500 to €200,000 · steps of €50</v>
      </c>
      <c r="F6" s="36" t="n">
        <v>3500</v>
      </c>
      <c r="G6" s="37" t="str">
        <f aca="false">IF(ISBLANK(C6),IF(Fill_Example="Yes",F6,""),C6)</f>
        <v/>
      </c>
    </row>
    <row r="7" customFormat="false" ht="21.75" hidden="false" customHeight="true" outlineLevel="0" collapsed="false">
      <c r="B7" s="9" t="s">
        <v>1211</v>
      </c>
      <c r="C7" s="33"/>
      <c r="D7" s="34" t="s">
        <v>248</v>
      </c>
      <c r="E7" s="35" t="s">
        <v>1212</v>
      </c>
      <c r="F7" s="36" t="n">
        <v>2000</v>
      </c>
      <c r="G7" s="37" t="str">
        <f aca="false">IF(ISBLANK(C7),IF(Fill_Example="Yes",F7,""),C7)</f>
        <v/>
      </c>
    </row>
    <row r="8" customFormat="false" ht="15" hidden="false" customHeight="true" outlineLevel="0" collapsed="false">
      <c r="B8" s="9" t="s">
        <v>1213</v>
      </c>
      <c r="C8" s="33"/>
      <c r="D8" s="34" t="s">
        <v>248</v>
      </c>
      <c r="E8" s="35" t="s">
        <v>1214</v>
      </c>
      <c r="F8" s="36" t="n">
        <v>800</v>
      </c>
      <c r="G8" s="37" t="str">
        <f aca="false">IF(ISBLANK(C8),IF(Fill_Example="Yes",F8,""),C8)</f>
        <v/>
      </c>
    </row>
    <row r="9" customFormat="false" ht="21.75" hidden="false" customHeight="true" outlineLevel="0" collapsed="false">
      <c r="B9" s="9" t="s">
        <v>1215</v>
      </c>
      <c r="C9" s="33"/>
      <c r="D9" s="34" t="s">
        <v>248</v>
      </c>
      <c r="E9" s="35" t="s">
        <v>1216</v>
      </c>
      <c r="F9" s="36" t="n">
        <v>200</v>
      </c>
      <c r="G9" s="37" t="str">
        <f aca="false">IF(ISBLANK(C9),IF(Debts_Pay_Total&gt;0,Debts_Pay_Total,IF(Fill_Example="Yes",F9,"")),C9)</f>
        <v/>
      </c>
    </row>
    <row r="11" customFormat="false" ht="15" hidden="false" customHeight="true" outlineLevel="0" collapsed="false">
      <c r="B11" s="15" t="s">
        <v>354</v>
      </c>
      <c r="C11" s="16"/>
      <c r="D11" s="16"/>
      <c r="E11" s="16"/>
      <c r="F11" s="16"/>
      <c r="G11" s="16"/>
    </row>
    <row r="12" customFormat="false" ht="15" hidden="false" customHeight="true" outlineLevel="0" collapsed="false">
      <c r="B12" s="9" t="s">
        <v>1217</v>
      </c>
      <c r="C12" s="65" t="str">
        <f aca="false">IF(Take_Home="",TE_Take_Home_Month,Take_Home)</f>
        <v>Choose your tax status to see this</v>
      </c>
      <c r="D12" s="66" t="str">
        <f aca="false">IF(Take_Home="","From the Tax engine","Your figure")</f>
        <v>From the Tax engine</v>
      </c>
      <c r="E12" s="56" t="s">
        <v>1218</v>
      </c>
    </row>
    <row r="14" customFormat="false" ht="15" hidden="false" customHeight="true" outlineLevel="0" collapsed="false">
      <c r="B14" s="15" t="s">
        <v>268</v>
      </c>
      <c r="C14" s="31" t="s">
        <v>269</v>
      </c>
      <c r="D14" s="31" t="s">
        <v>270</v>
      </c>
      <c r="E14" s="31" t="s">
        <v>271</v>
      </c>
      <c r="F14" s="16"/>
      <c r="G14" s="16"/>
    </row>
    <row r="15" customFormat="false" ht="17.25" hidden="false" customHeight="true" outlineLevel="0" collapsed="false">
      <c r="B15" s="28" t="s">
        <v>1219</v>
      </c>
      <c r="C15" s="48" t="str">
        <f aca="false">IF(Need_1&lt;&gt;"",Need_1,Used_Take_Home-Essentials-Lifestyle-Debt_Repayments)</f>
        <v>Choose your essentials to see this</v>
      </c>
      <c r="D15" s="70" t="str">
        <f aca="false">IF(Need_1&lt;&gt;"",Need_1,IF(Surplus&gt;0,"About "&amp;ROUND(Surplus/Used_Take_Home*100,0)&amp;"% of take-home is free for goals",IF(Surplus=0,"Nothing left over this month","Spending is above income")))</f>
        <v>Choose your essentials to see this</v>
      </c>
      <c r="E15" s="49" t="s">
        <v>1220</v>
      </c>
    </row>
    <row r="16" customFormat="false" ht="17.25" hidden="false" customHeight="true" outlineLevel="0" collapsed="false">
      <c r="B16" s="28" t="s">
        <v>1221</v>
      </c>
      <c r="C16" s="48" t="str">
        <f aca="false">IF(Need_2&lt;&gt;"",Need_2,Essentials+Lifestyle+Debt_Repayments)</f>
        <v>Choose your essentials to see this</v>
      </c>
      <c r="D16" s="34" t="s">
        <v>248</v>
      </c>
      <c r="E16" s="49" t="s">
        <v>1222</v>
      </c>
    </row>
    <row r="18" customFormat="false" ht="15" hidden="false" customHeight="true" outlineLevel="0" collapsed="false">
      <c r="B18" s="15" t="s">
        <v>301</v>
      </c>
      <c r="C18" s="16"/>
      <c r="D18" s="16"/>
      <c r="E18" s="16"/>
      <c r="F18" s="16"/>
      <c r="G18" s="16"/>
    </row>
    <row r="19" customFormat="false" ht="13.5" hidden="false" customHeight="true" outlineLevel="0" collapsed="false">
      <c r="B19" s="53" t="s">
        <v>1223</v>
      </c>
      <c r="C19" s="53"/>
      <c r="D19" s="53"/>
      <c r="E19" s="53"/>
    </row>
    <row r="20" customFormat="false" ht="13.5" hidden="false" customHeight="true" outlineLevel="0" collapsed="false">
      <c r="B20" s="54" t="s">
        <v>304</v>
      </c>
      <c r="C20" s="54"/>
      <c r="D20" s="54"/>
      <c r="E20" s="54"/>
    </row>
    <row r="21" customFormat="false" ht="13.5" hidden="false" customHeight="true" outlineLevel="0" collapsed="false">
      <c r="B21" s="53" t="s">
        <v>1224</v>
      </c>
      <c r="C21" s="53"/>
      <c r="D21" s="53"/>
      <c r="E21" s="53"/>
    </row>
    <row r="23" customFormat="false" ht="15" hidden="false" customHeight="true" outlineLevel="0" collapsed="false">
      <c r="B23" s="15" t="s">
        <v>309</v>
      </c>
      <c r="C23" s="16"/>
      <c r="D23" s="16"/>
      <c r="E23" s="16"/>
      <c r="F23" s="16"/>
      <c r="G23" s="16"/>
    </row>
    <row r="24" customFormat="false" ht="15" hidden="false" customHeight="true" outlineLevel="0" collapsed="false">
      <c r="B24" s="9" t="s">
        <v>310</v>
      </c>
      <c r="C24" s="55" t="str">
        <f aca="false">IF(Need_1&lt;&gt;"",Need_1,IF(Surplus&gt;0,"Save my surplus (plan kind pot)","No goal"))</f>
        <v>Choose your essentials to see this</v>
      </c>
      <c r="E24" s="56" t="s">
        <v>1225</v>
      </c>
    </row>
    <row r="25" customFormat="false" ht="15" hidden="false" customHeight="true" outlineLevel="0" collapsed="false">
      <c r="B25" s="9" t="s">
        <v>1226</v>
      </c>
      <c r="C25" s="57" t="str">
        <f aca="false">IF(Need_1&lt;&gt;"",Need_1,IF(Surplus&gt;0,ROUND(Surplus*12,0),"—"))</f>
        <v>Choose your essentials to see this</v>
      </c>
      <c r="E25" s="56" t="s">
        <v>1227</v>
      </c>
    </row>
    <row r="26" customFormat="false" ht="15" hidden="false" customHeight="true" outlineLevel="0" collapsed="false">
      <c r="B26" s="9" t="s">
        <v>316</v>
      </c>
      <c r="C26" s="58" t="str">
        <f aca="false">IF(Need_1&lt;&gt;"",Need_1,IF(Surplus&gt;0,1,"—"))</f>
        <v>Choose your essentials to see this</v>
      </c>
      <c r="E26" s="56" t="s">
        <v>1228</v>
      </c>
    </row>
    <row r="28" customFormat="false" ht="15" hidden="false" customHeight="true" outlineLevel="0" collapsed="false">
      <c r="B28" s="15" t="s">
        <v>318</v>
      </c>
      <c r="C28" s="16"/>
      <c r="D28" s="16"/>
      <c r="E28" s="16"/>
      <c r="F28" s="16"/>
      <c r="G28" s="16"/>
    </row>
    <row r="29" customFormat="false" ht="15" hidden="false" customHeight="true" outlineLevel="0" collapsed="false">
      <c r="B29" s="59" t="s">
        <v>1229</v>
      </c>
      <c r="C29" s="59"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9" t="s">
        <v>1230</v>
      </c>
      <c r="C30" s="59"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1231</v>
      </c>
      <c r="E1" s="3" t="s">
        <v>1232</v>
      </c>
    </row>
    <row r="2" customFormat="false" ht="15" hidden="false" customHeight="true" outlineLevel="0" collapsed="false">
      <c r="B2" s="28" t="s">
        <v>1233</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1234</v>
      </c>
    </row>
    <row r="5" customFormat="false" ht="15" hidden="false" customHeight="true" outlineLevel="0" collapsed="false">
      <c r="B5" s="15" t="s">
        <v>242</v>
      </c>
      <c r="C5" s="31" t="s">
        <v>243</v>
      </c>
      <c r="D5" s="31" t="s">
        <v>244</v>
      </c>
      <c r="E5" s="31" t="s">
        <v>245</v>
      </c>
      <c r="F5" s="32" t="s">
        <v>246</v>
      </c>
      <c r="G5" s="16"/>
    </row>
    <row r="6" customFormat="false" ht="15" hidden="false" customHeight="true" outlineLevel="0" collapsed="false">
      <c r="B6" s="9" t="s">
        <v>1210</v>
      </c>
      <c r="C6" s="33"/>
      <c r="D6" s="34" t="s">
        <v>248</v>
      </c>
      <c r="E6" s="35" t="str">
        <f aca="false">"Type 3 · optional · Optional: leave blank for none. Allowed: €500 to "&amp;TEXT(Max_Money_Input,"€#,##0")&amp;" · steps of €50"</f>
        <v>Type 3 · optional · Optional: leave blank for none. Allowed: €500 to €200,000 · steps of €50</v>
      </c>
      <c r="F6" s="36" t="n">
        <v>3500</v>
      </c>
      <c r="G6" s="37" t="str">
        <f aca="false">IF(ISBLANK(C6),IF(Fill_Example="Yes",F6,""),C6)</f>
        <v/>
      </c>
    </row>
    <row r="7" customFormat="false" ht="21.75" hidden="false" customHeight="true" outlineLevel="0" collapsed="false">
      <c r="B7" s="9" t="s">
        <v>1235</v>
      </c>
      <c r="C7" s="41"/>
      <c r="D7" s="34" t="s">
        <v>259</v>
      </c>
      <c r="E7" s="42" t="s">
        <v>1236</v>
      </c>
      <c r="F7" s="43" t="n">
        <f aca="false">Set_budget_1</f>
        <v>0.5</v>
      </c>
      <c r="G7" s="44" t="n">
        <f aca="false">IF(ISBLANK(C7),F7,C7)</f>
        <v>0.5</v>
      </c>
    </row>
    <row r="8" customFormat="false" ht="21.75" hidden="false" customHeight="true" outlineLevel="0" collapsed="false">
      <c r="B8" s="9" t="s">
        <v>1237</v>
      </c>
      <c r="C8" s="41"/>
      <c r="D8" s="34" t="s">
        <v>259</v>
      </c>
      <c r="E8" s="42" t="s">
        <v>1238</v>
      </c>
      <c r="F8" s="43" t="n">
        <f aca="false">Set_budget_2</f>
        <v>0.3</v>
      </c>
      <c r="G8" s="44" t="n">
        <f aca="false">IF(ISBLANK(C8),F8,C8)</f>
        <v>0.3</v>
      </c>
    </row>
    <row r="9" customFormat="false" ht="21.75" hidden="false" customHeight="true" outlineLevel="0" collapsed="false">
      <c r="B9" s="9" t="s">
        <v>1239</v>
      </c>
      <c r="C9" s="41"/>
      <c r="D9" s="34" t="s">
        <v>259</v>
      </c>
      <c r="E9" s="42" t="s">
        <v>1240</v>
      </c>
      <c r="F9" s="43" t="n">
        <f aca="false">Set_budget_3</f>
        <v>0.2</v>
      </c>
      <c r="G9" s="44" t="n">
        <f aca="false">IF(ISBLANK(C9),F9,C9)</f>
        <v>0.2</v>
      </c>
    </row>
    <row r="11" customFormat="false" ht="15" hidden="false" customHeight="true" outlineLevel="0" collapsed="false">
      <c r="B11" s="15" t="s">
        <v>354</v>
      </c>
      <c r="C11" s="16"/>
      <c r="D11" s="16"/>
      <c r="E11" s="16"/>
      <c r="F11" s="16"/>
      <c r="G11" s="16"/>
    </row>
    <row r="12" customFormat="false" ht="15" hidden="false" customHeight="true" outlineLevel="0" collapsed="false">
      <c r="B12" s="9" t="s">
        <v>1217</v>
      </c>
      <c r="C12" s="65" t="str">
        <f aca="false">IF(Take_Home="",TE_Take_Home_Month,Take_Home)</f>
        <v>Choose your tax status to see this</v>
      </c>
      <c r="D12" s="66" t="str">
        <f aca="false">IF(Take_Home="","From the Tax engine","Your figure")</f>
        <v>From the Tax engine</v>
      </c>
      <c r="E12" s="56" t="s">
        <v>1218</v>
      </c>
    </row>
    <row r="14" customFormat="false" ht="15" hidden="false" customHeight="true" outlineLevel="0" collapsed="false">
      <c r="B14" s="15" t="s">
        <v>268</v>
      </c>
      <c r="C14" s="31" t="s">
        <v>269</v>
      </c>
      <c r="D14" s="31" t="s">
        <v>270</v>
      </c>
      <c r="E14" s="31" t="s">
        <v>271</v>
      </c>
      <c r="F14" s="16"/>
      <c r="G14" s="16"/>
    </row>
    <row r="15" customFormat="false" ht="15" hidden="false" customHeight="true" outlineLevel="0" collapsed="false">
      <c r="B15" s="79" t="s">
        <v>792</v>
      </c>
      <c r="C15" s="80" t="str">
        <f aca="false">IF(Need_1&lt;&gt;"","",IF(ROUND(Budget_Needs+Budget_Wants+Budget_Save,6)&lt;&gt;1,"Your shares add up to "&amp;TEXT(Budget_Needs+Budget_Wants+Budget_Save,"0%")&amp;", not 100%.",""))</f>
        <v/>
      </c>
      <c r="D15" s="80"/>
      <c r="E15" s="80"/>
    </row>
    <row r="16" customFormat="false" ht="17.25" hidden="false" customHeight="true" outlineLevel="0" collapsed="false">
      <c r="B16" s="28" t="s">
        <v>1241</v>
      </c>
      <c r="C16" s="48" t="str">
        <f aca="false">IF(Need_2&lt;&gt;"",Need_2,Used_Take_Home*Budget_Save)</f>
        <v>Choose your tax status to see this</v>
      </c>
      <c r="D16" s="34" t="s">
        <v>248</v>
      </c>
      <c r="E16" s="49" t="s">
        <v>1242</v>
      </c>
    </row>
    <row r="17" customFormat="false" ht="17.25" hidden="false" customHeight="true" outlineLevel="0" collapsed="false">
      <c r="B17" s="28" t="s">
        <v>1243</v>
      </c>
      <c r="C17" s="48" t="str">
        <f aca="false">IF(Need_3&lt;&gt;"",Need_3,Used_Take_Home*Budget_Needs)</f>
        <v>Choose your tax status to see this</v>
      </c>
      <c r="D17" s="34" t="s">
        <v>248</v>
      </c>
      <c r="E17" s="49" t="s">
        <v>1244</v>
      </c>
    </row>
    <row r="18" customFormat="false" ht="17.25" hidden="false" customHeight="true" outlineLevel="0" collapsed="false">
      <c r="B18" s="28" t="s">
        <v>1245</v>
      </c>
      <c r="C18" s="48" t="str">
        <f aca="false">IF(Need_4&lt;&gt;"",Need_4,Used_Take_Home*Budget_Wants)</f>
        <v>Choose your tax status to see this</v>
      </c>
      <c r="D18" s="34" t="s">
        <v>248</v>
      </c>
      <c r="E18" s="49" t="s">
        <v>1246</v>
      </c>
    </row>
    <row r="20" customFormat="false" ht="15" hidden="false" customHeight="true" outlineLevel="0" collapsed="false">
      <c r="B20" s="15" t="s">
        <v>301</v>
      </c>
      <c r="C20" s="16"/>
      <c r="D20" s="16"/>
      <c r="E20" s="16"/>
      <c r="F20" s="16"/>
      <c r="G20" s="16"/>
    </row>
    <row r="21" customFormat="false" ht="13.5" hidden="false" customHeight="true" outlineLevel="0" collapsed="false">
      <c r="B21" s="53" t="s">
        <v>1247</v>
      </c>
      <c r="C21" s="53"/>
      <c r="D21" s="53"/>
      <c r="E21" s="53"/>
    </row>
    <row r="22" customFormat="false" ht="13.5" hidden="false" customHeight="true" outlineLevel="0" collapsed="false">
      <c r="B22" s="54" t="s">
        <v>304</v>
      </c>
      <c r="C22" s="54"/>
      <c r="D22" s="54"/>
      <c r="E22" s="54"/>
    </row>
    <row r="23" customFormat="false" ht="13.5" hidden="false" customHeight="true" outlineLevel="0" collapsed="false">
      <c r="B23" s="53" t="s">
        <v>1248</v>
      </c>
      <c r="C23" s="53"/>
      <c r="D23" s="53"/>
      <c r="E23" s="53"/>
    </row>
    <row r="25" customFormat="false" ht="15" hidden="false" customHeight="true" outlineLevel="0" collapsed="false">
      <c r="B25" s="15" t="s">
        <v>309</v>
      </c>
      <c r="C25" s="16"/>
      <c r="D25" s="16"/>
      <c r="E25" s="16"/>
      <c r="F25" s="16"/>
      <c r="G25" s="16"/>
    </row>
    <row r="26" customFormat="false" ht="15" hidden="false" customHeight="true" outlineLevel="0" collapsed="false">
      <c r="B26" s="9" t="s">
        <v>310</v>
      </c>
      <c r="C26" s="55" t="str">
        <f aca="false">"No goal"</f>
        <v>No goal</v>
      </c>
      <c r="E26" s="56" t="s">
        <v>497</v>
      </c>
    </row>
    <row r="28" customFormat="false" ht="15" hidden="false" customHeight="true" outlineLevel="0" collapsed="false">
      <c r="B28" s="15" t="s">
        <v>318</v>
      </c>
      <c r="C28" s="16"/>
      <c r="D28" s="16"/>
      <c r="E28" s="16"/>
      <c r="F28" s="16"/>
      <c r="G28" s="16"/>
    </row>
    <row r="29" customFormat="false" ht="15" hidden="false" customHeight="true" outlineLevel="0" collapsed="false">
      <c r="B29" s="59" t="s">
        <v>1249</v>
      </c>
      <c r="C29" s="59" t="str">
        <f aca="false">""</f>
        <v/>
      </c>
    </row>
    <row r="30" customFormat="false" ht="15" hidden="false" customHeight="true" outlineLevel="0" collapsed="false">
      <c r="B30" s="59" t="s">
        <v>1250</v>
      </c>
      <c r="C30" s="59" t="str">
        <f aca="false">IF(NOT(ISNUMBER(Used_Take_Home)),IF(Used_Take_Home="","Choose your take-home pay per month to see this",Used_Take_Home),"")</f>
        <v>Choose your tax status to see this</v>
      </c>
    </row>
    <row r="31" customFormat="false" ht="15" hidden="false" customHeight="true" outlineLevel="0" collapsed="false">
      <c r="B31" s="59" t="s">
        <v>1251</v>
      </c>
      <c r="C31" s="59" t="str">
        <f aca="false">IF(NOT(ISNUMBER(Used_Take_Home)),IF(Used_Take_Home="","Choose your take-home pay per month to see this",Used_Take_Home),"")</f>
        <v>Choose your tax status to see this</v>
      </c>
    </row>
    <row r="32" customFormat="false" ht="15" hidden="false" customHeight="true" outlineLevel="0" collapsed="false">
      <c r="B32" s="59" t="s">
        <v>1252</v>
      </c>
      <c r="C32" s="59"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1253</v>
      </c>
      <c r="E1" s="3" t="s">
        <v>1254</v>
      </c>
    </row>
    <row r="2" customFormat="false" ht="15" hidden="false" customHeight="true" outlineLevel="0" collapsed="false">
      <c r="B2" s="28" t="s">
        <v>1255</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1256</v>
      </c>
    </row>
    <row r="5" customFormat="false" ht="15" hidden="false" customHeight="true" outlineLevel="0" collapsed="false">
      <c r="B5" s="15" t="s">
        <v>242</v>
      </c>
      <c r="C5" s="31" t="s">
        <v>243</v>
      </c>
      <c r="D5" s="31" t="s">
        <v>244</v>
      </c>
      <c r="E5" s="31" t="s">
        <v>245</v>
      </c>
      <c r="F5" s="32" t="s">
        <v>246</v>
      </c>
      <c r="G5" s="16"/>
    </row>
    <row r="6" customFormat="false" ht="21.75" hidden="false" customHeight="true" outlineLevel="0" collapsed="false">
      <c r="B6" s="9" t="s">
        <v>1257</v>
      </c>
      <c r="C6" s="33"/>
      <c r="D6" s="34" t="s">
        <v>248</v>
      </c>
      <c r="E6" s="35" t="s">
        <v>1258</v>
      </c>
      <c r="F6" s="36" t="n">
        <v>5000</v>
      </c>
      <c r="G6" s="37" t="str">
        <f aca="false">IF(ISBLANK(C6),IF(Fill_Example="Yes",F6,""),C6)</f>
        <v/>
      </c>
    </row>
    <row r="7" customFormat="false" ht="33" hidden="false" customHeight="true" outlineLevel="0" collapsed="false">
      <c r="B7" s="9" t="s">
        <v>1259</v>
      </c>
      <c r="C7" s="41"/>
      <c r="D7" s="34" t="s">
        <v>259</v>
      </c>
      <c r="E7" s="42"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3" t="str">
        <f aca="false">IF(ISNUMBER(Suggest_Card_APR),Suggest_Card_APR,"")</f>
        <v/>
      </c>
      <c r="G7" s="44" t="str">
        <f aca="false">IF(ISBLANK(C7),IF(Fill_Example="Yes",F7,""),C7)</f>
        <v/>
      </c>
    </row>
    <row r="8" customFormat="false" ht="21.75" hidden="false" customHeight="true" outlineLevel="0" collapsed="false">
      <c r="B8" s="9" t="s">
        <v>1260</v>
      </c>
      <c r="C8" s="33"/>
      <c r="D8" s="34" t="s">
        <v>248</v>
      </c>
      <c r="E8" s="35" t="s">
        <v>1261</v>
      </c>
      <c r="F8" s="36" t="n">
        <v>250</v>
      </c>
      <c r="G8" s="37" t="str">
        <f aca="false">IF(ISBLANK(C8),IF(Fill_Example="Yes",F8,""),C8)</f>
        <v/>
      </c>
    </row>
    <row r="9" customFormat="false" ht="15" hidden="false" customHeight="true" outlineLevel="0" collapsed="false">
      <c r="B9" s="9" t="s">
        <v>1262</v>
      </c>
      <c r="C9" s="33"/>
      <c r="D9" s="34" t="s">
        <v>248</v>
      </c>
      <c r="E9" s="35" t="s">
        <v>1263</v>
      </c>
      <c r="F9" s="36" t="n">
        <v>0</v>
      </c>
      <c r="G9" s="37" t="n">
        <f aca="false">IF(ISBLANK(C9),F9,C9)</f>
        <v>0</v>
      </c>
    </row>
    <row r="11" customFormat="false" ht="15" hidden="false" customHeight="true" outlineLevel="0" collapsed="false">
      <c r="B11" s="15" t="s">
        <v>268</v>
      </c>
      <c r="C11" s="31" t="s">
        <v>269</v>
      </c>
      <c r="D11" s="31" t="s">
        <v>270</v>
      </c>
      <c r="E11" s="31" t="s">
        <v>271</v>
      </c>
      <c r="F11" s="16"/>
      <c r="G11" s="16"/>
    </row>
    <row r="12" customFormat="false" ht="17.25" hidden="false" customHeight="true" outlineLevel="0" collapsed="false">
      <c r="B12" s="28" t="s">
        <v>1264</v>
      </c>
      <c r="C12" s="69" t="str">
        <f aca="false">IF(Need_1&lt;&gt;"",Need_1,IF(Payment&lt;=Balance*Monthly_Rate,"Never",ROUNDUP(ROUND(NPER(Monthly_Rate,-Payment,Balance),6),0)))</f>
        <v>Choose your balance to see this</v>
      </c>
      <c r="D12" s="70"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9" t="s">
        <v>1265</v>
      </c>
    </row>
    <row r="13" customFormat="false" ht="17.25" hidden="false" customHeight="true" outlineLevel="0" collapsed="false">
      <c r="B13" s="28" t="s">
        <v>366</v>
      </c>
      <c r="C13" s="48" t="str">
        <f aca="false">IF(Need_1&lt;&gt;"",Need_1,IF(Months_To_Clear="Never","—",Payment*(Months_To_Clear-1)+Final_Payment-Balance))</f>
        <v>Choose your balance to see this</v>
      </c>
      <c r="D13" s="34" t="s">
        <v>248</v>
      </c>
      <c r="E13" s="49" t="s">
        <v>1266</v>
      </c>
    </row>
    <row r="14" customFormat="false" ht="15" hidden="false" customHeight="true" outlineLevel="0" collapsed="false">
      <c r="B14" s="9" t="s">
        <v>1267</v>
      </c>
      <c r="C14" s="71" t="str">
        <f aca="false">IF(Need_2&lt;&gt;"",Need_2,(1+APR)^(1/12)-1)</f>
        <v>Choose your credit-card rate to see this</v>
      </c>
      <c r="D14" s="34"/>
      <c r="E14" s="49" t="s">
        <v>1268</v>
      </c>
    </row>
    <row r="15" customFormat="false" ht="15" hidden="false" customHeight="true" outlineLevel="0" collapsed="false">
      <c r="B15" s="9" t="s">
        <v>1269</v>
      </c>
      <c r="C15" s="50" t="str">
        <f aca="false">IF(Need_3&lt;&gt;"",Need_3,Monthly_Payment+Extra_Payment)</f>
        <v>Choose your monthly payment to see this</v>
      </c>
      <c r="D15" s="34" t="s">
        <v>248</v>
      </c>
      <c r="E15" s="49" t="s">
        <v>1270</v>
      </c>
    </row>
    <row r="16" customFormat="false" ht="15" hidden="false" customHeight="true" outlineLevel="0" collapsed="false">
      <c r="B16" s="9" t="s">
        <v>374</v>
      </c>
      <c r="C16" s="50" t="str">
        <f aca="false">IF(Need_1&lt;&gt;"",Need_1,IF(Months_To_Clear="Never","—",-FV(Monthly_Rate,Months_To_Clear-1,-Payment,Balance)*(1+Monthly_Rate)))</f>
        <v>Choose your balance to see this</v>
      </c>
      <c r="D16" s="34" t="s">
        <v>248</v>
      </c>
      <c r="E16" s="49" t="s">
        <v>1271</v>
      </c>
    </row>
    <row r="18" customFormat="false" ht="15" hidden="false" customHeight="true" outlineLevel="0" collapsed="false">
      <c r="B18" s="15" t="s">
        <v>301</v>
      </c>
      <c r="C18" s="16"/>
      <c r="D18" s="16"/>
      <c r="E18" s="16"/>
      <c r="F18" s="16"/>
      <c r="G18" s="16"/>
    </row>
    <row r="19" customFormat="false" ht="13.5" hidden="false" customHeight="true" outlineLevel="0" collapsed="false">
      <c r="B19" s="53" t="s">
        <v>1272</v>
      </c>
      <c r="C19" s="53"/>
      <c r="D19" s="53"/>
      <c r="E19" s="53"/>
    </row>
    <row r="20" customFormat="false" ht="13.5" hidden="false" customHeight="true" outlineLevel="0" collapsed="false">
      <c r="B20" s="53" t="s">
        <v>1273</v>
      </c>
      <c r="C20" s="53"/>
      <c r="D20" s="53"/>
      <c r="E20" s="53"/>
    </row>
    <row r="21" customFormat="false" ht="13.5" hidden="false" customHeight="true" outlineLevel="0" collapsed="false">
      <c r="B21" s="54" t="s">
        <v>304</v>
      </c>
      <c r="C21" s="54"/>
      <c r="D21" s="54"/>
      <c r="E21" s="54"/>
    </row>
    <row r="22" customFormat="false" ht="27.75" hidden="false" customHeight="true" outlineLevel="0" collapsed="false">
      <c r="B22" s="53" t="s">
        <v>385</v>
      </c>
      <c r="C22" s="53"/>
      <c r="D22" s="53"/>
      <c r="E22" s="53"/>
    </row>
    <row r="23" customFormat="false" ht="13.5" hidden="false" customHeight="true" outlineLevel="0" collapsed="false">
      <c r="B23" s="53" t="s">
        <v>1274</v>
      </c>
      <c r="C23" s="53"/>
      <c r="D23" s="53"/>
      <c r="E23" s="53"/>
    </row>
    <row r="24" customFormat="false" ht="27.75" hidden="false" customHeight="true" outlineLevel="0" collapsed="false">
      <c r="B24" s="53" t="s">
        <v>387</v>
      </c>
      <c r="C24" s="53"/>
      <c r="D24" s="53"/>
      <c r="E24" s="53"/>
    </row>
    <row r="25" customFormat="false" ht="13.5" hidden="false" customHeight="true" outlineLevel="0" collapsed="false">
      <c r="B25" s="53" t="s">
        <v>308</v>
      </c>
      <c r="C25" s="53"/>
      <c r="D25" s="53"/>
      <c r="E25" s="53"/>
    </row>
    <row r="27" customFormat="false" ht="15" hidden="false" customHeight="true" outlineLevel="0" collapsed="false">
      <c r="B27" s="15" t="s">
        <v>309</v>
      </c>
      <c r="C27" s="16"/>
      <c r="D27" s="16"/>
      <c r="E27" s="16"/>
      <c r="F27" s="16"/>
      <c r="G27" s="16"/>
    </row>
    <row r="28" customFormat="false" ht="15" hidden="false" customHeight="true" outlineLevel="0" collapsed="false">
      <c r="B28" s="9" t="s">
        <v>310</v>
      </c>
      <c r="C28" s="55" t="str">
        <f aca="false">"No goal (the plan already repays this debt)"</f>
        <v>No goal (the plan already repays this debt)</v>
      </c>
      <c r="E28" s="56" t="s">
        <v>1275</v>
      </c>
    </row>
    <row r="29" customFormat="false" ht="13.5" hidden="false" customHeight="true" outlineLevel="0" collapsed="false">
      <c r="B29" s="60" t="s">
        <v>1276</v>
      </c>
      <c r="C29" s="60"/>
      <c r="D29" s="60"/>
      <c r="E29" s="60"/>
    </row>
    <row r="31" customFormat="false" ht="15" hidden="false" customHeight="true" outlineLevel="0" collapsed="false">
      <c r="B31" s="15" t="s">
        <v>318</v>
      </c>
      <c r="C31" s="16"/>
      <c r="D31" s="16"/>
      <c r="E31" s="16"/>
      <c r="F31" s="16"/>
      <c r="G31" s="16"/>
    </row>
    <row r="32" customFormat="false" ht="15" hidden="false" customHeight="true" outlineLevel="0" collapsed="false">
      <c r="B32" s="59" t="s">
        <v>1277</v>
      </c>
      <c r="C32" s="59"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9" t="s">
        <v>1278</v>
      </c>
      <c r="C33" s="59" t="str">
        <f aca="false">IF(APR="","Choose your credit-card rate to see this","")</f>
        <v>Choose your credit-card rate to see this</v>
      </c>
    </row>
    <row r="34" customFormat="false" ht="15" hidden="false" customHeight="true" outlineLevel="0" collapsed="false">
      <c r="B34" s="59" t="s">
        <v>1279</v>
      </c>
      <c r="C34" s="59"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7" t="s">
        <v>1280</v>
      </c>
      <c r="E1" s="3" t="s">
        <v>1281</v>
      </c>
    </row>
    <row r="2" customFormat="false" ht="15" hidden="false" customHeight="true" outlineLevel="0" collapsed="false">
      <c r="B2" s="28" t="s">
        <v>1282</v>
      </c>
      <c r="E2" s="29"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0" t="s">
        <v>1283</v>
      </c>
    </row>
    <row r="5" customFormat="false" ht="15" hidden="false" customHeight="true" outlineLevel="0" collapsed="false">
      <c r="B5" s="15" t="s">
        <v>242</v>
      </c>
      <c r="C5" s="31" t="s">
        <v>243</v>
      </c>
      <c r="D5" s="31" t="s">
        <v>244</v>
      </c>
      <c r="E5" s="31" t="s">
        <v>245</v>
      </c>
      <c r="F5" s="32" t="s">
        <v>246</v>
      </c>
      <c r="G5" s="16"/>
    </row>
    <row r="6" customFormat="false" ht="15" hidden="false" customHeight="true" outlineLevel="0" collapsed="false">
      <c r="B6" s="9" t="s">
        <v>1284</v>
      </c>
      <c r="C6" s="33"/>
      <c r="D6" s="34" t="s">
        <v>248</v>
      </c>
      <c r="E6" s="35" t="s">
        <v>1285</v>
      </c>
      <c r="F6" s="36" t="n">
        <v>15000</v>
      </c>
      <c r="G6" s="37" t="str">
        <f aca="false">IF(ISBLANK(C6),IF(Fill_Example="Yes",F6,""),C6)</f>
        <v/>
      </c>
    </row>
    <row r="7" customFormat="false" ht="21.75" hidden="false" customHeight="true" outlineLevel="0" collapsed="false">
      <c r="B7" s="9" t="s">
        <v>1259</v>
      </c>
      <c r="C7" s="41"/>
      <c r="D7" s="34" t="s">
        <v>259</v>
      </c>
      <c r="E7" s="42"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3" t="n">
        <f aca="false">IF(ISNUMBER(Suggest_Loan_APR),Suggest_Loan_APR,"")</f>
        <v>0.0672</v>
      </c>
      <c r="G7" s="44" t="str">
        <f aca="false">IF(ISBLANK(C7),IF(Fill_Example="Yes",F7,""),C7)</f>
        <v/>
      </c>
    </row>
    <row r="8" customFormat="false" ht="15" hidden="false" customHeight="true" outlineLevel="0" collapsed="false">
      <c r="B8" s="9" t="s">
        <v>630</v>
      </c>
      <c r="C8" s="45"/>
      <c r="D8" s="34" t="s">
        <v>261</v>
      </c>
      <c r="E8" s="35" t="s">
        <v>709</v>
      </c>
      <c r="F8" s="46" t="n">
        <v>5</v>
      </c>
      <c r="G8" s="47" t="str">
        <f aca="false">IF(AND(ISNUMBER(C8),N(C8)&lt;1),"",IF(ISBLANK(C8),IF(Fill_Example="Yes",F8,""),C8))</f>
        <v/>
      </c>
    </row>
    <row r="10" customFormat="false" ht="15" hidden="false" customHeight="true" outlineLevel="0" collapsed="false">
      <c r="B10" s="15" t="s">
        <v>268</v>
      </c>
      <c r="C10" s="31" t="s">
        <v>269</v>
      </c>
      <c r="D10" s="31" t="s">
        <v>270</v>
      </c>
      <c r="E10" s="31" t="s">
        <v>271</v>
      </c>
      <c r="F10" s="16"/>
      <c r="G10" s="16"/>
    </row>
    <row r="11" customFormat="false" ht="17.25" hidden="false" customHeight="true" outlineLevel="0" collapsed="false">
      <c r="B11" s="28" t="s">
        <v>340</v>
      </c>
      <c r="C11" s="48" t="str">
        <f aca="false">IF(Need_1&lt;&gt;"",Need_1,PMT(Monthly_Rate,Years*12,-Loan_Amount))</f>
        <v>Choose your loan amount to see this</v>
      </c>
      <c r="D11" s="34" t="s">
        <v>248</v>
      </c>
      <c r="E11" s="49" t="s">
        <v>1286</v>
      </c>
    </row>
    <row r="12" customFormat="false" ht="17.25" hidden="false" customHeight="true" outlineLevel="0" collapsed="false">
      <c r="B12" s="28" t="s">
        <v>366</v>
      </c>
      <c r="C12" s="48" t="str">
        <f aca="false">IF(Need_1&lt;&gt;"",Need_1,Total_Repaid-Loan_Amount)</f>
        <v>Choose your loan amount to see this</v>
      </c>
      <c r="D12" s="34" t="s">
        <v>248</v>
      </c>
      <c r="E12" s="49" t="s">
        <v>1287</v>
      </c>
    </row>
    <row r="13" customFormat="false" ht="15" hidden="false" customHeight="true" outlineLevel="0" collapsed="false">
      <c r="B13" s="9" t="s">
        <v>368</v>
      </c>
      <c r="C13" s="50" t="str">
        <f aca="false">IF(Need_1&lt;&gt;"",Need_1,Monthly_Repayment*Years*12)</f>
        <v>Choose your loan amount to see this</v>
      </c>
      <c r="D13" s="34" t="s">
        <v>248</v>
      </c>
      <c r="E13" s="49" t="s">
        <v>1288</v>
      </c>
    </row>
    <row r="14" customFormat="false" ht="15" hidden="false" customHeight="true" outlineLevel="0" collapsed="false">
      <c r="B14" s="9" t="s">
        <v>1267</v>
      </c>
      <c r="C14" s="71" t="str">
        <f aca="false">IF(Need_2&lt;&gt;"",Need_2,(1+APR)^(1/12)-1)</f>
        <v>Choose your loan rate to see this</v>
      </c>
      <c r="D14" s="34"/>
      <c r="E14" s="49" t="s">
        <v>1268</v>
      </c>
    </row>
    <row r="16" customFormat="false" ht="15" hidden="false" customHeight="true" outlineLevel="0" collapsed="false">
      <c r="B16" s="15" t="s">
        <v>301</v>
      </c>
      <c r="C16" s="16"/>
      <c r="D16" s="16"/>
      <c r="E16" s="16"/>
      <c r="F16" s="16"/>
      <c r="G16" s="16"/>
    </row>
    <row r="17" customFormat="false" ht="13.5" hidden="false" customHeight="true" outlineLevel="0" collapsed="false">
      <c r="B17" s="53" t="s">
        <v>1289</v>
      </c>
      <c r="C17" s="53"/>
      <c r="D17" s="53"/>
      <c r="E17" s="53"/>
    </row>
    <row r="18" customFormat="false" ht="13.5" hidden="false" customHeight="true" outlineLevel="0" collapsed="false">
      <c r="B18" s="53" t="s">
        <v>1290</v>
      </c>
      <c r="C18" s="53"/>
      <c r="D18" s="53"/>
      <c r="E18" s="53"/>
    </row>
    <row r="19" customFormat="false" ht="13.5" hidden="false" customHeight="true" outlineLevel="0" collapsed="false">
      <c r="B19" s="54" t="s">
        <v>304</v>
      </c>
      <c r="C19" s="54"/>
      <c r="D19" s="54"/>
      <c r="E19" s="54"/>
    </row>
    <row r="20" customFormat="false" ht="13.5" hidden="false" customHeight="true" outlineLevel="0" collapsed="false">
      <c r="B20" s="53" t="s">
        <v>308</v>
      </c>
      <c r="C20" s="53"/>
      <c r="D20" s="53"/>
      <c r="E20" s="53"/>
    </row>
    <row r="22" customFormat="false" ht="15" hidden="false" customHeight="true" outlineLevel="0" collapsed="false">
      <c r="B22" s="15" t="s">
        <v>309</v>
      </c>
      <c r="C22" s="16"/>
      <c r="D22" s="16"/>
      <c r="E22" s="16"/>
      <c r="F22" s="16"/>
      <c r="G22" s="16"/>
    </row>
    <row r="23" customFormat="false" ht="15" hidden="false" customHeight="true" outlineLevel="0" collapsed="false">
      <c r="B23" s="9" t="s">
        <v>310</v>
      </c>
      <c r="C23" s="55" t="str">
        <f aca="false">"No goal"</f>
        <v>No goal</v>
      </c>
      <c r="E23" s="56" t="s">
        <v>497</v>
      </c>
    </row>
    <row r="25" customFormat="false" ht="15" hidden="false" customHeight="true" outlineLevel="0" collapsed="false">
      <c r="B25" s="15" t="s">
        <v>318</v>
      </c>
      <c r="C25" s="16"/>
      <c r="D25" s="16"/>
      <c r="E25" s="16"/>
      <c r="F25" s="16"/>
      <c r="G25" s="16"/>
    </row>
    <row r="26" customFormat="false" ht="15" hidden="false" customHeight="true" outlineLevel="0" collapsed="false">
      <c r="B26" s="59" t="s">
        <v>1291</v>
      </c>
      <c r="C26" s="59"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9" t="s">
        <v>1278</v>
      </c>
      <c r="C27" s="59" t="str">
        <f aca="false">IF(APR="","Choose your loan rate to see this","")</f>
        <v>Choose your loan rate to see this</v>
      </c>
    </row>
    <row r="29" customFormat="false" ht="15" hidden="false" customHeight="true" outlineLevel="0" collapsed="false">
      <c r="B29" s="23" t="s">
        <v>1292</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3" t="s">
        <v>1293</v>
      </c>
    </row>
    <row r="2" customFormat="false" ht="61.5" hidden="false" customHeight="true" outlineLevel="0" collapsed="false">
      <c r="B2" s="94" t="s">
        <v>1294</v>
      </c>
      <c r="C2" s="94"/>
      <c r="D2" s="94"/>
      <c r="E2" s="94"/>
      <c r="F2" s="94"/>
      <c r="G2" s="94"/>
      <c r="H2" s="94"/>
      <c r="I2" s="94"/>
    </row>
    <row r="3" customFormat="false" ht="30" hidden="false" customHeight="true" outlineLevel="0" collapsed="false">
      <c r="B3" s="95" t="str">
        <f aca="false">Warn_Goals</f>
        <v/>
      </c>
      <c r="C3" s="95"/>
      <c r="D3" s="95"/>
      <c r="E3" s="95"/>
      <c r="F3" s="95"/>
      <c r="G3" s="95"/>
      <c r="H3" s="95"/>
      <c r="I3" s="95"/>
    </row>
    <row r="4" customFormat="false" ht="15" hidden="false" customHeight="true" outlineLevel="0" collapsed="false">
      <c r="B4" s="96" t="s">
        <v>1295</v>
      </c>
      <c r="C4" s="96" t="s">
        <v>243</v>
      </c>
      <c r="D4" s="96" t="s">
        <v>244</v>
      </c>
      <c r="E4" s="96" t="s">
        <v>1296</v>
      </c>
      <c r="F4" s="96" t="s">
        <v>1297</v>
      </c>
      <c r="G4" s="96" t="s">
        <v>1298</v>
      </c>
      <c r="H4" s="96" t="s">
        <v>1299</v>
      </c>
    </row>
    <row r="5" customFormat="false" ht="15" hidden="false" customHeight="true" outlineLevel="0" collapsed="false">
      <c r="B5" s="1" t="s">
        <v>1300</v>
      </c>
      <c r="C5" s="97"/>
      <c r="E5" s="23" t="s">
        <v>1301</v>
      </c>
      <c r="F5" s="23" t="s">
        <v>1302</v>
      </c>
      <c r="G5" s="98" t="str">
        <f aca="false">IF(ISBLANK(C5),IF(Fill_Example="Yes",F5,""),IF(TRUE(),C5,""))</f>
        <v/>
      </c>
      <c r="H5" s="98" t="n">
        <f aca="false">IF(G5="",0,1)</f>
        <v>0</v>
      </c>
    </row>
    <row r="6" customFormat="false" ht="15" hidden="false" customHeight="true" outlineLevel="0" collapsed="false">
      <c r="B6" s="1" t="s">
        <v>1303</v>
      </c>
      <c r="C6" s="99"/>
      <c r="D6" s="1" t="s">
        <v>343</v>
      </c>
      <c r="E6" s="23" t="s">
        <v>1304</v>
      </c>
      <c r="F6" s="100" t="n">
        <f aca="false">DATE(AS_Year0-38,8,21)</f>
        <v>32741</v>
      </c>
      <c r="G6" s="98" t="n">
        <f aca="true">IF(ISBLANK(C6),IF(AND(Fill_Example="Yes",F6&lt;&gt;""),AS_Year0-YEAR(F6),0),IF(IF(ISNUMBER(C6),IF(C6&lt;=TODAY(),AND(DATEDIF(C6,TODAY(),"Y")&gt;=18,DATEDIF(C6,TODAY(),"Y")&lt;=80),FALSE()),FALSE()),AS_Year0-YEAR(C6),0))</f>
        <v>0</v>
      </c>
      <c r="H6" s="98" t="n">
        <f aca="true">IF(ISBLANK(C6),IF(AND(Fill_Example="Yes",F6&lt;&gt;""),1,0),IF(IF(ISNUMBER(C6),IF(C6&lt;=TODAY(),AND(DATEDIF(C6,TODAY(),"Y")&gt;=18,DATEDIF(C6,TODAY(),"Y")&lt;=80),FALSE()),FALSE()),1,0))</f>
        <v>0</v>
      </c>
    </row>
    <row r="7" customFormat="false" ht="15" hidden="false" customHeight="true" outlineLevel="0" collapsed="false">
      <c r="B7" s="1" t="s">
        <v>1305</v>
      </c>
      <c r="C7" s="97"/>
      <c r="E7" s="23" t="s">
        <v>1306</v>
      </c>
      <c r="F7" s="23" t="s">
        <v>257</v>
      </c>
      <c r="G7" s="98" t="str">
        <f aca="false">IF(ISBLANK(C7),IF(Fill_Example="Yes",F7,""),IF(ISNUMBER(MATCH(C7,{"Yes","No"},0)),C7,""))</f>
        <v/>
      </c>
      <c r="H7" s="98" t="n">
        <f aca="false">IF(G7="",0,1)</f>
        <v>0</v>
      </c>
    </row>
    <row r="8" customFormat="false" ht="15" hidden="false" customHeight="true" outlineLevel="0" collapsed="false">
      <c r="B8" s="1" t="s">
        <v>1307</v>
      </c>
      <c r="C8" s="97"/>
      <c r="E8" s="23" t="s">
        <v>1308</v>
      </c>
      <c r="F8" s="23"/>
      <c r="G8" s="98" t="str">
        <f aca="false">IF(ISBLANK(C8),IF(Fill_Example="Yes",F8,""),IF(ISNUMBER(MATCH(C8,{"Yes","No"},0)),C8,""))</f>
        <v/>
      </c>
      <c r="H8" s="98" t="n">
        <f aca="false">IF(G8="",0,1)</f>
        <v>0</v>
      </c>
    </row>
    <row r="9" customFormat="false" ht="15" hidden="false" customHeight="true" outlineLevel="0" collapsed="false">
      <c r="B9" s="1" t="s">
        <v>1309</v>
      </c>
      <c r="C9" s="97"/>
      <c r="D9" s="1" t="s">
        <v>1310</v>
      </c>
      <c r="E9" s="23" t="s">
        <v>1311</v>
      </c>
      <c r="F9" s="23" t="n">
        <v>2</v>
      </c>
      <c r="G9" s="98" t="n">
        <f aca="false">IF(ISBLANK(C9),IF(AND(Fill_Example="Yes",F9&lt;&gt;""),F9,0),IF(IF(ISNUMBER(C9),AND(C9&gt;=0,C9&lt;=20,C9=INT(C9)),FALSE()),C9,0))</f>
        <v>0</v>
      </c>
      <c r="H9" s="98" t="n">
        <f aca="false">IF(ISBLANK(C9),IF(AND(Fill_Example="Yes",F9&lt;&gt;""),1,0),IF(IF(ISNUMBER(C9),AND(C9&gt;=0,C9&lt;=20,C9=INT(C9)),FALSE()),1,0))</f>
        <v>0</v>
      </c>
    </row>
    <row r="10" customFormat="false" ht="15" hidden="false" customHeight="true" outlineLevel="0" collapsed="false">
      <c r="B10" s="1" t="s">
        <v>1312</v>
      </c>
      <c r="C10" s="97"/>
      <c r="D10" s="1" t="s">
        <v>739</v>
      </c>
      <c r="E10" s="23" t="s">
        <v>1313</v>
      </c>
      <c r="F10" s="23" t="n">
        <v>63</v>
      </c>
      <c r="G10" s="98" t="n">
        <f aca="false">IF(ISBLANK(C10),IF(AND(Fill_Example="Yes",F10&lt;&gt;""),F10,0),IF(IF(ISNUMBER(C10),AND(C10&gt;=18,C10&lt;=105,C10=INT(C10)),FALSE()),C10,0))</f>
        <v>0</v>
      </c>
      <c r="H10" s="98" t="n">
        <f aca="false">IF(ISBLANK(C10),IF(AND(Fill_Example="Yes",F10&lt;&gt;""),1,0),IF(IF(ISNUMBER(C10),AND(C10&gt;=18,C10&lt;=105,C10=INT(C10)),FALSE()),1,0))</f>
        <v>0</v>
      </c>
    </row>
    <row r="11" customFormat="false" ht="15" hidden="false" customHeight="true" outlineLevel="0" collapsed="false">
      <c r="B11" s="1" t="s">
        <v>1314</v>
      </c>
      <c r="C11" s="97"/>
      <c r="D11" s="1" t="s">
        <v>739</v>
      </c>
      <c r="E11" s="23" t="s">
        <v>1315</v>
      </c>
      <c r="F11" s="23" t="n">
        <v>66</v>
      </c>
      <c r="G11" s="98" t="n">
        <f aca="false">IF(ISBLANK(C11),IF(AND(Fill_Example="Yes",F11&lt;&gt;""),F11,0),IF(IF(ISNUMBER(C11),AND(C11&gt;=18,C11&lt;=105,C11=INT(C11)),FALSE()),C11,0))</f>
        <v>0</v>
      </c>
      <c r="H11" s="98" t="n">
        <f aca="false">IF(ISBLANK(C11),IF(AND(Fill_Example="Yes",F11&lt;&gt;""),1,0),IF(IF(ISNUMBER(C11),AND(C11&gt;=18,C11&lt;=105,C11=INT(C11)),FALSE()),1,0))</f>
        <v>0</v>
      </c>
    </row>
    <row r="12" customFormat="false" ht="15" hidden="false" customHeight="true" outlineLevel="0" collapsed="false">
      <c r="B12" s="1" t="s">
        <v>1316</v>
      </c>
      <c r="C12" s="97"/>
      <c r="D12" s="1" t="s">
        <v>1317</v>
      </c>
      <c r="E12" s="23" t="s">
        <v>1318</v>
      </c>
      <c r="F12" s="101" t="n">
        <f aca="false">Set_infl</f>
        <v>0.02</v>
      </c>
      <c r="G12" s="98" t="n">
        <f aca="false">IF(ISBLANK(C12),IF(AND(Fill_Example="Yes",F12&lt;&gt;""),F12,0),IF(IF(ISNUMBER(C12),AND(C12&gt;=0,C12&lt;=0.1),FALSE()),C12,0))</f>
        <v>0</v>
      </c>
      <c r="H12" s="98" t="n">
        <f aca="false">IF(ISBLANK(C12),IF(AND(Fill_Example="Yes",F12&lt;&gt;""),1,0),IF(IF(ISNUMBER(C12),AND(C12&gt;=0,C12&lt;=0.1),FALSE()),1,0))</f>
        <v>0</v>
      </c>
    </row>
    <row r="13" customFormat="false" ht="15" hidden="false" customHeight="true" outlineLevel="0" collapsed="false">
      <c r="B13" s="1" t="s">
        <v>1319</v>
      </c>
      <c r="C13" s="97"/>
      <c r="E13" s="23" t="s">
        <v>1320</v>
      </c>
      <c r="F13" s="23" t="s">
        <v>1321</v>
      </c>
      <c r="G13" s="98" t="str">
        <f aca="false">IF(ISBLANK(C13),IF(Fill_Example="Yes",F13,""),IF(ISNUMBER(MATCH(C13,{"Standard","Cautious"},0)),C13,""))</f>
        <v/>
      </c>
      <c r="H13" s="98" t="n">
        <f aca="false">IF(G13="",0,1)</f>
        <v>0</v>
      </c>
    </row>
    <row r="14" customFormat="false" ht="15" hidden="false" customHeight="true" outlineLevel="0" collapsed="false">
      <c r="B14" s="1" t="s">
        <v>1322</v>
      </c>
      <c r="C14" s="97"/>
      <c r="D14" s="1" t="s">
        <v>1323</v>
      </c>
      <c r="E14" s="23" t="s">
        <v>1324</v>
      </c>
      <c r="F14" s="23" t="n">
        <v>2</v>
      </c>
      <c r="G14" s="98" t="n">
        <f aca="false">IF(ISBLANK(C14),IF(AND(Fill_Example="Yes",F14&lt;&gt;""),F14,0),IF(IF(ISNUMBER(C14),AND(C14&gt;=0,C14&lt;=4,C14=INT(C14)),FALSE()),C14,0))</f>
        <v>0</v>
      </c>
      <c r="H14" s="98" t="n">
        <f aca="false">IF(ISBLANK(C14),IF(AND(Fill_Example="Yes",F14&lt;&gt;""),1,0),IF(IF(ISNUMBER(C14),AND(C14&gt;=0,C14&lt;=4,C14=INT(C14)),FALSE()),1,0))</f>
        <v>0</v>
      </c>
    </row>
    <row r="15" customFormat="false" ht="15" hidden="false" customHeight="true" outlineLevel="0" collapsed="false">
      <c r="B15" s="1" t="s">
        <v>1325</v>
      </c>
      <c r="C15" s="97"/>
      <c r="D15" s="1" t="s">
        <v>1326</v>
      </c>
      <c r="E15" s="23" t="s">
        <v>1327</v>
      </c>
      <c r="F15" s="23"/>
      <c r="G15" s="98" t="n">
        <f aca="false">IF(ISBLANK(C15),IF(AND(Fill_Example="Yes",F15&lt;&gt;""),F15,0),IF(IF(ISNUMBER(C15),AND(C15&gt;=0,C15&lt;=1000000),FALSE()),C15,0))</f>
        <v>0</v>
      </c>
      <c r="H15" s="98" t="n">
        <f aca="false">IF(ISBLANK(C15),IF(AND(Fill_Example="Yes",F15&lt;&gt;""),1,0),IF(IF(ISNUMBER(C15),AND(C15&gt;=0,C15&lt;=1000000),FALSE()),1,0))</f>
        <v>0</v>
      </c>
    </row>
    <row r="16" customFormat="false" ht="15" hidden="false" customHeight="true" outlineLevel="0" collapsed="false">
      <c r="B16" s="1" t="s">
        <v>1328</v>
      </c>
      <c r="C16" s="97"/>
      <c r="E16" s="23" t="s">
        <v>1329</v>
      </c>
      <c r="F16" s="23"/>
      <c r="G16" s="98" t="str">
        <f aca="false">IF(ISBLANK(C16),IF(Fill_Example="Yes",F16,""),IF(ISNUMBER(MATCH(C16,{"Yes","No"},0)),C16,""))</f>
        <v/>
      </c>
      <c r="H16" s="98" t="n">
        <f aca="false">IF(G16="",0,1)</f>
        <v>0</v>
      </c>
    </row>
    <row r="17" customFormat="false" ht="15" hidden="false" customHeight="true" outlineLevel="0" collapsed="false">
      <c r="B17" s="1" t="s">
        <v>1330</v>
      </c>
      <c r="C17" s="97"/>
      <c r="D17" s="1" t="s">
        <v>1326</v>
      </c>
      <c r="E17" s="23" t="s">
        <v>1331</v>
      </c>
      <c r="F17" s="23" t="n">
        <v>0</v>
      </c>
      <c r="G17" s="98" t="n">
        <f aca="false">IF(ISBLANK(C17),IF(AND(Fill_Example="Yes",F17&lt;&gt;""),F17,0),IF(IF(ISNUMBER(C17),AND(C17&gt;=0,C17&lt;=100000),FALSE()),C17,0))</f>
        <v>0</v>
      </c>
      <c r="H17" s="98" t="n">
        <f aca="false">IF(ISBLANK(C17),IF(AND(Fill_Example="Yes",F17&lt;&gt;""),1,0),IF(IF(ISNUMBER(C17),AND(C17&gt;=0,C17&lt;=100000),FALSE()),1,0))</f>
        <v>0</v>
      </c>
    </row>
    <row r="18" customFormat="false" ht="15" hidden="false" customHeight="true" outlineLevel="0" collapsed="false">
      <c r="B18" s="1" t="s">
        <v>1332</v>
      </c>
      <c r="C18" s="97"/>
      <c r="E18" s="23" t="s">
        <v>1333</v>
      </c>
      <c r="F18" s="23" t="s">
        <v>3</v>
      </c>
      <c r="G18" s="98" t="str">
        <f aca="false">IF(ISBLANK(C18),IF(Fill_Example="Yes",F18,""),IF(ISNUMBER(MATCH(C18,{"Yes","No"},0)),C18,""))</f>
        <v/>
      </c>
      <c r="H18" s="98" t="n">
        <f aca="false">IF(G18="",0,1)</f>
        <v>0</v>
      </c>
    </row>
    <row r="19" customFormat="false" ht="15" hidden="false" customHeight="true" outlineLevel="0" collapsed="false">
      <c r="B19" s="1" t="s">
        <v>1334</v>
      </c>
      <c r="C19" s="97"/>
      <c r="E19" s="23" t="s">
        <v>1335</v>
      </c>
      <c r="F19" s="23" t="s">
        <v>3</v>
      </c>
      <c r="G19" s="98" t="str">
        <f aca="false">IF(ISBLANK(C19),IF(Fill_Example="Yes",F19,""),IF(ISNUMBER(MATCH(C19,{"Yes","No"},0)),C19,""))</f>
        <v/>
      </c>
      <c r="H19" s="98" t="n">
        <f aca="false">IF(G19="",0,1)</f>
        <v>0</v>
      </c>
    </row>
    <row r="20" customFormat="false" ht="15" hidden="false" customHeight="true" outlineLevel="0" collapsed="false">
      <c r="B20" s="1" t="s">
        <v>1336</v>
      </c>
      <c r="C20" s="97"/>
      <c r="E20" s="23" t="s">
        <v>1337</v>
      </c>
      <c r="F20" s="23" t="s">
        <v>3</v>
      </c>
      <c r="G20" s="98" t="str">
        <f aca="false">IF(ISBLANK(C20),IF(Fill_Example="Yes",F20,""),IF(ISNUMBER(MATCH(C20,{"Yes","No"},0)),C20,""))</f>
        <v/>
      </c>
      <c r="H20" s="98" t="n">
        <f aca="false">IF(G20="",0,1)</f>
        <v>0</v>
      </c>
    </row>
    <row r="22" customFormat="false" ht="15" hidden="false" customHeight="true" outlineLevel="0" collapsed="false">
      <c r="B22" s="96" t="s">
        <v>1338</v>
      </c>
      <c r="C22" s="96" t="s">
        <v>243</v>
      </c>
      <c r="D22" s="96" t="s">
        <v>244</v>
      </c>
      <c r="E22" s="96" t="s">
        <v>1296</v>
      </c>
      <c r="F22" s="96" t="s">
        <v>1297</v>
      </c>
      <c r="G22" s="96" t="s">
        <v>1298</v>
      </c>
      <c r="H22" s="96" t="s">
        <v>1299</v>
      </c>
    </row>
    <row r="23" customFormat="false" ht="15" hidden="false" customHeight="true" outlineLevel="0" collapsed="false">
      <c r="B23" s="1" t="s">
        <v>1339</v>
      </c>
      <c r="C23" s="97"/>
      <c r="D23" s="1" t="s">
        <v>1340</v>
      </c>
      <c r="E23" s="23" t="s">
        <v>1341</v>
      </c>
      <c r="F23" s="23"/>
      <c r="G23" s="98" t="n">
        <f aca="false">IF(ISBLANK(C23),IF(AND(Fill_Example="Yes",F23&lt;&gt;""),F23,0),IF(IF(ISNUMBER(C23),AND(C23&gt;=1,C23&lt;=22,C23=INT(C23)),FALSE()),C23,0))</f>
        <v>0</v>
      </c>
      <c r="H23" s="98" t="n">
        <f aca="false">IF(ISBLANK(C23),IF(AND(Fill_Example="Yes",F23&lt;&gt;""),1,0),IF(IF(ISNUMBER(C23),AND(C23&gt;=1,C23&lt;=22,C23=INT(C23)),FALSE()),1,0))</f>
        <v>0</v>
      </c>
    </row>
    <row r="24" customFormat="false" ht="15" hidden="false" customHeight="true" outlineLevel="0" collapsed="false">
      <c r="B24" s="1" t="s">
        <v>1342</v>
      </c>
      <c r="C24" s="97"/>
      <c r="D24" s="1" t="s">
        <v>1326</v>
      </c>
      <c r="E24" s="23" t="s">
        <v>1343</v>
      </c>
      <c r="F24" s="23" t="n">
        <v>0</v>
      </c>
      <c r="G24" s="98" t="n">
        <f aca="false">IF(ISBLANK(C24),IF(AND(Fill_Example="Yes",F24&lt;&gt;""),F24,0),IF(IF(ISNUMBER(C24),AND(C24&gt;=-5000,C24&lt;=10000),FALSE()),C24,0))</f>
        <v>0</v>
      </c>
      <c r="H24" s="98" t="n">
        <f aca="false">IF(ISBLANK(C24),IF(AND(Fill_Example="Yes",F24&lt;&gt;""),1,0),IF(IF(ISNUMBER(C24),AND(C24&gt;=-5000,C24&lt;=10000),FALSE()),1,0))</f>
        <v>0</v>
      </c>
    </row>
    <row r="25" customFormat="false" ht="15" hidden="false" customHeight="true" outlineLevel="0" collapsed="false">
      <c r="B25" s="1" t="s">
        <v>1344</v>
      </c>
      <c r="C25" s="97"/>
      <c r="D25" s="1" t="s">
        <v>248</v>
      </c>
      <c r="E25" s="23" t="s">
        <v>1345</v>
      </c>
      <c r="F25" s="23" t="n">
        <v>0</v>
      </c>
      <c r="G25" s="98" t="n">
        <f aca="false">IF(ISBLANK(C25),IF(AND(Fill_Example="Yes",F25&lt;&gt;""),F25,0),IF(IF(ISNUMBER(C25),AND(C25&gt;=0,C25&lt;=2000000),FALSE()),C25,0))</f>
        <v>0</v>
      </c>
      <c r="H25" s="98" t="n">
        <f aca="false">IF(ISBLANK(C25),IF(AND(Fill_Example="Yes",F25&lt;&gt;""),1,0),IF(IF(ISNUMBER(C25),AND(C25&gt;=0,C25&lt;=2000000),FALSE()),1,0))</f>
        <v>0</v>
      </c>
    </row>
    <row r="27" customFormat="false" ht="15" hidden="false" customHeight="true" outlineLevel="0" collapsed="false">
      <c r="B27" s="96" t="s">
        <v>1346</v>
      </c>
      <c r="C27" s="96" t="s">
        <v>243</v>
      </c>
      <c r="D27" s="96" t="s">
        <v>244</v>
      </c>
      <c r="E27" s="96" t="s">
        <v>1296</v>
      </c>
      <c r="F27" s="96" t="s">
        <v>1297</v>
      </c>
      <c r="G27" s="96" t="s">
        <v>1298</v>
      </c>
      <c r="H27" s="96" t="s">
        <v>1299</v>
      </c>
    </row>
    <row r="28" customFormat="false" ht="15" hidden="false" customHeight="true" outlineLevel="0" collapsed="false">
      <c r="B28" s="1" t="s">
        <v>1347</v>
      </c>
      <c r="C28" s="97"/>
      <c r="E28" s="23" t="s">
        <v>1348</v>
      </c>
      <c r="F28" s="23" t="s">
        <v>1349</v>
      </c>
      <c r="G28" s="98" t="str">
        <f aca="false">IF(ISBLANK(C28),IF(Fill_Example="Yes",F28,""),IF(ISNUMBER(MATCH(C28,{"Employed","Self-employed","Not working"},0)),C28,""))</f>
        <v/>
      </c>
      <c r="H28" s="98" t="n">
        <f aca="false">IF(G28="",0,1)</f>
        <v>0</v>
      </c>
    </row>
    <row r="29" customFormat="false" ht="15" hidden="false" customHeight="true" outlineLevel="0" collapsed="false">
      <c r="B29" s="1" t="s">
        <v>247</v>
      </c>
      <c r="C29" s="97"/>
      <c r="D29" s="1" t="s">
        <v>248</v>
      </c>
      <c r="E29" s="23" t="s">
        <v>1350</v>
      </c>
      <c r="F29" s="23" t="n">
        <v>58000</v>
      </c>
      <c r="G29" s="98" t="n">
        <f aca="false">IF(ISBLANK(C29),IF(AND(Fill_Example="Yes",F29&lt;&gt;""),F29,0),IF(IF(ISNUMBER(C29),AND(C29&gt;=0,C29&lt;=100000000),FALSE()),C29,0))</f>
        <v>0</v>
      </c>
      <c r="H29" s="98" t="n">
        <f aca="false">IF(ISBLANK(C29),IF(AND(Fill_Example="Yes",F29&lt;&gt;""),1,0),IF(IF(ISNUMBER(C29),AND(C29&gt;=0,C29&lt;=100000000),FALSE()),1,0))</f>
        <v>0</v>
      </c>
    </row>
    <row r="30" customFormat="false" ht="15" hidden="false" customHeight="true" outlineLevel="0" collapsed="false">
      <c r="B30" s="1" t="s">
        <v>250</v>
      </c>
      <c r="C30" s="97"/>
      <c r="D30" s="1" t="s">
        <v>248</v>
      </c>
      <c r="E30" s="23" t="s">
        <v>1351</v>
      </c>
      <c r="F30" s="23" t="n">
        <v>22000</v>
      </c>
      <c r="G30" s="98" t="n">
        <f aca="false">IF(ISBLANK(C30),IF(AND(Fill_Example="Yes",F30&lt;&gt;""),F30,0),IF(IF(ISNUMBER(C30),AND(C30&gt;=0,C30&lt;=100000000),FALSE()),C30,0))</f>
        <v>0</v>
      </c>
      <c r="H30" s="98" t="n">
        <f aca="false">IF(ISBLANK(C30),IF(AND(Fill_Example="Yes",F30&lt;&gt;""),1,0),IF(IF(ISNUMBER(C30),AND(C30&gt;=0,C30&lt;=100000000),FALSE()),1,0))</f>
        <v>0</v>
      </c>
    </row>
    <row r="31" customFormat="false" ht="15" hidden="false" customHeight="true" outlineLevel="0" collapsed="false">
      <c r="B31" s="1" t="s">
        <v>1352</v>
      </c>
      <c r="C31" s="99"/>
      <c r="D31" s="1" t="s">
        <v>343</v>
      </c>
      <c r="E31" s="23" t="s">
        <v>1353</v>
      </c>
      <c r="F31" s="100" t="n">
        <f aca="false">DATE(AS_Year0-37,3,3)</f>
        <v>32935</v>
      </c>
      <c r="G31" s="98" t="n">
        <f aca="true">IF(ISBLANK(C31),IF(AND(Fill_Example="Yes",F31&lt;&gt;""),AS_Year0-YEAR(F31),0),IF(IF(ISNUMBER(C31),IF(C31&lt;=TODAY(),AND(DATEDIF(C31,TODAY(),"Y")&gt;=18,DATEDIF(C31,TODAY(),"Y")&lt;=85),FALSE()),FALSE()),AS_Year0-YEAR(C31),0))</f>
        <v>0</v>
      </c>
      <c r="H31" s="98" t="n">
        <f aca="true">IF(ISBLANK(C31),IF(AND(Fill_Example="Yes",F31&lt;&gt;""),1,0),IF(IF(ISNUMBER(C31),IF(C31&lt;=TODAY(),AND(DATEDIF(C31,TODAY(),"Y")&gt;=18,DATEDIF(C31,TODAY(),"Y")&lt;=85),FALSE()),FALSE()),1,0))</f>
        <v>0</v>
      </c>
    </row>
    <row r="32" customFormat="false" ht="15" hidden="false" customHeight="true" outlineLevel="0" collapsed="false">
      <c r="B32" s="1" t="s">
        <v>1354</v>
      </c>
      <c r="C32" s="97"/>
      <c r="D32" s="1" t="s">
        <v>1326</v>
      </c>
      <c r="E32" s="23" t="s">
        <v>1355</v>
      </c>
      <c r="F32" s="23" t="n">
        <v>0</v>
      </c>
      <c r="G32" s="98" t="n">
        <f aca="false">IF(ISBLANK(C32),IF(AND(Fill_Example="Yes",F32&lt;&gt;""),F32,0),IF(IF(ISNUMBER(C32),AND(C32&gt;=0,C32&lt;=100000000),FALSE()),C32,0))</f>
        <v>0</v>
      </c>
      <c r="H32" s="98" t="n">
        <f aca="false">IF(ISBLANK(C32),IF(AND(Fill_Example="Yes",F32&lt;&gt;""),1,0),IF(IF(ISNUMBER(C32),AND(C32&gt;=0,C32&lt;=100000000),FALSE()),1,0))</f>
        <v>0</v>
      </c>
    </row>
    <row r="33" customFormat="false" ht="15" hidden="false" customHeight="true" outlineLevel="0" collapsed="false">
      <c r="B33" s="1" t="s">
        <v>1356</v>
      </c>
      <c r="C33" s="97"/>
      <c r="D33" s="1" t="s">
        <v>1326</v>
      </c>
      <c r="E33" s="23" t="s">
        <v>1357</v>
      </c>
      <c r="F33" s="23" t="n">
        <v>3600</v>
      </c>
      <c r="G33" s="98" t="n">
        <f aca="false">IF(ISBLANK(C33),IF(AND(Fill_Example="Yes",F33&lt;&gt;""),F33,0),IF(IF(ISNUMBER(C33),AND(C33&gt;=0,C33&lt;=100000000),FALSE()),C33,0))</f>
        <v>0</v>
      </c>
      <c r="H33" s="98" t="n">
        <f aca="false">IF(ISBLANK(C33),IF(AND(Fill_Example="Yes",F33&lt;&gt;""),1,0),IF(IF(ISNUMBER(C33),AND(C33&gt;=0,C33&lt;=100000000),FALSE()),1,0))</f>
        <v>0</v>
      </c>
    </row>
    <row r="34" customFormat="false" ht="15" hidden="false" customHeight="true" outlineLevel="0" collapsed="false">
      <c r="B34" s="1" t="s">
        <v>1358</v>
      </c>
      <c r="C34" s="97"/>
      <c r="D34" s="1" t="s">
        <v>248</v>
      </c>
      <c r="E34" s="23" t="s">
        <v>1359</v>
      </c>
      <c r="F34" s="23" t="n">
        <v>1800</v>
      </c>
      <c r="G34" s="98" t="n">
        <f aca="false">IF(ISBLANK(C34),IF(AND(Fill_Example="Yes",F34&lt;&gt;""),F34,0),IF(IF(ISNUMBER(C34),AND(C34&gt;=0,C34&lt;=100000000),FALSE()),C34,0))</f>
        <v>0</v>
      </c>
      <c r="H34" s="98" t="n">
        <f aca="false">IF(ISBLANK(C34),IF(AND(Fill_Example="Yes",F34&lt;&gt;""),1,0),IF(IF(ISNUMBER(C34),AND(C34&gt;=0,C34&lt;=100000000),FALSE()),1,0))</f>
        <v>0</v>
      </c>
    </row>
    <row r="35" customFormat="false" ht="15" hidden="false" customHeight="true" outlineLevel="0" collapsed="false">
      <c r="B35" s="1" t="s">
        <v>1360</v>
      </c>
      <c r="C35" s="97"/>
      <c r="D35" s="1" t="s">
        <v>248</v>
      </c>
      <c r="E35" s="23" t="s">
        <v>1361</v>
      </c>
      <c r="F35" s="23"/>
      <c r="G35" s="98" t="n">
        <f aca="false">IF(ISBLANK(C35),IF(AND(Fill_Example="Yes",F35&lt;&gt;""),F35,0),IF(IF(ISNUMBER(C35),AND(C35&gt;=0,C35&lt;=100000000),FALSE()),C35,0))</f>
        <v>0</v>
      </c>
      <c r="H35" s="98" t="n">
        <f aca="false">IF(ISBLANK(C35),IF(AND(Fill_Example="Yes",F35&lt;&gt;""),1,0),IF(IF(ISNUMBER(C35),AND(C35&gt;=0,C35&lt;=100000000),FALSE()),1,0))</f>
        <v>0</v>
      </c>
    </row>
    <row r="36" customFormat="false" ht="15" hidden="false" customHeight="true" outlineLevel="0" collapsed="false">
      <c r="B36" s="1" t="s">
        <v>1362</v>
      </c>
      <c r="C36" s="97"/>
      <c r="D36" s="1" t="s">
        <v>1326</v>
      </c>
      <c r="E36" s="23" t="s">
        <v>1363</v>
      </c>
      <c r="F36" s="23"/>
      <c r="G36" s="98" t="n">
        <f aca="false">IF(ISBLANK(C36),IF(AND(Fill_Example="Yes",F36&lt;&gt;""),F36,0),IF(IF(ISNUMBER(C36),AND(C36&gt;=0,C36&lt;=100000000),FALSE()),C36,0))</f>
        <v>0</v>
      </c>
      <c r="H36" s="98" t="n">
        <f aca="false">IF(ISBLANK(C36),IF(AND(Fill_Example="Yes",F36&lt;&gt;""),1,0),IF(IF(ISNUMBER(C36),AND(C36&gt;=0,C36&lt;=100000000),FALSE()),1,0))</f>
        <v>0</v>
      </c>
    </row>
    <row r="37" customFormat="false" ht="15" hidden="false" customHeight="true" outlineLevel="0" collapsed="false">
      <c r="B37" s="1" t="s">
        <v>1364</v>
      </c>
      <c r="C37" s="97"/>
      <c r="E37" s="23" t="s">
        <v>1365</v>
      </c>
      <c r="F37" s="23" t="s">
        <v>1366</v>
      </c>
      <c r="G37" s="98" t="str">
        <f aca="false">IF(ISBLANK(C37),IF(Fill_Example="Yes",F37,""),IF(ISNUMBER(MATCH(C37,{"Own outright","Own with mortgage","Rent","Live with family"},0)),C37,""))</f>
        <v/>
      </c>
      <c r="H37" s="98" t="n">
        <f aca="false">IF(G37="",0,1)</f>
        <v>0</v>
      </c>
    </row>
    <row r="38" customFormat="false" ht="15" hidden="false" customHeight="true" outlineLevel="0" collapsed="false">
      <c r="B38" s="1" t="s">
        <v>551</v>
      </c>
      <c r="C38" s="97"/>
      <c r="D38" s="1" t="s">
        <v>248</v>
      </c>
      <c r="E38" s="23" t="s">
        <v>1367</v>
      </c>
      <c r="F38" s="23" t="n">
        <v>420000</v>
      </c>
      <c r="G38" s="98" t="n">
        <f aca="false">IF(ISBLANK(C38),IF(AND(Fill_Example="Yes",F38&lt;&gt;""),F38,0),IF(IF(ISNUMBER(C38),AND(C38&gt;=0,C38&lt;=100000000),FALSE()),C38,0))</f>
        <v>0</v>
      </c>
      <c r="H38" s="98" t="n">
        <f aca="false">IF(ISBLANK(C38),IF(AND(Fill_Example="Yes",F38&lt;&gt;""),1,0),IF(IF(ISNUMBER(C38),AND(C38&gt;=0,C38&lt;=100000000),FALSE()),1,0))</f>
        <v>0</v>
      </c>
    </row>
    <row r="39" customFormat="false" ht="15" hidden="false" customHeight="true" outlineLevel="0" collapsed="false">
      <c r="B39" s="1" t="s">
        <v>1368</v>
      </c>
      <c r="C39" s="97"/>
      <c r="D39" s="1" t="s">
        <v>248</v>
      </c>
      <c r="E39" s="23" t="s">
        <v>1369</v>
      </c>
      <c r="F39" s="23" t="n">
        <v>9000</v>
      </c>
      <c r="G39" s="98" t="n">
        <f aca="false">IF(ISBLANK(C39),IF(AND(Fill_Example="Yes",F39&lt;&gt;""),F39,0),IF(IF(ISNUMBER(C39),AND(C39&gt;=0,C39&lt;=100000000),FALSE()),C39,0))</f>
        <v>0</v>
      </c>
      <c r="H39" s="98" t="n">
        <f aca="false">IF(ISBLANK(C39),IF(AND(Fill_Example="Yes",F39&lt;&gt;""),1,0),IF(IF(ISNUMBER(C39),AND(C39&gt;=0,C39&lt;=100000000),FALSE()),1,0))</f>
        <v>0</v>
      </c>
    </row>
    <row r="40" customFormat="false" ht="15" hidden="false" customHeight="true" outlineLevel="0" collapsed="false">
      <c r="B40" s="1" t="s">
        <v>56</v>
      </c>
      <c r="C40" s="97"/>
      <c r="D40" s="1" t="s">
        <v>248</v>
      </c>
      <c r="E40" s="23" t="s">
        <v>1370</v>
      </c>
      <c r="F40" s="23" t="n">
        <v>6200</v>
      </c>
      <c r="G40" s="98" t="n">
        <f aca="false">IF(ISBLANK(C40),IF(AND(Fill_Example="Yes",F40&lt;&gt;""),F40,0),IF(IF(ISNUMBER(C40),AND(C40&gt;=0,C40&lt;=100000000),FALSE()),C40,0))</f>
        <v>0</v>
      </c>
      <c r="H40" s="98" t="n">
        <f aca="false">IF(ISBLANK(C40),IF(AND(Fill_Example="Yes",F40&lt;&gt;""),1,0),IF(IF(ISNUMBER(C40),AND(C40&gt;=0,C40&lt;=100000000),FALSE()),1,0))</f>
        <v>0</v>
      </c>
    </row>
    <row r="41" customFormat="false" ht="15" hidden="false" customHeight="true" outlineLevel="0" collapsed="false">
      <c r="B41" s="1" t="s">
        <v>1371</v>
      </c>
      <c r="C41" s="97"/>
      <c r="D41" s="1" t="s">
        <v>248</v>
      </c>
      <c r="E41" s="23" t="s">
        <v>1372</v>
      </c>
      <c r="F41" s="23" t="n">
        <v>203700</v>
      </c>
      <c r="G41" s="98" t="n">
        <f aca="false">IF(ISBLANK(C41),IF(AND(Fill_Example="Yes",F41&lt;&gt;""),F41,0),IF(IF(ISNUMBER(C41),AND(C41&gt;=0,C41&lt;=100000000),FALSE()),C41,0))</f>
        <v>0</v>
      </c>
      <c r="H41" s="98" t="n">
        <f aca="false">IF(ISBLANK(C41),IF(AND(Fill_Example="Yes",F41&lt;&gt;""),1,0),IF(IF(ISNUMBER(C41),AND(C41&gt;=0,C41&lt;=100000000),FALSE()),1,0))</f>
        <v>0</v>
      </c>
    </row>
    <row r="42" customFormat="false" ht="15" hidden="false" customHeight="true" outlineLevel="0" collapsed="false">
      <c r="B42" s="1" t="s">
        <v>1373</v>
      </c>
      <c r="C42" s="97"/>
      <c r="D42" s="1" t="s">
        <v>1317</v>
      </c>
      <c r="E42" s="23" t="s">
        <v>1374</v>
      </c>
      <c r="F42" s="23" t="n">
        <v>0.0385</v>
      </c>
      <c r="G42" s="98" t="n">
        <f aca="false">IF(ISBLANK(C42),IF(AND(Fill_Example="Yes",F42&lt;&gt;""),F42,0),IF(IF(ISNUMBER(C42),AND(C42&gt;=0,C42&lt;=0.3),FALSE()),C42,0))</f>
        <v>0</v>
      </c>
      <c r="H42" s="98" t="n">
        <f aca="false">IF(ISBLANK(C42),IF(AND(Fill_Example="Yes",F42&lt;&gt;""),1,0),IF(IF(ISNUMBER(C42),AND(C42&gt;=0,C42&lt;=0.3),FALSE()),1,0))</f>
        <v>0</v>
      </c>
    </row>
    <row r="43" customFormat="false" ht="15" hidden="false" customHeight="true" outlineLevel="0" collapsed="false">
      <c r="B43" s="1" t="s">
        <v>1375</v>
      </c>
      <c r="C43" s="97"/>
      <c r="D43" s="1" t="s">
        <v>1326</v>
      </c>
      <c r="E43" s="23" t="s">
        <v>1376</v>
      </c>
      <c r="F43" s="23" t="n">
        <v>1180</v>
      </c>
      <c r="G43" s="98" t="n">
        <f aca="false">IF(ISBLANK(C43),IF(AND(Fill_Example="Yes",F43&lt;&gt;""),F43,0),IF(IF(ISNUMBER(C43),AND(C43&gt;=0,C43&lt;=100000000),FALSE()),C43,0))</f>
        <v>0</v>
      </c>
      <c r="H43" s="98" t="n">
        <f aca="false">IF(ISBLANK(C43),IF(AND(Fill_Example="Yes",F43&lt;&gt;""),1,0),IF(IF(ISNUMBER(C43),AND(C43&gt;=0,C43&lt;=100000000),FALSE()),1,0))</f>
        <v>0</v>
      </c>
    </row>
    <row r="44" customFormat="false" ht="15" hidden="false" customHeight="true" outlineLevel="0" collapsed="false">
      <c r="B44" s="1" t="s">
        <v>1377</v>
      </c>
      <c r="C44" s="97"/>
      <c r="D44" s="1" t="s">
        <v>261</v>
      </c>
      <c r="E44" s="23" t="s">
        <v>1378</v>
      </c>
      <c r="F44" s="23" t="n">
        <v>21</v>
      </c>
      <c r="G44" s="98" t="n">
        <f aca="false">IF(ISBLANK(C44),IF(AND(Fill_Example="Yes",F44&lt;&gt;""),F44,0),IF(IF(ISNUMBER(C44),AND(C44&gt;=1,C44&lt;=40,C44=INT(C44)),FALSE()),C44,0))</f>
        <v>0</v>
      </c>
      <c r="H44" s="98" t="n">
        <f aca="false">IF(ISBLANK(C44),IF(AND(Fill_Example="Yes",F44&lt;&gt;""),1,0),IF(IF(ISNUMBER(C44),AND(C44&gt;=1,C44&lt;=40,C44=INT(C44)),FALSE()),1,0))</f>
        <v>0</v>
      </c>
    </row>
    <row r="45" customFormat="false" ht="15" hidden="false" customHeight="true" outlineLevel="0" collapsed="false">
      <c r="B45" s="1" t="s">
        <v>1379</v>
      </c>
      <c r="C45" s="97"/>
      <c r="D45" s="1" t="s">
        <v>248</v>
      </c>
      <c r="E45" s="23" t="s">
        <v>1380</v>
      </c>
      <c r="F45" s="23" t="n">
        <v>400</v>
      </c>
      <c r="G45" s="98" t="n">
        <f aca="false">IF(COUNT(Cards_Owed_Rng)&gt;0,SUM(Cards_Owed_Rng),IF(ISBLANK(C45),IF(AND(Fill_Example="Yes",F45&lt;&gt;""),F45,0),IF(IF(ISNUMBER(C45),AND(C45&gt;=0,C45&lt;=100000000),FALSE()),C45,0)))</f>
        <v>0</v>
      </c>
      <c r="H45" s="98" t="n">
        <f aca="false">IF(COUNT(Cards_Owed_Rng)&gt;0,1,IF(ISBLANK(C45),IF(AND(Fill_Example="Yes",F45&lt;&gt;""),1,0),IF(IF(ISNUMBER(C45),AND(C45&gt;=0,C45&lt;=100000000),FALSE()),1,0)))</f>
        <v>0</v>
      </c>
    </row>
    <row r="46" customFormat="false" ht="15" hidden="false" customHeight="true" outlineLevel="0" collapsed="false">
      <c r="B46" s="1" t="s">
        <v>1381</v>
      </c>
      <c r="C46" s="97"/>
      <c r="D46" s="1" t="s">
        <v>1326</v>
      </c>
      <c r="E46" s="23" t="s">
        <v>1382</v>
      </c>
      <c r="F46" s="23" t="n">
        <v>40</v>
      </c>
      <c r="G46" s="98" t="n">
        <f aca="false">IF(COUNT(Cards_Pay_Rng)&gt;0,SUM(Cards_Pay_Rng),IF(ISBLANK(C46),IF(AND(Fill_Example="Yes",F46&lt;&gt;""),F46,0),IF(IF(ISNUMBER(C46),AND(C46&gt;=0,C46&lt;=100000000),FALSE()),C46,0)))</f>
        <v>0</v>
      </c>
      <c r="H46" s="98" t="n">
        <f aca="false">IF(COUNT(Cards_Pay_Rng)&gt;0,1,IF(ISBLANK(C46),IF(AND(Fill_Example="Yes",F46&lt;&gt;""),1,0),IF(IF(ISNUMBER(C46),AND(C46&gt;=0,C46&lt;=100000000),FALSE()),1,0)))</f>
        <v>0</v>
      </c>
    </row>
    <row r="47" customFormat="false" ht="15" hidden="false" customHeight="true" outlineLevel="0" collapsed="false">
      <c r="B47" s="1" t="s">
        <v>1383</v>
      </c>
      <c r="C47" s="97"/>
      <c r="D47" s="1" t="s">
        <v>1317</v>
      </c>
      <c r="E47" s="23" t="s">
        <v>1384</v>
      </c>
      <c r="F47" s="23"/>
      <c r="G47" s="98" t="n">
        <f aca="false">IF(ISNUMBER(Cards_Rate_Avg),ROUND(Cards_Rate_Avg,6),IF(ISBLANK(C47),IF(AND(Fill_Example="Yes",F47&lt;&gt;""),F47,0),IF(IF(ISNUMBER(C47),AND(C47&gt;=0,C47&lt;=0.3),FALSE()),C47,0)))</f>
        <v>0</v>
      </c>
      <c r="H47" s="98" t="n">
        <f aca="false">IF(ISBLANK(C47),IF(AND(Fill_Example="Yes",F47&lt;&gt;""),1,0),IF(IF(ISNUMBER(C47),AND(C47&gt;=0,C47&lt;=0.3),FALSE()),1,0))</f>
        <v>0</v>
      </c>
    </row>
    <row r="48" customFormat="false" ht="15" hidden="false" customHeight="true" outlineLevel="0" collapsed="false">
      <c r="B48" s="1" t="s">
        <v>1385</v>
      </c>
      <c r="C48" s="97"/>
      <c r="D48" s="1" t="s">
        <v>248</v>
      </c>
      <c r="E48" s="23" t="s">
        <v>1386</v>
      </c>
      <c r="F48" s="23" t="n">
        <v>3500</v>
      </c>
      <c r="G48" s="98" t="n">
        <f aca="false">IF(COUNT(Loans_Owed_Rng)&gt;0,SUM(Loans_Owed_Rng),IF(ISBLANK(C48),IF(AND(Fill_Example="Yes",F48&lt;&gt;""),F48,0),IF(IF(ISNUMBER(C48),AND(C48&gt;=0,C48&lt;=100000000),FALSE()),C48,0)))</f>
        <v>0</v>
      </c>
      <c r="H48" s="98" t="n">
        <f aca="false">IF(COUNT(Loans_Owed_Rng)&gt;0,1,IF(ISBLANK(C48),IF(AND(Fill_Example="Yes",F48&lt;&gt;""),1,0),IF(IF(ISNUMBER(C48),AND(C48&gt;=0,C48&lt;=100000000),FALSE()),1,0)))</f>
        <v>0</v>
      </c>
    </row>
    <row r="49" customFormat="false" ht="15" hidden="false" customHeight="true" outlineLevel="0" collapsed="false">
      <c r="B49" s="1" t="s">
        <v>1387</v>
      </c>
      <c r="C49" s="97"/>
      <c r="D49" s="1" t="s">
        <v>1326</v>
      </c>
      <c r="E49" s="23" t="s">
        <v>1388</v>
      </c>
      <c r="F49" s="23" t="n">
        <v>100</v>
      </c>
      <c r="G49" s="98" t="n">
        <f aca="false">IF(COUNT(Loans_Pay_Rng)&gt;0,SUM(Loans_Pay_Rng),IF(ISBLANK(C49),IF(AND(Fill_Example="Yes",F49&lt;&gt;""),F49,0),IF(IF(ISNUMBER(C49),AND(C49&gt;=0,C49&lt;=100000000),FALSE()),C49,0)))</f>
        <v>0</v>
      </c>
      <c r="H49" s="98" t="n">
        <f aca="false">IF(COUNT(Loans_Pay_Rng)&gt;0,1,IF(ISBLANK(C49),IF(AND(Fill_Example="Yes",F49&lt;&gt;""),1,0),IF(IF(ISNUMBER(C49),AND(C49&gt;=0,C49&lt;=100000000),FALSE()),1,0)))</f>
        <v>0</v>
      </c>
    </row>
    <row r="50" customFormat="false" ht="15" hidden="false" customHeight="true" outlineLevel="0" collapsed="false">
      <c r="B50" s="1" t="s">
        <v>1389</v>
      </c>
      <c r="C50" s="97"/>
      <c r="D50" s="1" t="s">
        <v>1317</v>
      </c>
      <c r="E50" s="23" t="s">
        <v>1390</v>
      </c>
      <c r="F50" s="23"/>
      <c r="G50" s="98" t="n">
        <f aca="false">IF(ISNUMBER(Loans_Rate_Avg),ROUND(Loans_Rate_Avg,6),IF(ISBLANK(C50),IF(AND(Fill_Example="Yes",F50&lt;&gt;""),F50,0),IF(IF(ISNUMBER(C50),AND(C50&gt;=0,C50&lt;=0.3),FALSE()),C50,0)))</f>
        <v>0</v>
      </c>
      <c r="H50" s="98" t="n">
        <f aca="false">IF(ISBLANK(C50),IF(AND(Fill_Example="Yes",F50&lt;&gt;""),1,0),IF(IF(ISNUMBER(C50),AND(C50&gt;=0,C50&lt;=0.3),FALSE()),1,0))</f>
        <v>0</v>
      </c>
    </row>
    <row r="51" customFormat="false" ht="15" hidden="false" customHeight="true" outlineLevel="0" collapsed="false">
      <c r="B51" s="1" t="s">
        <v>1391</v>
      </c>
      <c r="C51" s="97"/>
      <c r="D51" s="1" t="s">
        <v>248</v>
      </c>
      <c r="E51" s="23" t="s">
        <v>1392</v>
      </c>
      <c r="F51" s="23" t="n">
        <v>0</v>
      </c>
      <c r="G51" s="98" t="n">
        <f aca="false">IF(ISBLANK(C51),IF(AND(Fill_Example="Yes",F51&lt;&gt;""),F51,0),IF(IF(ISNUMBER(C51),AND(C51&gt;=0,C51&lt;=100000000),FALSE()),C51,0))</f>
        <v>0</v>
      </c>
      <c r="H51" s="98" t="n">
        <f aca="false">IF(ISBLANK(C51),IF(AND(Fill_Example="Yes",F51&lt;&gt;""),1,0),IF(IF(ISNUMBER(C51),AND(C51&gt;=0,C51&lt;=100000000),FALSE()),1,0))</f>
        <v>0</v>
      </c>
    </row>
    <row r="52" customFormat="false" ht="15" hidden="false" customHeight="true" outlineLevel="0" collapsed="false">
      <c r="B52" s="1" t="s">
        <v>1393</v>
      </c>
      <c r="C52" s="97"/>
      <c r="D52" s="1" t="s">
        <v>1326</v>
      </c>
      <c r="E52" s="23" t="s">
        <v>1394</v>
      </c>
      <c r="F52" s="23" t="n">
        <v>0</v>
      </c>
      <c r="G52" s="98" t="n">
        <f aca="false">IF(ISBLANK(C52),IF(AND(Fill_Example="Yes",F52&lt;&gt;""),F52,0),IF(IF(ISNUMBER(C52),AND(C52&gt;=0,C52&lt;=100000000),FALSE()),C52,0))</f>
        <v>0</v>
      </c>
      <c r="H52" s="98" t="n">
        <f aca="false">IF(ISBLANK(C52),IF(AND(Fill_Example="Yes",F52&lt;&gt;""),1,0),IF(IF(ISNUMBER(C52),AND(C52&gt;=0,C52&lt;=100000000),FALSE()),1,0))</f>
        <v>0</v>
      </c>
    </row>
    <row r="53" customFormat="false" ht="15" hidden="false" customHeight="true" outlineLevel="0" collapsed="false">
      <c r="B53" s="1" t="s">
        <v>1395</v>
      </c>
      <c r="C53" s="97"/>
      <c r="D53" s="1" t="s">
        <v>248</v>
      </c>
      <c r="E53" s="23" t="s">
        <v>1396</v>
      </c>
      <c r="F53" s="23" t="n">
        <v>72000</v>
      </c>
      <c r="G53" s="98" t="n">
        <f aca="false">IF(COUNT(Pens_Value_Rng)&gt;0,SUM(Pens_Value_Rng),IF(ISBLANK(C53),IF(AND(Fill_Example="Yes",F53&lt;&gt;""),F53,0),IF(IF(ISNUMBER(C53),AND(C53&gt;=0,C53&lt;=100000000),FALSE()),C53,0)))</f>
        <v>0</v>
      </c>
      <c r="H53" s="98" t="n">
        <f aca="false">IF(COUNT(Pens_Value_Rng)&gt;0,1,IF(ISBLANK(C53),IF(AND(Fill_Example="Yes",F53&lt;&gt;""),1,0),IF(IF(ISNUMBER(C53),AND(C53&gt;=0,C53&lt;=100000000),FALSE()),1,0)))</f>
        <v>0</v>
      </c>
    </row>
    <row r="54" customFormat="false" ht="15" hidden="false" customHeight="true" outlineLevel="0" collapsed="false">
      <c r="B54" s="1" t="s">
        <v>1397</v>
      </c>
      <c r="C54" s="97"/>
      <c r="D54" s="1" t="s">
        <v>1326</v>
      </c>
      <c r="E54" s="23" t="s">
        <v>1398</v>
      </c>
      <c r="F54" s="23" t="n">
        <v>520</v>
      </c>
      <c r="G54" s="98" t="n">
        <f aca="false">IF(COUNT(Pens_Monthly_Rng)&gt;0,SUM(Pens_Monthly_Rng),IF(ISBLANK(C54),IF(AND(Fill_Example="Yes",F54&lt;&gt;""),F54,0),IF(IF(ISNUMBER(C54),AND(C54&gt;=0,C54&lt;=100000000),FALSE()),C54,0)))</f>
        <v>0</v>
      </c>
      <c r="H54" s="98" t="n">
        <f aca="false">IF(COUNT(Pens_Monthly_Rng)&gt;0,1,IF(ISBLANK(C54),IF(AND(Fill_Example="Yes",F54&lt;&gt;""),1,0),IF(IF(ISNUMBER(C54),AND(C54&gt;=0,C54&lt;=100000000),FALSE()),1,0)))</f>
        <v>0</v>
      </c>
    </row>
    <row r="55" customFormat="false" ht="15" hidden="false" customHeight="true" outlineLevel="0" collapsed="false">
      <c r="B55" s="1" t="s">
        <v>1399</v>
      </c>
      <c r="C55" s="97"/>
      <c r="D55" s="1" t="s">
        <v>1326</v>
      </c>
      <c r="E55" s="23" t="s">
        <v>1400</v>
      </c>
      <c r="F55" s="23"/>
      <c r="G55" s="98" t="n">
        <f aca="false">IF(COUNT(Pens_Monthly_Rng)&gt;0,IF(Pens_OwnGiven=1,Pens_Own_Total,0),IF(ISBLANK(C55),IF(AND(Fill_Example="Yes",F55&lt;&gt;""),F55,0),IF(IF(ISNUMBER(C55),AND(C55&gt;=0,C55&lt;=100000000),FALSE()),C55,0)))</f>
        <v>0</v>
      </c>
      <c r="H55" s="98" t="n">
        <f aca="false">IF(COUNT(Pens_Monthly_Rng)&gt;0,Pens_OwnGiven,IF(ISBLANK(C55),IF(AND(Fill_Example="Yes",F55&lt;&gt;""),1,0),IF(IF(ISNUMBER(C55),AND(C55&gt;=0,C55&lt;=100000000),FALSE()),1,0)))</f>
        <v>0</v>
      </c>
    </row>
    <row r="56" customFormat="false" ht="15" hidden="false" customHeight="true" outlineLevel="0" collapsed="false">
      <c r="B56" s="1" t="s">
        <v>1401</v>
      </c>
      <c r="C56" s="97"/>
      <c r="D56" s="1" t="s">
        <v>1317</v>
      </c>
      <c r="E56" s="23" t="s">
        <v>1402</v>
      </c>
      <c r="F56" s="23"/>
      <c r="G56" s="98" t="n">
        <f aca="false">IF(ISBLANK(C56),IF(AND(Fill_Example="Yes",F56&lt;&gt;""),F56,0),IF(IF(ISNUMBER(C56),AND(C56&gt;=0,C56&lt;=0.05),FALSE()),C56,0))</f>
        <v>0</v>
      </c>
      <c r="H56" s="98" t="n">
        <f aca="false">IF(ISBLANK(C56),IF(AND(Fill_Example="Yes",F56&lt;&gt;""),1,0),IF(IF(ISNUMBER(C56),AND(C56&gt;=0,C56&lt;=0.05),FALSE()),1,0))</f>
        <v>0</v>
      </c>
    </row>
    <row r="57" customFormat="false" ht="15" hidden="false" customHeight="true" outlineLevel="0" collapsed="false">
      <c r="B57" s="1" t="s">
        <v>1403</v>
      </c>
      <c r="C57" s="97"/>
      <c r="E57" s="23" t="s">
        <v>1404</v>
      </c>
      <c r="F57" s="23"/>
      <c r="G57" s="98" t="str">
        <f aca="false">IF(ISBLANK(C57),IF(Fill_Example="Yes",F57,""),IF(ISNUMBER(MATCH(C57,{"Yes","No","Not sure"},0)),C57,""))</f>
        <v/>
      </c>
      <c r="H57" s="98" t="n">
        <f aca="false">IF(G57="",0,1)</f>
        <v>0</v>
      </c>
    </row>
    <row r="58" customFormat="false" ht="15" hidden="false" customHeight="true" outlineLevel="0" collapsed="false">
      <c r="B58" s="1" t="s">
        <v>1405</v>
      </c>
      <c r="C58" s="97"/>
      <c r="E58" s="23" t="s">
        <v>1406</v>
      </c>
      <c r="F58" s="23" t="s">
        <v>1407</v>
      </c>
      <c r="G58" s="98" t="str">
        <f aca="false">IF(ISBLANK(C58),IF(Fill_Example="Yes",F58,""),IF(ISNUMBER(MATCH(C58,{"Expect full","Partly","Not sure"},0)),C58,""))</f>
        <v/>
      </c>
      <c r="H58" s="98" t="n">
        <f aca="false">IF(G58="",0,1)</f>
        <v>0</v>
      </c>
    </row>
    <row r="59" customFormat="false" ht="15" hidden="false" customHeight="true" outlineLevel="0" collapsed="false">
      <c r="B59" s="1" t="s">
        <v>1408</v>
      </c>
      <c r="C59" s="97"/>
      <c r="D59" s="1" t="s">
        <v>261</v>
      </c>
      <c r="E59" s="23" t="s">
        <v>1409</v>
      </c>
      <c r="F59" s="23"/>
      <c r="G59" s="98" t="n">
        <f aca="false">IF(ISBLANK(C59),IF(AND(Fill_Example="Yes",F59&lt;&gt;""),F59,0),IF(IF(ISNUMBER(C59),AND(C59&gt;=0,C59&lt;=45,C59=INT(C59)),FALSE()),C59,0))</f>
        <v>0</v>
      </c>
      <c r="H59" s="98" t="n">
        <f aca="false">IF(ISBLANK(C59),IF(AND(Fill_Example="Yes",F59&lt;&gt;""),1,0),IF(IF(ISNUMBER(C59),AND(C59&gt;=0,C59&lt;=45,C59=INT(C59)),FALSE()),1,0))</f>
        <v>0</v>
      </c>
    </row>
    <row r="60" customFormat="false" ht="15" hidden="false" customHeight="true" outlineLevel="0" collapsed="false">
      <c r="B60" s="1" t="s">
        <v>1410</v>
      </c>
      <c r="C60" s="97"/>
      <c r="E60" s="23" t="s">
        <v>1411</v>
      </c>
      <c r="F60" s="23"/>
      <c r="G60" s="98" t="str">
        <f aca="false">IF(ISBLANK(C60),IF(Fill_Example="Yes",F60,""),IF(ISNUMBER(MATCH(C60,{"Own full","Own partial","Qualified adult increase","None","Not sure"},0)),C60,""))</f>
        <v/>
      </c>
      <c r="H60" s="98" t="n">
        <f aca="false">IF(G60="",0,1)</f>
        <v>0</v>
      </c>
    </row>
    <row r="61" customFormat="false" ht="15" hidden="false" customHeight="true" outlineLevel="0" collapsed="false">
      <c r="B61" s="1" t="s">
        <v>1412</v>
      </c>
      <c r="C61" s="97"/>
      <c r="E61" s="23" t="s">
        <v>1413</v>
      </c>
      <c r="F61" s="23" t="s">
        <v>257</v>
      </c>
      <c r="G61" s="98" t="str">
        <f aca="false">IF(ISBLANK(C61),IF(Fill_Example="Yes",F61,""),IF(ISNUMBER(MATCH(C61,{"Yes","No","Not sure"},0)),C61,""))</f>
        <v/>
      </c>
      <c r="H61" s="98" t="n">
        <f aca="false">IF(G61="",0,1)</f>
        <v>0</v>
      </c>
    </row>
    <row r="62" customFormat="false" ht="15" hidden="false" customHeight="true" outlineLevel="0" collapsed="false">
      <c r="B62" s="1" t="s">
        <v>1414</v>
      </c>
      <c r="C62" s="97"/>
      <c r="E62" s="23" t="s">
        <v>1415</v>
      </c>
      <c r="F62" s="23" t="s">
        <v>3</v>
      </c>
      <c r="G62" s="98" t="str">
        <f aca="false">IF(ISBLANK(C62),IF(Fill_Example="Yes",F62,""),IF(ISNUMBER(MATCH(C62,{"Yes","No","Not sure"},0)),C62,""))</f>
        <v/>
      </c>
      <c r="H62" s="98" t="n">
        <f aca="false">IF(G62="",0,1)</f>
        <v>0</v>
      </c>
    </row>
    <row r="63" customFormat="false" ht="15" hidden="false" customHeight="true" outlineLevel="0" collapsed="false">
      <c r="B63" s="1" t="s">
        <v>1416</v>
      </c>
      <c r="C63" s="97"/>
      <c r="E63" s="23" t="s">
        <v>1417</v>
      </c>
      <c r="F63" s="23" t="s">
        <v>1418</v>
      </c>
      <c r="G63" s="98" t="str">
        <f aca="false">IF(ISBLANK(C63),IF(Fill_Example="Yes",F63,""),IF(ISNUMBER(MATCH(C63,{"Yes","No","Not sure"},0)),C63,""))</f>
        <v/>
      </c>
      <c r="H63" s="98" t="n">
        <f aca="false">IF(G63="",0,1)</f>
        <v>0</v>
      </c>
    </row>
    <row r="64" customFormat="false" ht="15" hidden="false" customHeight="true" outlineLevel="0" collapsed="false">
      <c r="B64" s="1" t="s">
        <v>1419</v>
      </c>
      <c r="C64" s="97"/>
      <c r="E64" s="23" t="s">
        <v>1420</v>
      </c>
      <c r="F64" s="23" t="s">
        <v>257</v>
      </c>
      <c r="G64" s="98" t="str">
        <f aca="false">IF(ISBLANK(C64),IF(Fill_Example="Yes",F64,""),IF(ISNUMBER(MATCH(C64,{"Yes","No","Not sure"},0)),C64,""))</f>
        <v/>
      </c>
      <c r="H64" s="98" t="n">
        <f aca="false">IF(G64="",0,1)</f>
        <v>0</v>
      </c>
    </row>
    <row r="65" customFormat="false" ht="15" hidden="false" customHeight="true" outlineLevel="0" collapsed="false">
      <c r="B65" s="1" t="s">
        <v>1421</v>
      </c>
      <c r="C65" s="97"/>
      <c r="E65" s="23" t="s">
        <v>1422</v>
      </c>
      <c r="F65" s="23" t="s">
        <v>257</v>
      </c>
      <c r="G65" s="98" t="str">
        <f aca="false">IF(ISBLANK(C65),IF(Fill_Example="Yes",F65,""),IF(ISNUMBER(MATCH(C65,{"Yes","No","Not sure"},0)),C65,""))</f>
        <v/>
      </c>
      <c r="H65" s="98" t="n">
        <f aca="false">IF(G65="",0,1)</f>
        <v>0</v>
      </c>
    </row>
    <row r="67" customFormat="false" ht="15" hidden="false" customHeight="true" outlineLevel="0" collapsed="false">
      <c r="B67" s="96" t="s">
        <v>1423</v>
      </c>
      <c r="C67" s="96" t="s">
        <v>243</v>
      </c>
      <c r="D67" s="96" t="s">
        <v>244</v>
      </c>
      <c r="E67" s="96" t="s">
        <v>1296</v>
      </c>
      <c r="F67" s="96" t="s">
        <v>1297</v>
      </c>
      <c r="G67" s="96" t="s">
        <v>1298</v>
      </c>
      <c r="H67" s="96" t="s">
        <v>1299</v>
      </c>
    </row>
    <row r="68" customFormat="false" ht="15" hidden="false" customHeight="true" outlineLevel="0" collapsed="false">
      <c r="B68" s="1" t="s">
        <v>1424</v>
      </c>
      <c r="C68" s="97"/>
      <c r="E68" s="23" t="s">
        <v>1425</v>
      </c>
      <c r="F68" s="23"/>
      <c r="G68" s="98" t="str">
        <f aca="false">IF(ISBLANK(C68),IF(Fill_Example="Yes",F68,""),IF(ISNUMBER(MATCH(C68,{"Yes","No"},0)),C68,""))</f>
        <v/>
      </c>
      <c r="H68" s="98" t="n">
        <f aca="false">IF(G68="",0,1)</f>
        <v>0</v>
      </c>
    </row>
    <row r="69" customFormat="false" ht="15" hidden="false" customHeight="true" outlineLevel="0" collapsed="false">
      <c r="B69" s="1" t="s">
        <v>1426</v>
      </c>
      <c r="C69" s="97"/>
      <c r="E69" s="23" t="s">
        <v>1427</v>
      </c>
      <c r="F69" s="23"/>
      <c r="G69" s="98" t="str">
        <f aca="false">IF(ISBLANK(C69),IF(Fill_Example="Yes",F69,""),IF(TRUE(),C69,""))</f>
        <v/>
      </c>
      <c r="H69" s="98" t="n">
        <f aca="false">IF(G69="",0,1)</f>
        <v>0</v>
      </c>
    </row>
    <row r="70" customFormat="false" ht="15" hidden="false" customHeight="true" outlineLevel="0" collapsed="false">
      <c r="B70" s="1" t="s">
        <v>1428</v>
      </c>
      <c r="C70" s="97"/>
      <c r="E70" s="23" t="s">
        <v>1429</v>
      </c>
      <c r="F70" s="23"/>
      <c r="G70" s="98" t="str">
        <f aca="false">IF(ISBLANK(C70),IF(Fill_Example="Yes",F70,""),IF(ISNUMBER(MATCH(C70,{"Yes","No"},0)),C70,""))</f>
        <v/>
      </c>
      <c r="H70" s="98" t="n">
        <f aca="false">IF(G70="",0,1)</f>
        <v>0</v>
      </c>
    </row>
    <row r="71" customFormat="false" ht="15" hidden="false" customHeight="true" outlineLevel="0" collapsed="false">
      <c r="B71" s="1" t="s">
        <v>1430</v>
      </c>
      <c r="C71" s="97"/>
      <c r="E71" s="23" t="s">
        <v>1431</v>
      </c>
      <c r="F71" s="23"/>
      <c r="G71" s="98" t="str">
        <f aca="false">IF(ISBLANK(C71),IF(Fill_Example="Yes",F71,""),IF(ISNUMBER(MATCH(C71,{"Yes","No"},0)),C71,""))</f>
        <v/>
      </c>
      <c r="H71" s="98" t="n">
        <f aca="false">IF(G71="",0,1)</f>
        <v>0</v>
      </c>
    </row>
    <row r="72" customFormat="false" ht="15" hidden="false" customHeight="true" outlineLevel="0" collapsed="false">
      <c r="B72" s="1" t="s">
        <v>1432</v>
      </c>
      <c r="C72" s="97"/>
      <c r="E72" s="23" t="s">
        <v>1433</v>
      </c>
      <c r="F72" s="23"/>
      <c r="G72" s="98" t="str">
        <f aca="false">IF(ISBLANK(C72),IF(Fill_Example="Yes",F72,""),IF(ISNUMBER(MATCH(C72,{"Yes","No"},0)),C72,""))</f>
        <v/>
      </c>
      <c r="H72" s="98" t="n">
        <f aca="false">IF(G72="",0,1)</f>
        <v>0</v>
      </c>
    </row>
    <row r="73" customFormat="false" ht="15" hidden="false" customHeight="true" outlineLevel="0" collapsed="false">
      <c r="B73" s="1" t="s">
        <v>1434</v>
      </c>
      <c r="C73" s="97"/>
      <c r="E73" s="23" t="s">
        <v>1435</v>
      </c>
      <c r="F73" s="23"/>
      <c r="G73" s="98" t="str">
        <f aca="false">IF(ISBLANK(C73),IF(Fill_Example="Yes",F73,""),IF(ISNUMBER(MATCH(C73,{"Yes","No"},0)),C73,""))</f>
        <v/>
      </c>
      <c r="H73" s="98" t="n">
        <f aca="false">IF(G73="",0,1)</f>
        <v>0</v>
      </c>
    </row>
    <row r="74" customFormat="false" ht="15" hidden="false" customHeight="true" outlineLevel="0" collapsed="false">
      <c r="B74" s="1" t="s">
        <v>1436</v>
      </c>
      <c r="C74" s="97"/>
      <c r="E74" s="23" t="s">
        <v>1437</v>
      </c>
      <c r="F74" s="23"/>
      <c r="G74" s="98" t="str">
        <f aca="false">IF(ISBLANK(C74),IF(Fill_Example="Yes",F74,""),IF(ISNUMBER(MATCH(C74,{"Yes","No"},0)),C74,""))</f>
        <v/>
      </c>
      <c r="H74" s="98" t="n">
        <f aca="false">IF(G74="",0,1)</f>
        <v>0</v>
      </c>
    </row>
    <row r="75" customFormat="false" ht="15" hidden="false" customHeight="true" outlineLevel="0" collapsed="false">
      <c r="B75" s="1" t="s">
        <v>1438</v>
      </c>
      <c r="C75" s="97"/>
      <c r="E75" s="23" t="s">
        <v>1439</v>
      </c>
      <c r="F75" s="23"/>
      <c r="G75" s="98" t="str">
        <f aca="false">IF(ISBLANK(C75),IF(Fill_Example="Yes",F75,""),IF(ISNUMBER(MATCH(C75,{"Yes","No"},0)),C75,""))</f>
        <v/>
      </c>
      <c r="H75" s="98" t="n">
        <f aca="false">IF(G75="",0,1)</f>
        <v>0</v>
      </c>
    </row>
    <row r="76" customFormat="false" ht="15" hidden="false" customHeight="true" outlineLevel="0" collapsed="false">
      <c r="B76" s="1" t="s">
        <v>1440</v>
      </c>
      <c r="C76" s="97"/>
      <c r="E76" s="23" t="s">
        <v>1441</v>
      </c>
      <c r="F76" s="23"/>
      <c r="G76" s="98" t="str">
        <f aca="false">IF(ISBLANK(C76),IF(Fill_Example="Yes",F76,""),IF(ISNUMBER(MATCH(C76,{"Yes","No"},0)),C76,""))</f>
        <v/>
      </c>
      <c r="H76" s="98" t="n">
        <f aca="false">IF(G76="",0,1)</f>
        <v>0</v>
      </c>
    </row>
    <row r="77" customFormat="false" ht="15" hidden="false" customHeight="true" outlineLevel="0" collapsed="false">
      <c r="B77" s="1" t="s">
        <v>1442</v>
      </c>
      <c r="C77" s="97"/>
      <c r="E77" s="23" t="s">
        <v>1443</v>
      </c>
      <c r="F77" s="23"/>
      <c r="G77" s="98" t="str">
        <f aca="false">IF(ISBLANK(C77),IF(Fill_Example="Yes",F77,""),IF(ISNUMBER(MATCH(C77,{"Yes","No"},0)),C77,""))</f>
        <v/>
      </c>
      <c r="H77" s="98" t="n">
        <f aca="false">IF(G77="",0,1)</f>
        <v>0</v>
      </c>
    </row>
    <row r="78" customFormat="false" ht="15" hidden="false" customHeight="true" outlineLevel="0" collapsed="false">
      <c r="B78" s="1" t="s">
        <v>1444</v>
      </c>
      <c r="C78" s="97"/>
      <c r="E78" s="23" t="s">
        <v>1445</v>
      </c>
      <c r="F78" s="23" t="s">
        <v>1446</v>
      </c>
      <c r="G78" s="98" t="str">
        <f aca="false">IF(ISBLANK(C78),IF(Fill_Example="Yes",F78,""),IF(TRUE(),C78,""))</f>
        <v/>
      </c>
      <c r="H78" s="98" t="n">
        <f aca="false">IF(G78="",0,1)</f>
        <v>0</v>
      </c>
    </row>
    <row r="79" customFormat="false" ht="15" hidden="false" customHeight="true" outlineLevel="0" collapsed="false">
      <c r="B79" s="1" t="s">
        <v>1447</v>
      </c>
      <c r="C79" s="97"/>
      <c r="E79" s="23" t="s">
        <v>1448</v>
      </c>
      <c r="F79" s="23"/>
      <c r="G79" s="98" t="str">
        <f aca="false">IF(ISBLANK(C79),IF(Fill_Example="Yes",F79,""),IF(TRUE(),C79,""))</f>
        <v/>
      </c>
      <c r="H79" s="98" t="n">
        <f aca="false">IF(G79="",0,1)</f>
        <v>0</v>
      </c>
    </row>
    <row r="81" customFormat="false" ht="15" hidden="false" customHeight="true" outlineLevel="0" collapsed="false">
      <c r="B81" s="96" t="s">
        <v>1449</v>
      </c>
      <c r="C81" s="96" t="s">
        <v>243</v>
      </c>
      <c r="D81" s="96" t="s">
        <v>244</v>
      </c>
      <c r="E81" s="96" t="s">
        <v>1296</v>
      </c>
      <c r="F81" s="96" t="s">
        <v>1297</v>
      </c>
      <c r="G81" s="96" t="s">
        <v>1298</v>
      </c>
      <c r="H81" s="96" t="s">
        <v>1299</v>
      </c>
    </row>
    <row r="82" customFormat="false" ht="15" hidden="false" customHeight="true" outlineLevel="0" collapsed="false">
      <c r="B82" s="1" t="s">
        <v>1450</v>
      </c>
      <c r="C82" s="97"/>
      <c r="D82" s="1" t="s">
        <v>1317</v>
      </c>
      <c r="E82" s="23" t="s">
        <v>1451</v>
      </c>
      <c r="F82" s="101" t="n">
        <f aca="false">Set_inv</f>
        <v>0.026</v>
      </c>
      <c r="G82" s="98" t="str">
        <f aca="false">IF(ISBLANK(C82),IF(AND(Fill_Example="Yes",F82&lt;&gt;""),F82,""),IF(IF(ISNUMBER(C82),AND(C82&gt;=0,C82&lt;=0.07),FALSE()),C82,""))</f>
        <v/>
      </c>
      <c r="H82" s="98" t="n">
        <f aca="false">IF(G82="",0,1)</f>
        <v>0</v>
      </c>
    </row>
    <row r="83" customFormat="false" ht="15" hidden="false" customHeight="true" outlineLevel="0" collapsed="false">
      <c r="B83" s="1" t="s">
        <v>1452</v>
      </c>
      <c r="C83" s="97"/>
      <c r="D83" s="1" t="s">
        <v>1317</v>
      </c>
      <c r="E83" s="23" t="s">
        <v>1453</v>
      </c>
      <c r="F83" s="101" t="n">
        <f aca="false">Set_cash</f>
        <v>0.01</v>
      </c>
      <c r="G83" s="98" t="str">
        <f aca="false">IF(ISBLANK(C83),IF(AND(Fill_Example="Yes",F83&lt;&gt;""),F83,""),IF(IF(ISNUMBER(C83),AND(C83&gt;=0,C83&lt;=0.04),FALSE()),C83,""))</f>
        <v/>
      </c>
      <c r="H83" s="98" t="n">
        <f aca="false">IF(G83="",0,1)</f>
        <v>0</v>
      </c>
    </row>
    <row r="84" customFormat="false" ht="15" hidden="false" customHeight="true" outlineLevel="0" collapsed="false">
      <c r="B84" s="1" t="s">
        <v>1454</v>
      </c>
      <c r="C84" s="97"/>
      <c r="D84" s="1" t="s">
        <v>1317</v>
      </c>
      <c r="E84" s="23" t="s">
        <v>1455</v>
      </c>
      <c r="F84" s="101" t="n">
        <f aca="false">Set_pen</f>
        <v>0.045</v>
      </c>
      <c r="G84" s="98" t="str">
        <f aca="false">IF(ISBLANK(C84),IF(AND(Fill_Example="Yes",F84&lt;&gt;""),F84,""),IF(IF(ISNUMBER(C84),AND(C84&gt;=0,C84&lt;=0.07),FALSE()),C84,""))</f>
        <v/>
      </c>
      <c r="H84" s="98" t="n">
        <f aca="false">IF(G84="",0,1)</f>
        <v>0</v>
      </c>
    </row>
    <row r="85" customFormat="false" ht="15" hidden="false" customHeight="true" outlineLevel="0" collapsed="false">
      <c r="B85" s="1" t="s">
        <v>1456</v>
      </c>
      <c r="C85" s="97"/>
      <c r="D85" s="1" t="s">
        <v>1317</v>
      </c>
      <c r="E85" s="23" t="s">
        <v>1457</v>
      </c>
      <c r="F85" s="101" t="n">
        <f aca="false">Set_penRet</f>
        <v>0.0315</v>
      </c>
      <c r="G85" s="98" t="str">
        <f aca="false">IF(ISBLANK(C85),IF(AND(Fill_Example="Yes",F85&lt;&gt;""),F85,""),IF(IF(ISNUMBER(C85),AND(C85&gt;=0,C85&lt;=0.07),FALSE()),C85,""))</f>
        <v/>
      </c>
      <c r="H85" s="98" t="n">
        <f aca="false">IF(G85="",0,1)</f>
        <v>0</v>
      </c>
    </row>
    <row r="86" customFormat="false" ht="15" hidden="false" customHeight="true" outlineLevel="0" collapsed="false">
      <c r="B86" s="1" t="s">
        <v>1458</v>
      </c>
      <c r="C86" s="97"/>
      <c r="D86" s="1" t="s">
        <v>1317</v>
      </c>
      <c r="E86" s="23" t="s">
        <v>1459</v>
      </c>
      <c r="F86" s="101" t="n">
        <f aca="false">Set_wage</f>
        <v>0.03</v>
      </c>
      <c r="G86" s="98" t="str">
        <f aca="false">IF(ISBLANK(C86),IF(AND(Fill_Example="Yes",F86&lt;&gt;""),F86,""),IF(IF(ISNUMBER(C86),AND(C86&gt;=0,C86&lt;=0.06),FALSE()),C86,""))</f>
        <v/>
      </c>
      <c r="H86" s="98" t="n">
        <f aca="false">IF(G86="",0,1)</f>
        <v>0</v>
      </c>
    </row>
    <row r="87" customFormat="false" ht="15" hidden="false" customHeight="true" outlineLevel="0" collapsed="false">
      <c r="B87" s="1" t="s">
        <v>1460</v>
      </c>
      <c r="C87" s="97"/>
      <c r="E87" s="23" t="s">
        <v>1461</v>
      </c>
      <c r="F87" s="23" t="str">
        <f aca="false">Set_bands</f>
        <v>prices</v>
      </c>
      <c r="G87" s="98" t="str">
        <f aca="false">IF(ISBLANK(C87),IF(AND(Fill_Example="Yes",F87&lt;&gt;""),F87,""),IF(ISNUMBER(MATCH(C87,{"prices","flat"},0)),C87,""))</f>
        <v/>
      </c>
      <c r="H87" s="98" t="n">
        <f aca="false">IF(G87="",0,1)</f>
        <v>0</v>
      </c>
    </row>
    <row r="88" customFormat="false" ht="15" hidden="false" customHeight="true" outlineLevel="0" collapsed="false">
      <c r="B88" s="1" t="s">
        <v>1462</v>
      </c>
      <c r="C88" s="97"/>
      <c r="E88" s="23" t="s">
        <v>1463</v>
      </c>
      <c r="F88" s="23" t="str">
        <f aca="false">Set_spGrow</f>
        <v>prices</v>
      </c>
      <c r="G88" s="98" t="str">
        <f aca="false">IF(ISBLANK(C88),IF(AND(Fill_Example="Yes",F88&lt;&gt;""),F88,""),IF(ISNUMBER(MATCH(C88,{"prices","pay","flat"},0)),C88,""))</f>
        <v/>
      </c>
      <c r="H88" s="98" t="n">
        <f aca="false">IF(G88="",0,1)</f>
        <v>0</v>
      </c>
    </row>
    <row r="89" customFormat="false" ht="15" hidden="false" customHeight="true" outlineLevel="0" collapsed="false">
      <c r="B89" s="1" t="s">
        <v>1464</v>
      </c>
      <c r="C89" s="97"/>
      <c r="D89" s="1" t="s">
        <v>1317</v>
      </c>
      <c r="E89" s="23" t="s">
        <v>1465</v>
      </c>
      <c r="F89" s="101" t="n">
        <f aca="false">IF(In_work="Self-employed",1,Set_ownShare)</f>
        <v>0.5</v>
      </c>
      <c r="G89" s="98" t="str">
        <f aca="false">IF(ISBLANK(C89),IF(AND(Fill_Example="Yes",F89&lt;&gt;""),F89,""),IF(IF(ISNUMBER(C89),AND(C89&gt;=0,C89&lt;=1),FALSE()),C89,""))</f>
        <v/>
      </c>
      <c r="H89" s="98" t="n">
        <f aca="false">IF(G89="",0,1)</f>
        <v>0</v>
      </c>
    </row>
    <row r="90" customFormat="false" ht="15" hidden="false" customHeight="true" outlineLevel="0" collapsed="false">
      <c r="B90" s="1" t="s">
        <v>1466</v>
      </c>
      <c r="C90" s="97"/>
      <c r="D90" s="1" t="s">
        <v>739</v>
      </c>
      <c r="E90" s="23" t="s">
        <v>1467</v>
      </c>
      <c r="F90" s="23" t="n">
        <f aca="false">Set_accessAge</f>
        <v>60</v>
      </c>
      <c r="G90" s="98" t="str">
        <f aca="false">IF(ISBLANK(C90),IF(AND(Fill_Example="Yes",F90&lt;&gt;""),F90,""),IF(ISNUMBER(MATCH(C90,{50,60},0)),C90,""))</f>
        <v/>
      </c>
      <c r="H90" s="98" t="n">
        <f aca="false">IF(G90="",0,1)</f>
        <v>0</v>
      </c>
    </row>
    <row r="91" customFormat="false" ht="15" hidden="false" customHeight="true" outlineLevel="0" collapsed="false">
      <c r="B91" s="1" t="s">
        <v>1468</v>
      </c>
      <c r="C91" s="97"/>
      <c r="D91" s="1" t="s">
        <v>1317</v>
      </c>
      <c r="E91" s="23" t="s">
        <v>1469</v>
      </c>
      <c r="F91" s="101" t="n">
        <f aca="false">Set_retireSpend</f>
        <v>0.8</v>
      </c>
      <c r="G91" s="98" t="str">
        <f aca="false">IF(ISBLANK(C91),IF(AND(Fill_Example="Yes",F91&lt;&gt;""),F91,""),IF(IF(ISNUMBER(C91),AND(C91&gt;=0.5,C91&lt;=1.2),FALSE()),C91,""))</f>
        <v/>
      </c>
      <c r="H91" s="98" t="n">
        <f aca="false">IF(G91="",0,1)</f>
        <v>0</v>
      </c>
    </row>
    <row r="92" customFormat="false" ht="15" hidden="false" customHeight="true" outlineLevel="0" collapsed="false">
      <c r="B92" s="1" t="s">
        <v>1470</v>
      </c>
      <c r="C92" s="97"/>
      <c r="D92" s="1" t="s">
        <v>1317</v>
      </c>
      <c r="E92" s="23" t="s">
        <v>1471</v>
      </c>
      <c r="F92" s="101" t="n">
        <f aca="false">Set_lumpSum</f>
        <v>0.25</v>
      </c>
      <c r="G92" s="98" t="str">
        <f aca="false">IF(ISBLANK(C92),IF(AND(Fill_Example="Yes",F92&lt;&gt;""),F92,""),IF(IF(ISNUMBER(C92),AND(C92&gt;=0,C92&lt;=0.25),FALSE()),C92,""))</f>
        <v/>
      </c>
      <c r="H92" s="98" t="n">
        <f aca="false">IF(G92="",0,1)</f>
        <v>0</v>
      </c>
    </row>
    <row r="93" customFormat="false" ht="15" hidden="false" customHeight="true" outlineLevel="0" collapsed="false">
      <c r="B93" s="1" t="s">
        <v>1472</v>
      </c>
      <c r="C93" s="97"/>
      <c r="E93" s="23" t="s">
        <v>1473</v>
      </c>
      <c r="F93" s="23" t="str">
        <f aca="false">Set_drawRule</f>
        <v>spread</v>
      </c>
      <c r="G93" s="98" t="str">
        <f aca="false">IF(ISBLANK(C93),IF(AND(Fill_Example="Yes",F93&lt;&gt;""),F93,""),IF(ISNUMBER(MATCH(C93,{"spread","min","fixed"},0)),C93,""))</f>
        <v/>
      </c>
      <c r="H93" s="98" t="n">
        <f aca="false">IF(G93="",0,1)</f>
        <v>0</v>
      </c>
    </row>
    <row r="94" customFormat="false" ht="15" hidden="false" customHeight="true" outlineLevel="0" collapsed="false">
      <c r="B94" s="1" t="s">
        <v>1474</v>
      </c>
      <c r="C94" s="97"/>
      <c r="D94" s="1" t="s">
        <v>248</v>
      </c>
      <c r="E94" s="23" t="s">
        <v>1475</v>
      </c>
      <c r="F94" s="23"/>
      <c r="G94" s="98" t="str">
        <f aca="false">IF(ISBLANK(C94),IF(AND(Fill_Example="Yes",F94&lt;&gt;""),F94,""),IF(IF(ISNUMBER(C94),AND(C94&gt;=0,C94&lt;=200000),FALSE()),C94,""))</f>
        <v/>
      </c>
      <c r="H94" s="98" t="n">
        <f aca="false">IF(G94="",0,1)</f>
        <v>0</v>
      </c>
    </row>
    <row r="95" customFormat="false" ht="15" hidden="false" customHeight="true" outlineLevel="0" collapsed="false">
      <c r="B95" s="1" t="s">
        <v>1476</v>
      </c>
      <c r="C95" s="97"/>
      <c r="D95" s="1" t="s">
        <v>706</v>
      </c>
      <c r="E95" s="23" t="s">
        <v>1477</v>
      </c>
      <c r="F95" s="23" t="n">
        <f aca="false">IF(AS_TwoSecure=1,Set_safetyMonthsTwo,Set_safetyMonths)</f>
        <v>6</v>
      </c>
      <c r="G95" s="98" t="str">
        <f aca="false">IF(ISBLANK(C95),IF(AND(Fill_Example="Yes",F95&lt;&gt;""),F95,""),IF(IF(ISNUMBER(C95),AND(C95&gt;=1,C95&lt;=12,C95=INT(C95)),FALSE()),C95,""))</f>
        <v/>
      </c>
      <c r="H95" s="98" t="n">
        <f aca="false">IF(G95="",0,1)</f>
        <v>0</v>
      </c>
    </row>
    <row r="96" customFormat="false" ht="15" hidden="false" customHeight="true" outlineLevel="0" collapsed="false">
      <c r="B96" s="1" t="s">
        <v>1478</v>
      </c>
      <c r="C96" s="97"/>
      <c r="D96" s="1" t="s">
        <v>261</v>
      </c>
      <c r="E96" s="23" t="s">
        <v>1479</v>
      </c>
      <c r="F96" s="23" t="n">
        <f aca="false">Set_cashYears</f>
        <v>5</v>
      </c>
      <c r="G96" s="98" t="str">
        <f aca="false">IF(ISBLANK(C96),IF(AND(Fill_Example="Yes",F96&lt;&gt;""),F96,""),IF(IF(ISNUMBER(C96),AND(C96&gt;=1,C96&lt;=10,C96=INT(C96)),FALSE()),C96,""))</f>
        <v/>
      </c>
      <c r="H96" s="98" t="n">
        <f aca="false">IF(G96="",0,1)</f>
        <v>0</v>
      </c>
    </row>
    <row r="97" customFormat="false" ht="15" hidden="false" customHeight="true" outlineLevel="0" collapsed="false">
      <c r="B97" s="1" t="s">
        <v>1480</v>
      </c>
      <c r="C97" s="97"/>
      <c r="D97" s="1" t="s">
        <v>1317</v>
      </c>
      <c r="E97" s="23" t="s">
        <v>1481</v>
      </c>
      <c r="F97" s="101" t="n">
        <f aca="false">Set_investShare</f>
        <v>0.4</v>
      </c>
      <c r="G97" s="98" t="str">
        <f aca="false">IF(ISBLANK(C97),IF(AND(Fill_Example="Yes",F97&lt;&gt;""),F97,""),IF(IF(ISNUMBER(C97),AND(C97&gt;=0,C97&lt;=1),FALSE()),C97,""))</f>
        <v/>
      </c>
      <c r="H97" s="98" t="n">
        <f aca="false">IF(G97="",0,1)</f>
        <v>0</v>
      </c>
    </row>
    <row r="98" customFormat="false" ht="15" hidden="false" customHeight="true" outlineLevel="0" collapsed="false">
      <c r="B98" s="1" t="s">
        <v>1482</v>
      </c>
      <c r="C98" s="97"/>
      <c r="D98" s="1" t="s">
        <v>1317</v>
      </c>
      <c r="E98" s="23" t="s">
        <v>1483</v>
      </c>
      <c r="F98" s="101" t="n">
        <f aca="false">Set_saveShare</f>
        <v>0.5</v>
      </c>
      <c r="G98" s="98" t="str">
        <f aca="false">IF(ISBLANK(C98),IF(AND(Fill_Example="Yes",F98&lt;&gt;""),F98,""),IF(IF(ISNUMBER(C98),AND(C98&gt;=0,C98&lt;=1),FALSE()),C98,""))</f>
        <v/>
      </c>
      <c r="H98" s="98" t="n">
        <f aca="false">IF(G98="",0,1)</f>
        <v>0</v>
      </c>
    </row>
    <row r="99" customFormat="false" ht="15" hidden="false" customHeight="true" outlineLevel="0" collapsed="false">
      <c r="B99" s="1" t="s">
        <v>1484</v>
      </c>
      <c r="C99" s="97"/>
      <c r="D99" s="1" t="s">
        <v>1326</v>
      </c>
      <c r="E99" s="23" t="s">
        <v>1485</v>
      </c>
      <c r="F99" s="102" t="n">
        <f aca="false">Set_noAnswer</f>
        <v>300</v>
      </c>
      <c r="G99" s="98" t="str">
        <f aca="false">IF(ISBLANK(C99),IF(AND(Fill_Example="Yes",F99&lt;&gt;""),F99,""),IF(IF(ISNUMBER(C99),AND(C99&gt;=0,C99&lt;=5000),FALSE()),C99,""))</f>
        <v/>
      </c>
      <c r="H99" s="98" t="n">
        <f aca="false">IF(G99="",0,1)</f>
        <v>0</v>
      </c>
    </row>
    <row r="100" customFormat="false" ht="15" hidden="false" customHeight="true" outlineLevel="0" collapsed="false">
      <c r="B100" s="1" t="s">
        <v>1486</v>
      </c>
      <c r="C100" s="97"/>
      <c r="D100" s="1" t="s">
        <v>739</v>
      </c>
      <c r="E100" s="23" t="s">
        <v>1487</v>
      </c>
      <c r="F100" s="23" t="n">
        <v>95</v>
      </c>
      <c r="G100" s="98" t="str">
        <f aca="false">IF(ISBLANK(C100),IF(AND(Fill_Example="Yes",F100&lt;&gt;""),F100,""),IF(IF(ISNUMBER(C100),AND(C100&gt;=50,C100&lt;=100,C100=INT(C100)),FALSE()),C100,""))</f>
        <v/>
      </c>
      <c r="H100" s="98" t="n">
        <f aca="false">IF(G100="",0,1)</f>
        <v>0</v>
      </c>
    </row>
    <row r="101" customFormat="false" ht="15" hidden="false" customHeight="true" outlineLevel="0" collapsed="false">
      <c r="B101" s="1" t="s">
        <v>1488</v>
      </c>
      <c r="C101" s="97"/>
      <c r="D101" s="1" t="s">
        <v>1489</v>
      </c>
      <c r="E101" s="23" t="s">
        <v>1490</v>
      </c>
      <c r="F101" s="23" t="n">
        <f aca="true">IF(TODAY()&gt;PR_StartSwitch,Rules_Year_Next,Rules_Year)</f>
        <v>2027</v>
      </c>
      <c r="G101" s="98" t="str">
        <f aca="false">IF(ISBLANK(C101),IF(AND(Fill_Example="Yes",F101&lt;&gt;""),F101,""),IF(OR(C101=Rules_Year,C101=Rules_Year_Next),C101,""))</f>
        <v/>
      </c>
      <c r="H101" s="98" t="n">
        <f aca="false">IF(G101="",0,1)</f>
        <v>0</v>
      </c>
    </row>
    <row r="102" customFormat="false" ht="15" hidden="false" customHeight="true" outlineLevel="0" collapsed="false">
      <c r="B102" s="1" t="s">
        <v>1491</v>
      </c>
      <c r="C102" s="97"/>
      <c r="D102" s="1" t="s">
        <v>1317</v>
      </c>
      <c r="E102" s="23" t="s">
        <v>1492</v>
      </c>
      <c r="F102" s="23" t="n">
        <v>0.0375</v>
      </c>
      <c r="G102" s="98" t="str">
        <f aca="false">IF(ISBLANK(C102),IF(AND(Fill_Example="Yes",F102&lt;&gt;""),F102,""),IF(IF(ISNUMBER(C102),AND(C102&gt;=0.01,C102&lt;=0.08),FALSE()),C102,""))</f>
        <v/>
      </c>
      <c r="H102" s="98" t="n">
        <f aca="false">IF(G102="",0,1)</f>
        <v>0</v>
      </c>
    </row>
    <row r="103" customFormat="false" ht="15" hidden="false" customHeight="true" outlineLevel="0" collapsed="false">
      <c r="B103" s="1" t="s">
        <v>1493</v>
      </c>
      <c r="C103" s="97"/>
      <c r="D103" s="1" t="s">
        <v>1317</v>
      </c>
      <c r="E103" s="23" t="s">
        <v>1494</v>
      </c>
      <c r="F103" s="23" t="n">
        <v>0.2</v>
      </c>
      <c r="G103" s="98" t="str">
        <f aca="false">IF(ISBLANK(C103),IF(AND(Fill_Example="Yes",F103&lt;&gt;""),F103,""),IF(IF(ISNUMBER(C103),AND(C103&gt;=0,C103&lt;=0.35),FALSE()),C103,""))</f>
        <v/>
      </c>
      <c r="H103" s="98" t="n">
        <f aca="false">IF(G103="",0,1)</f>
        <v>0</v>
      </c>
    </row>
    <row r="104" customFormat="false" ht="15" hidden="false" customHeight="true" outlineLevel="0" collapsed="false">
      <c r="B104" s="1" t="s">
        <v>1495</v>
      </c>
      <c r="C104" s="97"/>
      <c r="D104" s="1" t="s">
        <v>1317</v>
      </c>
      <c r="E104" s="23" t="s">
        <v>1496</v>
      </c>
      <c r="F104" s="23" t="n">
        <v>0.08</v>
      </c>
      <c r="G104" s="98" t="str">
        <f aca="false">IF(ISBLANK(C104),IF(AND(Fill_Example="Yes",F104&lt;&gt;""),F104,""),IF(IF(ISNUMBER(C104),AND(C104&gt;=0,C104&lt;=0.25),FALSE()),C104,""))</f>
        <v/>
      </c>
      <c r="H104" s="98" t="n">
        <f aca="false">IF(G104="",0,1)</f>
        <v>0</v>
      </c>
    </row>
    <row r="105" customFormat="false" ht="15" hidden="false" customHeight="true" outlineLevel="0" collapsed="false">
      <c r="B105" s="1" t="s">
        <v>1497</v>
      </c>
      <c r="C105" s="97"/>
      <c r="D105" s="1" t="s">
        <v>1099</v>
      </c>
      <c r="E105" s="23" t="s">
        <v>1498</v>
      </c>
      <c r="F105" s="23"/>
      <c r="G105" s="98" t="str">
        <f aca="false">IF(ISBLANK(C105),IF(AND(Fill_Example="Yes",F105&lt;&gt;""),F105,""),IF(IF(ISNUMBER(C105),AND(C105&gt;=0,C105&lt;=299.3),FALSE()),C105,""))</f>
        <v/>
      </c>
      <c r="H105" s="98" t="n">
        <f aca="false">IF(G105="",0,1)</f>
        <v>0</v>
      </c>
    </row>
    <row r="106" customFormat="false" ht="15" hidden="false" customHeight="true" outlineLevel="0" collapsed="false">
      <c r="B106" s="1" t="s">
        <v>1499</v>
      </c>
      <c r="C106" s="97"/>
      <c r="D106" s="1" t="s">
        <v>1099</v>
      </c>
      <c r="E106" s="23" t="s">
        <v>1500</v>
      </c>
      <c r="F106" s="23" t="n">
        <v>239.44</v>
      </c>
      <c r="G106" s="98" t="str">
        <f aca="false">IF(ISBLANK(C106),IF(AND(Fill_Example="Yes",F106&lt;&gt;""),F106,""),IF(IF(ISNUMBER(C106),AND(C106&gt;=0,C106&lt;=299.3),FALSE()),C106,""))</f>
        <v/>
      </c>
      <c r="H106" s="98" t="n">
        <f aca="false">IF(G106="",0,1)</f>
        <v>0</v>
      </c>
    </row>
    <row r="107" customFormat="false" ht="15" hidden="false" customHeight="true" outlineLevel="0" collapsed="false">
      <c r="B107" s="1" t="s">
        <v>1501</v>
      </c>
      <c r="C107" s="97"/>
      <c r="D107" s="1" t="s">
        <v>261</v>
      </c>
      <c r="E107" s="23" t="s">
        <v>1502</v>
      </c>
      <c r="F107" s="23"/>
      <c r="G107" s="98" t="str">
        <f aca="false">IF(ISBLANK(C107),IF(AND(Fill_Example="Yes",F107&lt;&gt;""),F107,""),IF(IF(ISNUMBER(C107),AND(C107&gt;=0,C107&lt;=45,C107=INT(C107)),FALSE()),C107,""))</f>
        <v/>
      </c>
      <c r="H107" s="98" t="n">
        <f aca="false">IF(G107="",0,1)</f>
        <v>0</v>
      </c>
    </row>
    <row r="108" customFormat="false" ht="15" hidden="false" customHeight="true" outlineLevel="0" collapsed="false">
      <c r="B108" s="1" t="s">
        <v>1503</v>
      </c>
      <c r="C108" s="97"/>
      <c r="D108" s="1" t="s">
        <v>1317</v>
      </c>
      <c r="E108" s="23" t="s">
        <v>1504</v>
      </c>
      <c r="F108" s="23"/>
      <c r="G108" s="98" t="str">
        <f aca="false">IF(ISBLANK(C108),IF(AND(Fill_Example="Yes",F108&lt;&gt;""),F108,""),IF(IF(ISNUMBER(C108),AND(C108&gt;=0,C108&lt;=0.025),FALSE()),C108,""))</f>
        <v/>
      </c>
      <c r="H108" s="98" t="n">
        <f aca="false">IF(G108="",0,1)</f>
        <v>0</v>
      </c>
    </row>
    <row r="110" customFormat="false" ht="61.5" hidden="false" customHeight="true" outlineLevel="0" collapsed="false">
      <c r="B110" s="103" t="s">
        <v>1505</v>
      </c>
      <c r="C110" s="103" t="s">
        <v>1506</v>
      </c>
      <c r="D110" s="103" t="s">
        <v>1507</v>
      </c>
      <c r="E110" s="103" t="s">
        <v>1508</v>
      </c>
      <c r="F110" s="103" t="s">
        <v>1509</v>
      </c>
      <c r="G110" s="103" t="s">
        <v>402</v>
      </c>
      <c r="H110" s="103" t="s">
        <v>1510</v>
      </c>
      <c r="I110" s="103" t="s">
        <v>1511</v>
      </c>
      <c r="J110" s="103" t="s">
        <v>1512</v>
      </c>
      <c r="N110" s="96" t="s">
        <v>1513</v>
      </c>
      <c r="O110" s="96" t="s">
        <v>1514</v>
      </c>
      <c r="P110" s="96" t="s">
        <v>1515</v>
      </c>
      <c r="Q110" s="96" t="s">
        <v>1516</v>
      </c>
      <c r="R110" s="96" t="s">
        <v>1517</v>
      </c>
      <c r="S110" s="96" t="s">
        <v>1518</v>
      </c>
      <c r="T110" s="96" t="s">
        <v>1519</v>
      </c>
      <c r="U110" s="96" t="s">
        <v>1520</v>
      </c>
    </row>
    <row r="111" customFormat="false" ht="15" hidden="false" customHeight="true" outlineLevel="0" collapsed="false">
      <c r="B111" s="1" t="s">
        <v>1521</v>
      </c>
      <c r="C111" s="97"/>
      <c r="D111" s="97"/>
      <c r="E111" s="97"/>
      <c r="F111" s="97"/>
      <c r="G111" s="97"/>
      <c r="H111" s="97"/>
      <c r="I111" s="97"/>
      <c r="J111" s="97"/>
      <c r="N111" s="98" t="str">
        <f aca="false">IF(ISBLANK(C111),IF(Fill_Example="Yes","edu",""),IF(ISNUMBER(MATCH(C111,Goal_Keys,0)),C111,""))</f>
        <v/>
      </c>
      <c r="O111" s="98" t="str">
        <f aca="false">IF(ISBLANK(D111),IFERROR(INDEX(Goal_Titles,MATCH(N111,Goal_Keys,0)),""),D111)</f>
        <v/>
      </c>
      <c r="P111" s="98" t="n">
        <f aca="false">IF(ISBLANK(E111),IF(AND(ISBLANK(C111),Fill_Example="Yes"),48,MIN(PR_GoalMaxAge,In_age+IFERROR(INDEX(Goal_DefYrs,MATCH(N111,Goal_Keys,0)),0))),IF(IF(ISNUMBER(E111),AND(E111&gt;=0,E111&lt;=105,E111=INT(E111)),FALSE()),E111,MIN(PR_GoalMaxAge,In_age+IFERROR(INDEX(Goal_DefYrs,MATCH(N111,Goal_Keys,0)),0))))</f>
        <v>0</v>
      </c>
      <c r="Q111" s="98" t="n">
        <f aca="false">IF(ISBLANK(F111),IF(AND(ISBLANK(C111),Fill_Example="Yes"),50000,IFERROR(INDEX(Goal_DefAmt,MATCH(N111,Goal_Keys,0)),0)),IF(IF(ISNUMBER(F111),AND(F111&gt;=0,F111&lt;=100000000),FALSE()),F111,IFERROR(INDEX(Goal_DefAmt,MATCH(N111,Goal_Keys,0)),0)))</f>
        <v>0</v>
      </c>
      <c r="R111" s="98" t="n">
        <f aca="false">IF(ISBLANK(G111),IF(AND(ISBLANK(C111),Fill_Example="Yes"),0,0),IF(IF(ISNUMBER(G111),AND(G111&gt;=0,G111&lt;=100000000),FALSE()),G111,0))</f>
        <v>0</v>
      </c>
      <c r="S111" s="98" t="str">
        <f aca="false">IF(ISBLANK(H111),IF(AND(ISBLANK(C111),Fill_Example="Yes"),"Must have","Must have"),IF(ISNUMBER(MATCH(H111,{"Must have","Nice to have"},0)),H111,"Must have"))</f>
        <v>Must have</v>
      </c>
      <c r="T111" s="98" t="str">
        <f aca="false">IF(ISBLANK(I111),"",IF(IF(ISNUMBER(I111),AND(I111&gt;=1,I111&lt;=22,I111=INT(I111)),FALSE()),I111,""))</f>
        <v/>
      </c>
      <c r="U111" s="98" t="str">
        <f aca="false">IF(ISBLANK(J111),IF(AND(ISBLANK(C111),Fill_Example="Yes"),"No","No"),IF(ISNUMBER(MATCH(J111,{"Yes","No"},0)),J111,"No"))</f>
        <v>No</v>
      </c>
    </row>
    <row r="112" customFormat="false" ht="15" hidden="false" customHeight="true" outlineLevel="0" collapsed="false">
      <c r="B112" s="1" t="s">
        <v>1522</v>
      </c>
      <c r="C112" s="97"/>
      <c r="D112" s="97"/>
      <c r="E112" s="97"/>
      <c r="F112" s="97"/>
      <c r="G112" s="97"/>
      <c r="H112" s="97"/>
      <c r="I112" s="97"/>
      <c r="J112" s="97"/>
      <c r="N112" s="98" t="str">
        <f aca="false">IF(ISBLANK(C112),IF(Fill_Example="Yes","travel",""),IF(ISNUMBER(MATCH(C112,Goal_Keys,0)),C112,""))</f>
        <v/>
      </c>
      <c r="O112" s="98" t="str">
        <f aca="false">IF(ISBLANK(D112),IFERROR(INDEX(Goal_Titles,MATCH(N112,Goal_Keys,0)),""),D112)</f>
        <v/>
      </c>
      <c r="P112" s="98" t="n">
        <f aca="false">IF(ISBLANK(E112),IF(AND(ISBLANK(C112),Fill_Example="Yes"),41,MIN(PR_GoalMaxAge,In_age+IFERROR(INDEX(Goal_DefYrs,MATCH(N112,Goal_Keys,0)),0))),IF(IF(ISNUMBER(E112),AND(E112&gt;=0,E112&lt;=105,E112=INT(E112)),FALSE()),E112,MIN(PR_GoalMaxAge,In_age+IFERROR(INDEX(Goal_DefYrs,MATCH(N112,Goal_Keys,0)),0))))</f>
        <v>0</v>
      </c>
      <c r="Q112" s="98" t="n">
        <f aca="false">IF(ISBLANK(F112),IF(AND(ISBLANK(C112),Fill_Example="Yes"),12000,IFERROR(INDEX(Goal_DefAmt,MATCH(N112,Goal_Keys,0)),0)),IF(IF(ISNUMBER(F112),AND(F112&gt;=0,F112&lt;=100000000),FALSE()),F112,IFERROR(INDEX(Goal_DefAmt,MATCH(N112,Goal_Keys,0)),0)))</f>
        <v>0</v>
      </c>
      <c r="R112" s="98" t="n">
        <f aca="false">IF(ISBLANK(G112),IF(AND(ISBLANK(C112),Fill_Example="Yes"),0,0),IF(IF(ISNUMBER(G112),AND(G112&gt;=0,G112&lt;=100000000),FALSE()),G112,0))</f>
        <v>0</v>
      </c>
      <c r="S112" s="98" t="str">
        <f aca="false">IF(ISBLANK(H112),IF(AND(ISBLANK(C112),Fill_Example="Yes"),"Must have","Must have"),IF(ISNUMBER(MATCH(H112,{"Must have","Nice to have"},0)),H112,"Must have"))</f>
        <v>Must have</v>
      </c>
      <c r="T112" s="98" t="str">
        <f aca="false">IF(ISBLANK(I112),"",IF(IF(ISNUMBER(I112),AND(I112&gt;=1,I112&lt;=22,I112=INT(I112)),FALSE()),I112,""))</f>
        <v/>
      </c>
      <c r="U112" s="98" t="str">
        <f aca="false">IF(ISBLANK(J112),IF(AND(ISBLANK(C112),Fill_Example="Yes"),"No","No"),IF(ISNUMBER(MATCH(J112,{"Yes","No"},0)),J112,"No"))</f>
        <v>No</v>
      </c>
    </row>
    <row r="113" customFormat="false" ht="15" hidden="false" customHeight="true" outlineLevel="0" collapsed="false">
      <c r="B113" s="1" t="s">
        <v>1523</v>
      </c>
      <c r="C113" s="97"/>
      <c r="D113" s="97"/>
      <c r="E113" s="97"/>
      <c r="F113" s="97"/>
      <c r="G113" s="97"/>
      <c r="H113" s="97"/>
      <c r="I113" s="97"/>
      <c r="J113" s="97"/>
      <c r="N113" s="98" t="str">
        <f aca="false">IF(ISBLANK(C113),IF(Fill_Example="Yes","mfree",""),IF(ISNUMBER(MATCH(C113,Goal_Keys,0)),C113,""))</f>
        <v/>
      </c>
      <c r="O113" s="98" t="str">
        <f aca="false">IF(ISBLANK(D113),IFERROR(INDEX(Goal_Titles,MATCH(N113,Goal_Keys,0)),""),D113)</f>
        <v/>
      </c>
      <c r="P113" s="98" t="n">
        <f aca="false">IF(ISBLANK(E113),IF(AND(ISBLANK(C113),Fill_Example="Yes"),55,MIN(PR_GoalMaxAge,In_age+IFERROR(INDEX(Goal_DefYrs,MATCH(N113,Goal_Keys,0)),0))),IF(IF(ISNUMBER(E113),AND(E113&gt;=0,E113&lt;=105,E113=INT(E113)),FALSE()),E113,MIN(PR_GoalMaxAge,In_age+IFERROR(INDEX(Goal_DefYrs,MATCH(N113,Goal_Keys,0)),0))))</f>
        <v>0</v>
      </c>
      <c r="Q113" s="98" t="n">
        <f aca="false">IF(ISBLANK(F113),IF(AND(ISBLANK(C113),Fill_Example="Yes"),150000,IFERROR(INDEX(Goal_DefAmt,MATCH(N113,Goal_Keys,0)),0)),IF(IF(ISNUMBER(F113),AND(F113&gt;=0,F113&lt;=100000000),FALSE()),F113,IFERROR(INDEX(Goal_DefAmt,MATCH(N113,Goal_Keys,0)),0)))</f>
        <v>0</v>
      </c>
      <c r="R113" s="98" t="n">
        <f aca="false">IF(ISBLANK(G113),IF(AND(ISBLANK(C113),Fill_Example="Yes"),0,0),IF(IF(ISNUMBER(G113),AND(G113&gt;=0,G113&lt;=100000000),FALSE()),G113,0))</f>
        <v>0</v>
      </c>
      <c r="S113" s="98" t="str">
        <f aca="false">IF(ISBLANK(H113),IF(AND(ISBLANK(C113),Fill_Example="Yes"),"Must have","Must have"),IF(ISNUMBER(MATCH(H113,{"Must have","Nice to have"},0)),H113,"Must have"))</f>
        <v>Must have</v>
      </c>
      <c r="T113" s="98" t="str">
        <f aca="false">IF(ISBLANK(I113),"",IF(IF(ISNUMBER(I113),AND(I113&gt;=1,I113&lt;=22,I113=INT(I113)),FALSE()),I113,""))</f>
        <v/>
      </c>
      <c r="U113" s="98" t="str">
        <f aca="false">IF(ISBLANK(J113),IF(AND(ISBLANK(C113),Fill_Example="Yes"),"No","No"),IF(ISNUMBER(MATCH(J113,{"Yes","No"},0)),J113,"No"))</f>
        <v>No</v>
      </c>
    </row>
    <row r="114" customFormat="false" ht="15" hidden="false" customHeight="true" outlineLevel="0" collapsed="false">
      <c r="B114" s="1" t="s">
        <v>1524</v>
      </c>
      <c r="C114" s="97"/>
      <c r="D114" s="97"/>
      <c r="E114" s="97"/>
      <c r="F114" s="97"/>
      <c r="G114" s="97"/>
      <c r="H114" s="97"/>
      <c r="I114" s="97"/>
      <c r="J114" s="97"/>
      <c r="N114" s="98" t="str">
        <f aca="false">IF(ISBLANK(C114),IF(Fill_Example="Yes","safety",""),IF(ISNUMBER(MATCH(C114,Goal_Keys,0)),C114,""))</f>
        <v/>
      </c>
      <c r="O114" s="98" t="str">
        <f aca="false">IF(ISBLANK(D114),IFERROR(INDEX(Goal_Titles,MATCH(N114,Goal_Keys,0)),""),D114)</f>
        <v/>
      </c>
      <c r="P114" s="98" t="n">
        <f aca="false">IF(ISBLANK(E114),IF(AND(ISBLANK(C114),Fill_Example="Yes"),40,MIN(PR_GoalMaxAge,In_age+IFERROR(INDEX(Goal_DefYrs,MATCH(N114,Goal_Keys,0)),0))),IF(IF(ISNUMBER(E114),AND(E114&gt;=0,E114&lt;=105,E114=INT(E114)),FALSE()),E114,MIN(PR_GoalMaxAge,In_age+IFERROR(INDEX(Goal_DefYrs,MATCH(N114,Goal_Keys,0)),0))))</f>
        <v>0</v>
      </c>
      <c r="Q114" s="98" t="n">
        <f aca="false">IF(ISBLANK(F114),IF(AND(ISBLANK(C114),Fill_Example="Yes"),15000,IFERROR(INDEX(Goal_DefAmt,MATCH(N114,Goal_Keys,0)),0)),IF(IF(ISNUMBER(F114),AND(F114&gt;=0,F114&lt;=100000000),FALSE()),F114,IFERROR(INDEX(Goal_DefAmt,MATCH(N114,Goal_Keys,0)),0)))</f>
        <v>0</v>
      </c>
      <c r="R114" s="98" t="n">
        <f aca="false">IF(ISBLANK(G114),IF(AND(ISBLANK(C114),Fill_Example="Yes"),5000,0),IF(IF(ISNUMBER(G114),AND(G114&gt;=0,G114&lt;=100000000),FALSE()),G114,0))</f>
        <v>0</v>
      </c>
      <c r="S114" s="98" t="str">
        <f aca="false">IF(ISBLANK(H114),IF(AND(ISBLANK(C114),Fill_Example="Yes"),"Must have","Must have"),IF(ISNUMBER(MATCH(H114,{"Must have","Nice to have"},0)),H114,"Must have"))</f>
        <v>Must have</v>
      </c>
      <c r="T114" s="98" t="str">
        <f aca="false">IF(ISBLANK(I114),"",IF(IF(ISNUMBER(I114),AND(I114&gt;=1,I114&lt;=22,I114=INT(I114)),FALSE()),I114,""))</f>
        <v/>
      </c>
      <c r="U114" s="98" t="str">
        <f aca="false">IF(ISBLANK(J114),IF(AND(ISBLANK(C114),Fill_Example="Yes"),"No","No"),IF(ISNUMBER(MATCH(J114,{"Yes","No"},0)),J114,"No"))</f>
        <v>No</v>
      </c>
    </row>
    <row r="115" customFormat="false" ht="15" hidden="false" customHeight="true" outlineLevel="0" collapsed="false">
      <c r="B115" s="1" t="s">
        <v>1525</v>
      </c>
      <c r="C115" s="97"/>
      <c r="D115" s="97"/>
      <c r="E115" s="97"/>
      <c r="F115" s="97"/>
      <c r="G115" s="97"/>
      <c r="H115" s="97"/>
      <c r="I115" s="97"/>
      <c r="J115" s="97"/>
      <c r="N115" s="98" t="str">
        <f aca="false">IF(ISBLANK(C115),IF(Fill_Example="Yes","retire",""),IF(ISNUMBER(MATCH(C115,Goal_Keys,0)),C115,""))</f>
        <v/>
      </c>
      <c r="O115" s="98" t="str">
        <f aca="false">IF(ISBLANK(D115),IFERROR(INDEX(Goal_Titles,MATCH(N115,Goal_Keys,0)),""),D115)</f>
        <v/>
      </c>
      <c r="P115" s="98" t="n">
        <f aca="false">IF(ISBLANK(E115),IF(AND(ISBLANK(C115),Fill_Example="Yes"),63,MIN(PR_GoalMaxAge,In_age+IFERROR(INDEX(Goal_DefYrs,MATCH(N115,Goal_Keys,0)),0))),IF(IF(ISNUMBER(E115),AND(E115&gt;=0,E115&lt;=105,E115=INT(E115)),FALSE()),E115,MIN(PR_GoalMaxAge,In_age+IFERROR(INDEX(Goal_DefYrs,MATCH(N115,Goal_Keys,0)),0))))</f>
        <v>0</v>
      </c>
      <c r="Q115" s="98" t="n">
        <f aca="false">IF(ISBLANK(F115),IF(AND(ISBLANK(C115),Fill_Example="Yes"),46000,IFERROR(INDEX(Goal_DefAmt,MATCH(N115,Goal_Keys,0)),0)),IF(IF(ISNUMBER(F115),AND(F115&gt;=0,F115&lt;=100000000),FALSE()),F115,IFERROR(INDEX(Goal_DefAmt,MATCH(N115,Goal_Keys,0)),0)))</f>
        <v>0</v>
      </c>
      <c r="R115" s="98" t="n">
        <f aca="false">IF(ISBLANK(G115),IF(AND(ISBLANK(C115),Fill_Example="Yes"),0,0),IF(IF(ISNUMBER(G115),AND(G115&gt;=0,G115&lt;=100000000),FALSE()),G115,0))</f>
        <v>0</v>
      </c>
      <c r="S115" s="98" t="str">
        <f aca="false">IF(ISBLANK(H115),IF(AND(ISBLANK(C115),Fill_Example="Yes"),"Must have","Must have"),IF(ISNUMBER(MATCH(H115,{"Must have","Nice to have"},0)),H115,"Must have"))</f>
        <v>Must have</v>
      </c>
      <c r="T115" s="98" t="str">
        <f aca="false">IF(ISBLANK(I115),"",IF(IF(ISNUMBER(I115),AND(I115&gt;=1,I115&lt;=22,I115=INT(I115)),FALSE()),I115,""))</f>
        <v/>
      </c>
      <c r="U115" s="98" t="str">
        <f aca="false">IF(ISBLANK(J115),IF(AND(ISBLANK(C115),Fill_Example="Yes"),"No","No"),IF(ISNUMBER(MATCH(J115,{"Yes","No"},0)),J115,"No"))</f>
        <v>No</v>
      </c>
    </row>
    <row r="116" customFormat="false" ht="15" hidden="false" customHeight="true" outlineLevel="0" collapsed="false">
      <c r="B116" s="1" t="s">
        <v>1526</v>
      </c>
      <c r="C116" s="97"/>
      <c r="D116" s="97"/>
      <c r="E116" s="97"/>
      <c r="F116" s="97"/>
      <c r="G116" s="97"/>
      <c r="H116" s="97"/>
      <c r="I116" s="97"/>
      <c r="J116" s="97"/>
      <c r="N116" s="98" t="str">
        <f aca="false">IF(ISBLANK(C116),IF(Fill_Example="Yes","",""),IF(ISNUMBER(MATCH(C116,Goal_Keys,0)),C116,""))</f>
        <v/>
      </c>
      <c r="O116" s="98" t="str">
        <f aca="false">IF(ISBLANK(D116),IFERROR(INDEX(Goal_Titles,MATCH(N116,Goal_Keys,0)),""),D116)</f>
        <v/>
      </c>
      <c r="P116" s="98" t="n">
        <f aca="false">IF(ISBLANK(E116),IF(AND(ISBLANK(C116),Fill_Example="Yes"),0,MIN(PR_GoalMaxAge,In_age+IFERROR(INDEX(Goal_DefYrs,MATCH(N116,Goal_Keys,0)),0))),IF(IF(ISNUMBER(E116),AND(E116&gt;=0,E116&lt;=105,E116=INT(E116)),FALSE()),E116,MIN(PR_GoalMaxAge,In_age+IFERROR(INDEX(Goal_DefYrs,MATCH(N116,Goal_Keys,0)),0))))</f>
        <v>0</v>
      </c>
      <c r="Q116" s="98" t="n">
        <f aca="false">IF(ISBLANK(F116),IF(AND(ISBLANK(C116),Fill_Example="Yes"),0,IFERROR(INDEX(Goal_DefAmt,MATCH(N116,Goal_Keys,0)),0)),IF(IF(ISNUMBER(F116),AND(F116&gt;=0,F116&lt;=100000000),FALSE()),F116,IFERROR(INDEX(Goal_DefAmt,MATCH(N116,Goal_Keys,0)),0)))</f>
        <v>0</v>
      </c>
      <c r="R116" s="98" t="n">
        <f aca="false">IF(ISBLANK(G116),IF(AND(ISBLANK(C116),Fill_Example="Yes"),0,0),IF(IF(ISNUMBER(G116),AND(G116&gt;=0,G116&lt;=100000000),FALSE()),G116,0))</f>
        <v>0</v>
      </c>
      <c r="S116" s="98" t="str">
        <f aca="false">IF(ISBLANK(H116),IF(AND(ISBLANK(C116),Fill_Example="Yes"),"Must have","Must have"),IF(ISNUMBER(MATCH(H116,{"Must have","Nice to have"},0)),H116,"Must have"))</f>
        <v>Must have</v>
      </c>
      <c r="T116" s="98" t="str">
        <f aca="false">IF(ISBLANK(I116),"",IF(IF(ISNUMBER(I116),AND(I116&gt;=1,I116&lt;=22,I116=INT(I116)),FALSE()),I116,""))</f>
        <v/>
      </c>
      <c r="U116" s="98" t="str">
        <f aca="false">IF(ISBLANK(J116),IF(AND(ISBLANK(C116),Fill_Example="Yes"),"No","No"),IF(ISNUMBER(MATCH(J116,{"Yes","No"},0)),J116,"No"))</f>
        <v>No</v>
      </c>
    </row>
    <row r="117" customFormat="false" ht="15" hidden="false" customHeight="true" outlineLevel="0" collapsed="false">
      <c r="B117" s="1" t="s">
        <v>1527</v>
      </c>
      <c r="C117" s="97"/>
      <c r="D117" s="97"/>
      <c r="E117" s="97"/>
      <c r="F117" s="97"/>
      <c r="G117" s="97"/>
      <c r="H117" s="97"/>
      <c r="I117" s="97"/>
      <c r="J117" s="97"/>
      <c r="N117" s="98" t="str">
        <f aca="false">IF(ISBLANK(C117),IF(Fill_Example="Yes","",""),IF(ISNUMBER(MATCH(C117,Goal_Keys,0)),C117,""))</f>
        <v/>
      </c>
      <c r="O117" s="98" t="str">
        <f aca="false">IF(ISBLANK(D117),IFERROR(INDEX(Goal_Titles,MATCH(N117,Goal_Keys,0)),""),D117)</f>
        <v/>
      </c>
      <c r="P117" s="98" t="n">
        <f aca="false">IF(ISBLANK(E117),IF(AND(ISBLANK(C117),Fill_Example="Yes"),0,MIN(PR_GoalMaxAge,In_age+IFERROR(INDEX(Goal_DefYrs,MATCH(N117,Goal_Keys,0)),0))),IF(IF(ISNUMBER(E117),AND(E117&gt;=0,E117&lt;=105,E117=INT(E117)),FALSE()),E117,MIN(PR_GoalMaxAge,In_age+IFERROR(INDEX(Goal_DefYrs,MATCH(N117,Goal_Keys,0)),0))))</f>
        <v>0</v>
      </c>
      <c r="Q117" s="98" t="n">
        <f aca="false">IF(ISBLANK(F117),IF(AND(ISBLANK(C117),Fill_Example="Yes"),0,IFERROR(INDEX(Goal_DefAmt,MATCH(N117,Goal_Keys,0)),0)),IF(IF(ISNUMBER(F117),AND(F117&gt;=0,F117&lt;=100000000),FALSE()),F117,IFERROR(INDEX(Goal_DefAmt,MATCH(N117,Goal_Keys,0)),0)))</f>
        <v>0</v>
      </c>
      <c r="R117" s="98" t="n">
        <f aca="false">IF(ISBLANK(G117),IF(AND(ISBLANK(C117),Fill_Example="Yes"),0,0),IF(IF(ISNUMBER(G117),AND(G117&gt;=0,G117&lt;=100000000),FALSE()),G117,0))</f>
        <v>0</v>
      </c>
      <c r="S117" s="98" t="str">
        <f aca="false">IF(ISBLANK(H117),IF(AND(ISBLANK(C117),Fill_Example="Yes"),"Must have","Must have"),IF(ISNUMBER(MATCH(H117,{"Must have","Nice to have"},0)),H117,"Must have"))</f>
        <v>Must have</v>
      </c>
      <c r="T117" s="98" t="str">
        <f aca="false">IF(ISBLANK(I117),"",IF(IF(ISNUMBER(I117),AND(I117&gt;=1,I117&lt;=22,I117=INT(I117)),FALSE()),I117,""))</f>
        <v/>
      </c>
      <c r="U117" s="98" t="str">
        <f aca="false">IF(ISBLANK(J117),IF(AND(ISBLANK(C117),Fill_Example="Yes"),"No","No"),IF(ISNUMBER(MATCH(J117,{"Yes","No"},0)),J117,"No"))</f>
        <v>No</v>
      </c>
    </row>
    <row r="118" customFormat="false" ht="15" hidden="false" customHeight="true" outlineLevel="0" collapsed="false">
      <c r="B118" s="1" t="s">
        <v>1528</v>
      </c>
      <c r="C118" s="97"/>
      <c r="D118" s="97"/>
      <c r="E118" s="97"/>
      <c r="F118" s="97"/>
      <c r="G118" s="97"/>
      <c r="H118" s="97"/>
      <c r="I118" s="97"/>
      <c r="J118" s="97"/>
      <c r="N118" s="98" t="str">
        <f aca="false">IF(ISBLANK(C118),IF(Fill_Example="Yes","",""),IF(ISNUMBER(MATCH(C118,Goal_Keys,0)),C118,""))</f>
        <v/>
      </c>
      <c r="O118" s="98" t="str">
        <f aca="false">IF(ISBLANK(D118),IFERROR(INDEX(Goal_Titles,MATCH(N118,Goal_Keys,0)),""),D118)</f>
        <v/>
      </c>
      <c r="P118" s="98" t="n">
        <f aca="false">IF(ISBLANK(E118),IF(AND(ISBLANK(C118),Fill_Example="Yes"),0,MIN(PR_GoalMaxAge,In_age+IFERROR(INDEX(Goal_DefYrs,MATCH(N118,Goal_Keys,0)),0))),IF(IF(ISNUMBER(E118),AND(E118&gt;=0,E118&lt;=105,E118=INT(E118)),FALSE()),E118,MIN(PR_GoalMaxAge,In_age+IFERROR(INDEX(Goal_DefYrs,MATCH(N118,Goal_Keys,0)),0))))</f>
        <v>0</v>
      </c>
      <c r="Q118" s="98" t="n">
        <f aca="false">IF(ISBLANK(F118),IF(AND(ISBLANK(C118),Fill_Example="Yes"),0,IFERROR(INDEX(Goal_DefAmt,MATCH(N118,Goal_Keys,0)),0)),IF(IF(ISNUMBER(F118),AND(F118&gt;=0,F118&lt;=100000000),FALSE()),F118,IFERROR(INDEX(Goal_DefAmt,MATCH(N118,Goal_Keys,0)),0)))</f>
        <v>0</v>
      </c>
      <c r="R118" s="98" t="n">
        <f aca="false">IF(ISBLANK(G118),IF(AND(ISBLANK(C118),Fill_Example="Yes"),0,0),IF(IF(ISNUMBER(G118),AND(G118&gt;=0,G118&lt;=100000000),FALSE()),G118,0))</f>
        <v>0</v>
      </c>
      <c r="S118" s="98" t="str">
        <f aca="false">IF(ISBLANK(H118),IF(AND(ISBLANK(C118),Fill_Example="Yes"),"Must have","Must have"),IF(ISNUMBER(MATCH(H118,{"Must have","Nice to have"},0)),H118,"Must have"))</f>
        <v>Must have</v>
      </c>
      <c r="T118" s="98" t="str">
        <f aca="false">IF(ISBLANK(I118),"",IF(IF(ISNUMBER(I118),AND(I118&gt;=1,I118&lt;=22,I118=INT(I118)),FALSE()),I118,""))</f>
        <v/>
      </c>
      <c r="U118" s="98" t="str">
        <f aca="false">IF(ISBLANK(J118),IF(AND(ISBLANK(C118),Fill_Example="Yes"),"No","No"),IF(ISNUMBER(MATCH(J118,{"Yes","No"},0)),J118,"No"))</f>
        <v>No</v>
      </c>
    </row>
    <row r="119" customFormat="false" ht="15" hidden="false" customHeight="true" outlineLevel="0" collapsed="false">
      <c r="B119" s="1" t="s">
        <v>1529</v>
      </c>
      <c r="C119" s="97"/>
      <c r="D119" s="97"/>
      <c r="E119" s="97"/>
      <c r="F119" s="97"/>
      <c r="G119" s="97"/>
      <c r="H119" s="97"/>
      <c r="I119" s="97"/>
      <c r="J119" s="97"/>
      <c r="N119" s="98" t="str">
        <f aca="false">IF(ISBLANK(C119),IF(Fill_Example="Yes","",""),IF(ISNUMBER(MATCH(C119,Goal_Keys,0)),C119,""))</f>
        <v/>
      </c>
      <c r="O119" s="98" t="str">
        <f aca="false">IF(ISBLANK(D119),IFERROR(INDEX(Goal_Titles,MATCH(N119,Goal_Keys,0)),""),D119)</f>
        <v/>
      </c>
      <c r="P119" s="98" t="n">
        <f aca="false">IF(ISBLANK(E119),IF(AND(ISBLANK(C119),Fill_Example="Yes"),0,MIN(PR_GoalMaxAge,In_age+IFERROR(INDEX(Goal_DefYrs,MATCH(N119,Goal_Keys,0)),0))),IF(IF(ISNUMBER(E119),AND(E119&gt;=0,E119&lt;=105,E119=INT(E119)),FALSE()),E119,MIN(PR_GoalMaxAge,In_age+IFERROR(INDEX(Goal_DefYrs,MATCH(N119,Goal_Keys,0)),0))))</f>
        <v>0</v>
      </c>
      <c r="Q119" s="98" t="n">
        <f aca="false">IF(ISBLANK(F119),IF(AND(ISBLANK(C119),Fill_Example="Yes"),0,IFERROR(INDEX(Goal_DefAmt,MATCH(N119,Goal_Keys,0)),0)),IF(IF(ISNUMBER(F119),AND(F119&gt;=0,F119&lt;=100000000),FALSE()),F119,IFERROR(INDEX(Goal_DefAmt,MATCH(N119,Goal_Keys,0)),0)))</f>
        <v>0</v>
      </c>
      <c r="R119" s="98" t="n">
        <f aca="false">IF(ISBLANK(G119),IF(AND(ISBLANK(C119),Fill_Example="Yes"),0,0),IF(IF(ISNUMBER(G119),AND(G119&gt;=0,G119&lt;=100000000),FALSE()),G119,0))</f>
        <v>0</v>
      </c>
      <c r="S119" s="98" t="str">
        <f aca="false">IF(ISBLANK(H119),IF(AND(ISBLANK(C119),Fill_Example="Yes"),"Must have","Must have"),IF(ISNUMBER(MATCH(H119,{"Must have","Nice to have"},0)),H119,"Must have"))</f>
        <v>Must have</v>
      </c>
      <c r="T119" s="98" t="str">
        <f aca="false">IF(ISBLANK(I119),"",IF(IF(ISNUMBER(I119),AND(I119&gt;=1,I119&lt;=22,I119=INT(I119)),FALSE()),I119,""))</f>
        <v/>
      </c>
      <c r="U119" s="98" t="str">
        <f aca="false">IF(ISBLANK(J119),IF(AND(ISBLANK(C119),Fill_Example="Yes"),"No","No"),IF(ISNUMBER(MATCH(J119,{"Yes","No"},0)),J119,"No"))</f>
        <v>No</v>
      </c>
    </row>
    <row r="120" customFormat="false" ht="15" hidden="false" customHeight="true" outlineLevel="0" collapsed="false">
      <c r="B120" s="1" t="s">
        <v>1530</v>
      </c>
      <c r="C120" s="97"/>
      <c r="D120" s="97"/>
      <c r="E120" s="97"/>
      <c r="F120" s="97"/>
      <c r="G120" s="97"/>
      <c r="H120" s="97"/>
      <c r="I120" s="97"/>
      <c r="J120" s="97"/>
      <c r="N120" s="98" t="str">
        <f aca="false">IF(ISBLANK(C120),IF(Fill_Example="Yes","",""),IF(ISNUMBER(MATCH(C120,Goal_Keys,0)),C120,""))</f>
        <v/>
      </c>
      <c r="O120" s="98" t="str">
        <f aca="false">IF(ISBLANK(D120),IFERROR(INDEX(Goal_Titles,MATCH(N120,Goal_Keys,0)),""),D120)</f>
        <v/>
      </c>
      <c r="P120" s="98" t="n">
        <f aca="false">IF(ISBLANK(E120),IF(AND(ISBLANK(C120),Fill_Example="Yes"),0,MIN(PR_GoalMaxAge,In_age+IFERROR(INDEX(Goal_DefYrs,MATCH(N120,Goal_Keys,0)),0))),IF(IF(ISNUMBER(E120),AND(E120&gt;=0,E120&lt;=105,E120=INT(E120)),FALSE()),E120,MIN(PR_GoalMaxAge,In_age+IFERROR(INDEX(Goal_DefYrs,MATCH(N120,Goal_Keys,0)),0))))</f>
        <v>0</v>
      </c>
      <c r="Q120" s="98" t="n">
        <f aca="false">IF(ISBLANK(F120),IF(AND(ISBLANK(C120),Fill_Example="Yes"),0,IFERROR(INDEX(Goal_DefAmt,MATCH(N120,Goal_Keys,0)),0)),IF(IF(ISNUMBER(F120),AND(F120&gt;=0,F120&lt;=100000000),FALSE()),F120,IFERROR(INDEX(Goal_DefAmt,MATCH(N120,Goal_Keys,0)),0)))</f>
        <v>0</v>
      </c>
      <c r="R120" s="98" t="n">
        <f aca="false">IF(ISBLANK(G120),IF(AND(ISBLANK(C120),Fill_Example="Yes"),0,0),IF(IF(ISNUMBER(G120),AND(G120&gt;=0,G120&lt;=100000000),FALSE()),G120,0))</f>
        <v>0</v>
      </c>
      <c r="S120" s="98" t="str">
        <f aca="false">IF(ISBLANK(H120),IF(AND(ISBLANK(C120),Fill_Example="Yes"),"Must have","Must have"),IF(ISNUMBER(MATCH(H120,{"Must have","Nice to have"},0)),H120,"Must have"))</f>
        <v>Must have</v>
      </c>
      <c r="T120" s="98" t="str">
        <f aca="false">IF(ISBLANK(I120),"",IF(IF(ISNUMBER(I120),AND(I120&gt;=1,I120&lt;=22,I120=INT(I120)),FALSE()),I120,""))</f>
        <v/>
      </c>
      <c r="U120" s="98" t="str">
        <f aca="false">IF(ISBLANK(J120),IF(AND(ISBLANK(C120),Fill_Example="Yes"),"No","No"),IF(ISNUMBER(MATCH(J120,{"Yes","No"},0)),J120,"No"))</f>
        <v>No</v>
      </c>
    </row>
    <row r="121" customFormat="false" ht="15" hidden="false" customHeight="true" outlineLevel="0" collapsed="false">
      <c r="B121" s="1" t="s">
        <v>1531</v>
      </c>
      <c r="C121" s="97"/>
      <c r="D121" s="97"/>
      <c r="E121" s="97"/>
      <c r="F121" s="97"/>
      <c r="G121" s="97"/>
      <c r="H121" s="97"/>
      <c r="I121" s="97"/>
      <c r="J121" s="97"/>
      <c r="N121" s="98" t="str">
        <f aca="false">IF(ISBLANK(C121),IF(Fill_Example="Yes","",""),IF(ISNUMBER(MATCH(C121,Goal_Keys,0)),C121,""))</f>
        <v/>
      </c>
      <c r="O121" s="98" t="str">
        <f aca="false">IF(ISBLANK(D121),IFERROR(INDEX(Goal_Titles,MATCH(N121,Goal_Keys,0)),""),D121)</f>
        <v/>
      </c>
      <c r="P121" s="98" t="n">
        <f aca="false">IF(ISBLANK(E121),IF(AND(ISBLANK(C121),Fill_Example="Yes"),0,MIN(PR_GoalMaxAge,In_age+IFERROR(INDEX(Goal_DefYrs,MATCH(N121,Goal_Keys,0)),0))),IF(IF(ISNUMBER(E121),AND(E121&gt;=0,E121&lt;=105,E121=INT(E121)),FALSE()),E121,MIN(PR_GoalMaxAge,In_age+IFERROR(INDEX(Goal_DefYrs,MATCH(N121,Goal_Keys,0)),0))))</f>
        <v>0</v>
      </c>
      <c r="Q121" s="98" t="n">
        <f aca="false">IF(ISBLANK(F121),IF(AND(ISBLANK(C121),Fill_Example="Yes"),0,IFERROR(INDEX(Goal_DefAmt,MATCH(N121,Goal_Keys,0)),0)),IF(IF(ISNUMBER(F121),AND(F121&gt;=0,F121&lt;=100000000),FALSE()),F121,IFERROR(INDEX(Goal_DefAmt,MATCH(N121,Goal_Keys,0)),0)))</f>
        <v>0</v>
      </c>
      <c r="R121" s="98" t="n">
        <f aca="false">IF(ISBLANK(G121),IF(AND(ISBLANK(C121),Fill_Example="Yes"),0,0),IF(IF(ISNUMBER(G121),AND(G121&gt;=0,G121&lt;=100000000),FALSE()),G121,0))</f>
        <v>0</v>
      </c>
      <c r="S121" s="98" t="str">
        <f aca="false">IF(ISBLANK(H121),IF(AND(ISBLANK(C121),Fill_Example="Yes"),"Must have","Must have"),IF(ISNUMBER(MATCH(H121,{"Must have","Nice to have"},0)),H121,"Must have"))</f>
        <v>Must have</v>
      </c>
      <c r="T121" s="98" t="str">
        <f aca="false">IF(ISBLANK(I121),"",IF(IF(ISNUMBER(I121),AND(I121&gt;=1,I121&lt;=22,I121=INT(I121)),FALSE()),I121,""))</f>
        <v/>
      </c>
      <c r="U121" s="98" t="str">
        <f aca="false">IF(ISBLANK(J121),IF(AND(ISBLANK(C121),Fill_Example="Yes"),"No","No"),IF(ISNUMBER(MATCH(J121,{"Yes","No"},0)),J121,"No"))</f>
        <v>No</v>
      </c>
    </row>
    <row r="122" customFormat="false" ht="15" hidden="false" customHeight="true" outlineLevel="0" collapsed="false">
      <c r="B122" s="1" t="s">
        <v>1532</v>
      </c>
      <c r="C122" s="97"/>
      <c r="D122" s="97"/>
      <c r="E122" s="97"/>
      <c r="F122" s="97"/>
      <c r="G122" s="97"/>
      <c r="H122" s="97"/>
      <c r="I122" s="97"/>
      <c r="J122" s="97"/>
      <c r="N122" s="98" t="str">
        <f aca="false">IF(ISBLANK(C122),IF(Fill_Example="Yes","",""),IF(ISNUMBER(MATCH(C122,Goal_Keys,0)),C122,""))</f>
        <v/>
      </c>
      <c r="O122" s="98" t="str">
        <f aca="false">IF(ISBLANK(D122),IFERROR(INDEX(Goal_Titles,MATCH(N122,Goal_Keys,0)),""),D122)</f>
        <v/>
      </c>
      <c r="P122" s="98" t="n">
        <f aca="false">IF(ISBLANK(E122),IF(AND(ISBLANK(C122),Fill_Example="Yes"),0,MIN(PR_GoalMaxAge,In_age+IFERROR(INDEX(Goal_DefYrs,MATCH(N122,Goal_Keys,0)),0))),IF(IF(ISNUMBER(E122),AND(E122&gt;=0,E122&lt;=105,E122=INT(E122)),FALSE()),E122,MIN(PR_GoalMaxAge,In_age+IFERROR(INDEX(Goal_DefYrs,MATCH(N122,Goal_Keys,0)),0))))</f>
        <v>0</v>
      </c>
      <c r="Q122" s="98" t="n">
        <f aca="false">IF(ISBLANK(F122),IF(AND(ISBLANK(C122),Fill_Example="Yes"),0,IFERROR(INDEX(Goal_DefAmt,MATCH(N122,Goal_Keys,0)),0)),IF(IF(ISNUMBER(F122),AND(F122&gt;=0,F122&lt;=100000000),FALSE()),F122,IFERROR(INDEX(Goal_DefAmt,MATCH(N122,Goal_Keys,0)),0)))</f>
        <v>0</v>
      </c>
      <c r="R122" s="98" t="n">
        <f aca="false">IF(ISBLANK(G122),IF(AND(ISBLANK(C122),Fill_Example="Yes"),0,0),IF(IF(ISNUMBER(G122),AND(G122&gt;=0,G122&lt;=100000000),FALSE()),G122,0))</f>
        <v>0</v>
      </c>
      <c r="S122" s="98" t="str">
        <f aca="false">IF(ISBLANK(H122),IF(AND(ISBLANK(C122),Fill_Example="Yes"),"Must have","Must have"),IF(ISNUMBER(MATCH(H122,{"Must have","Nice to have"},0)),H122,"Must have"))</f>
        <v>Must have</v>
      </c>
      <c r="T122" s="98" t="str">
        <f aca="false">IF(ISBLANK(I122),"",IF(IF(ISNUMBER(I122),AND(I122&gt;=1,I122&lt;=22,I122=INT(I122)),FALSE()),I122,""))</f>
        <v/>
      </c>
      <c r="U122" s="98" t="str">
        <f aca="false">IF(ISBLANK(J122),IF(AND(ISBLANK(C122),Fill_Example="Yes"),"No","No"),IF(ISNUMBER(MATCH(J122,{"Yes","No"},0)),J122,"No"))</f>
        <v>No</v>
      </c>
    </row>
    <row r="123" customFormat="false" ht="15" hidden="false" customHeight="true" outlineLevel="0" collapsed="false">
      <c r="B123" s="1" t="s">
        <v>1533</v>
      </c>
      <c r="C123" s="97"/>
      <c r="D123" s="97"/>
      <c r="E123" s="97"/>
      <c r="F123" s="97"/>
      <c r="G123" s="97"/>
      <c r="H123" s="97"/>
      <c r="I123" s="97"/>
      <c r="J123" s="97"/>
      <c r="N123" s="98" t="str">
        <f aca="false">IF(ISBLANK(C123),IF(Fill_Example="Yes","",""),IF(ISNUMBER(MATCH(C123,Goal_Keys,0)),C123,""))</f>
        <v/>
      </c>
      <c r="O123" s="98" t="str">
        <f aca="false">IF(ISBLANK(D123),IFERROR(INDEX(Goal_Titles,MATCH(N123,Goal_Keys,0)),""),D123)</f>
        <v/>
      </c>
      <c r="P123" s="98" t="n">
        <f aca="false">IF(ISBLANK(E123),IF(AND(ISBLANK(C123),Fill_Example="Yes"),0,MIN(PR_GoalMaxAge,In_age+IFERROR(INDEX(Goal_DefYrs,MATCH(N123,Goal_Keys,0)),0))),IF(IF(ISNUMBER(E123),AND(E123&gt;=0,E123&lt;=105,E123=INT(E123)),FALSE()),E123,MIN(PR_GoalMaxAge,In_age+IFERROR(INDEX(Goal_DefYrs,MATCH(N123,Goal_Keys,0)),0))))</f>
        <v>0</v>
      </c>
      <c r="Q123" s="98" t="n">
        <f aca="false">IF(ISBLANK(F123),IF(AND(ISBLANK(C123),Fill_Example="Yes"),0,IFERROR(INDEX(Goal_DefAmt,MATCH(N123,Goal_Keys,0)),0)),IF(IF(ISNUMBER(F123),AND(F123&gt;=0,F123&lt;=100000000),FALSE()),F123,IFERROR(INDEX(Goal_DefAmt,MATCH(N123,Goal_Keys,0)),0)))</f>
        <v>0</v>
      </c>
      <c r="R123" s="98" t="n">
        <f aca="false">IF(ISBLANK(G123),IF(AND(ISBLANK(C123),Fill_Example="Yes"),0,0),IF(IF(ISNUMBER(G123),AND(G123&gt;=0,G123&lt;=100000000),FALSE()),G123,0))</f>
        <v>0</v>
      </c>
      <c r="S123" s="98" t="str">
        <f aca="false">IF(ISBLANK(H123),IF(AND(ISBLANK(C123),Fill_Example="Yes"),"Must have","Must have"),IF(ISNUMBER(MATCH(H123,{"Must have","Nice to have"},0)),H123,"Must have"))</f>
        <v>Must have</v>
      </c>
      <c r="T123" s="98" t="str">
        <f aca="false">IF(ISBLANK(I123),"",IF(IF(ISNUMBER(I123),AND(I123&gt;=1,I123&lt;=22,I123=INT(I123)),FALSE()),I123,""))</f>
        <v/>
      </c>
      <c r="U123" s="98" t="str">
        <f aca="false">IF(ISBLANK(J123),IF(AND(ISBLANK(C123),Fill_Example="Yes"),"No","No"),IF(ISNUMBER(MATCH(J123,{"Yes","No"},0)),J123,"No"))</f>
        <v>No</v>
      </c>
    </row>
    <row r="124" customFormat="false" ht="15" hidden="false" customHeight="true" outlineLevel="0" collapsed="false">
      <c r="B124" s="1" t="s">
        <v>1534</v>
      </c>
      <c r="C124" s="97"/>
      <c r="D124" s="97"/>
      <c r="E124" s="97"/>
      <c r="F124" s="97"/>
      <c r="G124" s="97"/>
      <c r="H124" s="97"/>
      <c r="I124" s="97"/>
      <c r="J124" s="97"/>
      <c r="N124" s="98" t="str">
        <f aca="false">IF(ISBLANK(C124),IF(Fill_Example="Yes","",""),IF(ISNUMBER(MATCH(C124,Goal_Keys,0)),C124,""))</f>
        <v/>
      </c>
      <c r="O124" s="98" t="str">
        <f aca="false">IF(ISBLANK(D124),IFERROR(INDEX(Goal_Titles,MATCH(N124,Goal_Keys,0)),""),D124)</f>
        <v/>
      </c>
      <c r="P124" s="98" t="n">
        <f aca="false">IF(ISBLANK(E124),IF(AND(ISBLANK(C124),Fill_Example="Yes"),0,MIN(PR_GoalMaxAge,In_age+IFERROR(INDEX(Goal_DefYrs,MATCH(N124,Goal_Keys,0)),0))),IF(IF(ISNUMBER(E124),AND(E124&gt;=0,E124&lt;=105,E124=INT(E124)),FALSE()),E124,MIN(PR_GoalMaxAge,In_age+IFERROR(INDEX(Goal_DefYrs,MATCH(N124,Goal_Keys,0)),0))))</f>
        <v>0</v>
      </c>
      <c r="Q124" s="98" t="n">
        <f aca="false">IF(ISBLANK(F124),IF(AND(ISBLANK(C124),Fill_Example="Yes"),0,IFERROR(INDEX(Goal_DefAmt,MATCH(N124,Goal_Keys,0)),0)),IF(IF(ISNUMBER(F124),AND(F124&gt;=0,F124&lt;=100000000),FALSE()),F124,IFERROR(INDEX(Goal_DefAmt,MATCH(N124,Goal_Keys,0)),0)))</f>
        <v>0</v>
      </c>
      <c r="R124" s="98" t="n">
        <f aca="false">IF(ISBLANK(G124),IF(AND(ISBLANK(C124),Fill_Example="Yes"),0,0),IF(IF(ISNUMBER(G124),AND(G124&gt;=0,G124&lt;=100000000),FALSE()),G124,0))</f>
        <v>0</v>
      </c>
      <c r="S124" s="98" t="str">
        <f aca="false">IF(ISBLANK(H124),IF(AND(ISBLANK(C124),Fill_Example="Yes"),"Must have","Must have"),IF(ISNUMBER(MATCH(H124,{"Must have","Nice to have"},0)),H124,"Must have"))</f>
        <v>Must have</v>
      </c>
      <c r="T124" s="98" t="str">
        <f aca="false">IF(ISBLANK(I124),"",IF(IF(ISNUMBER(I124),AND(I124&gt;=1,I124&lt;=22,I124=INT(I124)),FALSE()),I124,""))</f>
        <v/>
      </c>
      <c r="U124" s="98" t="str">
        <f aca="false">IF(ISBLANK(J124),IF(AND(ISBLANK(C124),Fill_Example="Yes"),"No","No"),IF(ISNUMBER(MATCH(J124,{"Yes","No"},0)),J124,"No"))</f>
        <v>No</v>
      </c>
    </row>
    <row r="125" customFormat="false" ht="15" hidden="false" customHeight="true" outlineLevel="0" collapsed="false">
      <c r="B125" s="1" t="s">
        <v>1535</v>
      </c>
      <c r="C125" s="97"/>
      <c r="D125" s="97"/>
      <c r="E125" s="97"/>
      <c r="F125" s="97"/>
      <c r="G125" s="97"/>
      <c r="H125" s="97"/>
      <c r="I125" s="97"/>
      <c r="J125" s="97"/>
      <c r="N125" s="98" t="str">
        <f aca="false">IF(ISBLANK(C125),IF(Fill_Example="Yes","",""),IF(ISNUMBER(MATCH(C125,Goal_Keys,0)),C125,""))</f>
        <v/>
      </c>
      <c r="O125" s="98" t="str">
        <f aca="false">IF(ISBLANK(D125),IFERROR(INDEX(Goal_Titles,MATCH(N125,Goal_Keys,0)),""),D125)</f>
        <v/>
      </c>
      <c r="P125" s="98" t="n">
        <f aca="false">IF(ISBLANK(E125),IF(AND(ISBLANK(C125),Fill_Example="Yes"),0,MIN(PR_GoalMaxAge,In_age+IFERROR(INDEX(Goal_DefYrs,MATCH(N125,Goal_Keys,0)),0))),IF(IF(ISNUMBER(E125),AND(E125&gt;=0,E125&lt;=105,E125=INT(E125)),FALSE()),E125,MIN(PR_GoalMaxAge,In_age+IFERROR(INDEX(Goal_DefYrs,MATCH(N125,Goal_Keys,0)),0))))</f>
        <v>0</v>
      </c>
      <c r="Q125" s="98" t="n">
        <f aca="false">IF(ISBLANK(F125),IF(AND(ISBLANK(C125),Fill_Example="Yes"),0,IFERROR(INDEX(Goal_DefAmt,MATCH(N125,Goal_Keys,0)),0)),IF(IF(ISNUMBER(F125),AND(F125&gt;=0,F125&lt;=100000000),FALSE()),F125,IFERROR(INDEX(Goal_DefAmt,MATCH(N125,Goal_Keys,0)),0)))</f>
        <v>0</v>
      </c>
      <c r="R125" s="98" t="n">
        <f aca="false">IF(ISBLANK(G125),IF(AND(ISBLANK(C125),Fill_Example="Yes"),0,0),IF(IF(ISNUMBER(G125),AND(G125&gt;=0,G125&lt;=100000000),FALSE()),G125,0))</f>
        <v>0</v>
      </c>
      <c r="S125" s="98" t="str">
        <f aca="false">IF(ISBLANK(H125),IF(AND(ISBLANK(C125),Fill_Example="Yes"),"Must have","Must have"),IF(ISNUMBER(MATCH(H125,{"Must have","Nice to have"},0)),H125,"Must have"))</f>
        <v>Must have</v>
      </c>
      <c r="T125" s="98" t="str">
        <f aca="false">IF(ISBLANK(I125),"",IF(IF(ISNUMBER(I125),AND(I125&gt;=1,I125&lt;=22,I125=INT(I125)),FALSE()),I125,""))</f>
        <v/>
      </c>
      <c r="U125" s="98" t="str">
        <f aca="false">IF(ISBLANK(J125),IF(AND(ISBLANK(C125),Fill_Example="Yes"),"No","No"),IF(ISNUMBER(MATCH(J125,{"Yes","No"},0)),J125,"No"))</f>
        <v>No</v>
      </c>
    </row>
    <row r="126" customFormat="false" ht="15" hidden="false" customHeight="true" outlineLevel="0" collapsed="false">
      <c r="B126" s="1" t="s">
        <v>1536</v>
      </c>
      <c r="C126" s="97"/>
      <c r="D126" s="97"/>
      <c r="E126" s="97"/>
      <c r="F126" s="97"/>
      <c r="G126" s="97"/>
      <c r="H126" s="97"/>
      <c r="I126" s="97"/>
      <c r="J126" s="97"/>
      <c r="N126" s="98" t="str">
        <f aca="false">IF(ISBLANK(C126),IF(Fill_Example="Yes","",""),IF(ISNUMBER(MATCH(C126,Goal_Keys,0)),C126,""))</f>
        <v/>
      </c>
      <c r="O126" s="98" t="str">
        <f aca="false">IF(ISBLANK(D126),IFERROR(INDEX(Goal_Titles,MATCH(N126,Goal_Keys,0)),""),D126)</f>
        <v/>
      </c>
      <c r="P126" s="98" t="n">
        <f aca="false">IF(ISBLANK(E126),IF(AND(ISBLANK(C126),Fill_Example="Yes"),0,MIN(PR_GoalMaxAge,In_age+IFERROR(INDEX(Goal_DefYrs,MATCH(N126,Goal_Keys,0)),0))),IF(IF(ISNUMBER(E126),AND(E126&gt;=0,E126&lt;=105,E126=INT(E126)),FALSE()),E126,MIN(PR_GoalMaxAge,In_age+IFERROR(INDEX(Goal_DefYrs,MATCH(N126,Goal_Keys,0)),0))))</f>
        <v>0</v>
      </c>
      <c r="Q126" s="98" t="n">
        <f aca="false">IF(ISBLANK(F126),IF(AND(ISBLANK(C126),Fill_Example="Yes"),0,IFERROR(INDEX(Goal_DefAmt,MATCH(N126,Goal_Keys,0)),0)),IF(IF(ISNUMBER(F126),AND(F126&gt;=0,F126&lt;=100000000),FALSE()),F126,IFERROR(INDEX(Goal_DefAmt,MATCH(N126,Goal_Keys,0)),0)))</f>
        <v>0</v>
      </c>
      <c r="R126" s="98" t="n">
        <f aca="false">IF(ISBLANK(G126),IF(AND(ISBLANK(C126),Fill_Example="Yes"),0,0),IF(IF(ISNUMBER(G126),AND(G126&gt;=0,G126&lt;=100000000),FALSE()),G126,0))</f>
        <v>0</v>
      </c>
      <c r="S126" s="98" t="str">
        <f aca="false">IF(ISBLANK(H126),IF(AND(ISBLANK(C126),Fill_Example="Yes"),"Must have","Must have"),IF(ISNUMBER(MATCH(H126,{"Must have","Nice to have"},0)),H126,"Must have"))</f>
        <v>Must have</v>
      </c>
      <c r="T126" s="98" t="str">
        <f aca="false">IF(ISBLANK(I126),"",IF(IF(ISNUMBER(I126),AND(I126&gt;=1,I126&lt;=22,I126=INT(I126)),FALSE()),I126,""))</f>
        <v/>
      </c>
      <c r="U126" s="98" t="str">
        <f aca="false">IF(ISBLANK(J126),IF(AND(ISBLANK(C126),Fill_Example="Yes"),"No","No"),IF(ISNUMBER(MATCH(J126,{"Yes","No"},0)),J126,"No"))</f>
        <v>No</v>
      </c>
    </row>
    <row r="127" customFormat="false" ht="15" hidden="false" customHeight="true" outlineLevel="0" collapsed="false">
      <c r="B127" s="1" t="s">
        <v>1537</v>
      </c>
      <c r="C127" s="97"/>
      <c r="D127" s="97"/>
      <c r="E127" s="97"/>
      <c r="F127" s="97"/>
      <c r="G127" s="97"/>
      <c r="H127" s="97"/>
      <c r="I127" s="97"/>
      <c r="J127" s="97"/>
      <c r="N127" s="98" t="str">
        <f aca="false">IF(ISBLANK(C127),IF(Fill_Example="Yes","",""),IF(ISNUMBER(MATCH(C127,Goal_Keys,0)),C127,""))</f>
        <v/>
      </c>
      <c r="O127" s="98" t="str">
        <f aca="false">IF(ISBLANK(D127),IFERROR(INDEX(Goal_Titles,MATCH(N127,Goal_Keys,0)),""),D127)</f>
        <v/>
      </c>
      <c r="P127" s="98" t="n">
        <f aca="false">IF(ISBLANK(E127),IF(AND(ISBLANK(C127),Fill_Example="Yes"),0,MIN(PR_GoalMaxAge,In_age+IFERROR(INDEX(Goal_DefYrs,MATCH(N127,Goal_Keys,0)),0))),IF(IF(ISNUMBER(E127),AND(E127&gt;=0,E127&lt;=105,E127=INT(E127)),FALSE()),E127,MIN(PR_GoalMaxAge,In_age+IFERROR(INDEX(Goal_DefYrs,MATCH(N127,Goal_Keys,0)),0))))</f>
        <v>0</v>
      </c>
      <c r="Q127" s="98" t="n">
        <f aca="false">IF(ISBLANK(F127),IF(AND(ISBLANK(C127),Fill_Example="Yes"),0,IFERROR(INDEX(Goal_DefAmt,MATCH(N127,Goal_Keys,0)),0)),IF(IF(ISNUMBER(F127),AND(F127&gt;=0,F127&lt;=100000000),FALSE()),F127,IFERROR(INDEX(Goal_DefAmt,MATCH(N127,Goal_Keys,0)),0)))</f>
        <v>0</v>
      </c>
      <c r="R127" s="98" t="n">
        <f aca="false">IF(ISBLANK(G127),IF(AND(ISBLANK(C127),Fill_Example="Yes"),0,0),IF(IF(ISNUMBER(G127),AND(G127&gt;=0,G127&lt;=100000000),FALSE()),G127,0))</f>
        <v>0</v>
      </c>
      <c r="S127" s="98" t="str">
        <f aca="false">IF(ISBLANK(H127),IF(AND(ISBLANK(C127),Fill_Example="Yes"),"Must have","Must have"),IF(ISNUMBER(MATCH(H127,{"Must have","Nice to have"},0)),H127,"Must have"))</f>
        <v>Must have</v>
      </c>
      <c r="T127" s="98" t="str">
        <f aca="false">IF(ISBLANK(I127),"",IF(IF(ISNUMBER(I127),AND(I127&gt;=1,I127&lt;=22,I127=INT(I127)),FALSE()),I127,""))</f>
        <v/>
      </c>
      <c r="U127" s="98" t="str">
        <f aca="false">IF(ISBLANK(J127),IF(AND(ISBLANK(C127),Fill_Example="Yes"),"No","No"),IF(ISNUMBER(MATCH(J127,{"Yes","No"},0)),J127,"No"))</f>
        <v>No</v>
      </c>
    </row>
    <row r="128" customFormat="false" ht="15" hidden="false" customHeight="true" outlineLevel="0" collapsed="false">
      <c r="B128" s="1" t="s">
        <v>1538</v>
      </c>
      <c r="C128" s="97"/>
      <c r="D128" s="97"/>
      <c r="E128" s="97"/>
      <c r="F128" s="97"/>
      <c r="G128" s="97"/>
      <c r="H128" s="97"/>
      <c r="I128" s="97"/>
      <c r="J128" s="97"/>
      <c r="N128" s="98" t="str">
        <f aca="false">IF(ISBLANK(C128),IF(Fill_Example="Yes","",""),IF(ISNUMBER(MATCH(C128,Goal_Keys,0)),C128,""))</f>
        <v/>
      </c>
      <c r="O128" s="98" t="str">
        <f aca="false">IF(ISBLANK(D128),IFERROR(INDEX(Goal_Titles,MATCH(N128,Goal_Keys,0)),""),D128)</f>
        <v/>
      </c>
      <c r="P128" s="98" t="n">
        <f aca="false">IF(ISBLANK(E128),IF(AND(ISBLANK(C128),Fill_Example="Yes"),0,MIN(PR_GoalMaxAge,In_age+IFERROR(INDEX(Goal_DefYrs,MATCH(N128,Goal_Keys,0)),0))),IF(IF(ISNUMBER(E128),AND(E128&gt;=0,E128&lt;=105,E128=INT(E128)),FALSE()),E128,MIN(PR_GoalMaxAge,In_age+IFERROR(INDEX(Goal_DefYrs,MATCH(N128,Goal_Keys,0)),0))))</f>
        <v>0</v>
      </c>
      <c r="Q128" s="98" t="n">
        <f aca="false">IF(ISBLANK(F128),IF(AND(ISBLANK(C128),Fill_Example="Yes"),0,IFERROR(INDEX(Goal_DefAmt,MATCH(N128,Goal_Keys,0)),0)),IF(IF(ISNUMBER(F128),AND(F128&gt;=0,F128&lt;=100000000),FALSE()),F128,IFERROR(INDEX(Goal_DefAmt,MATCH(N128,Goal_Keys,0)),0)))</f>
        <v>0</v>
      </c>
      <c r="R128" s="98" t="n">
        <f aca="false">IF(ISBLANK(G128),IF(AND(ISBLANK(C128),Fill_Example="Yes"),0,0),IF(IF(ISNUMBER(G128),AND(G128&gt;=0,G128&lt;=100000000),FALSE()),G128,0))</f>
        <v>0</v>
      </c>
      <c r="S128" s="98" t="str">
        <f aca="false">IF(ISBLANK(H128),IF(AND(ISBLANK(C128),Fill_Example="Yes"),"Must have","Must have"),IF(ISNUMBER(MATCH(H128,{"Must have","Nice to have"},0)),H128,"Must have"))</f>
        <v>Must have</v>
      </c>
      <c r="T128" s="98" t="str">
        <f aca="false">IF(ISBLANK(I128),"",IF(IF(ISNUMBER(I128),AND(I128&gt;=1,I128&lt;=22,I128=INT(I128)),FALSE()),I128,""))</f>
        <v/>
      </c>
      <c r="U128" s="98" t="str">
        <f aca="false">IF(ISBLANK(J128),IF(AND(ISBLANK(C128),Fill_Example="Yes"),"No","No"),IF(ISNUMBER(MATCH(J128,{"Yes","No"},0)),J128,"No"))</f>
        <v>No</v>
      </c>
    </row>
    <row r="129" customFormat="false" ht="15" hidden="false" customHeight="true" outlineLevel="0" collapsed="false">
      <c r="B129" s="1" t="s">
        <v>1539</v>
      </c>
      <c r="C129" s="97"/>
      <c r="D129" s="97"/>
      <c r="E129" s="97"/>
      <c r="F129" s="97"/>
      <c r="G129" s="97"/>
      <c r="H129" s="97"/>
      <c r="I129" s="97"/>
      <c r="J129" s="97"/>
      <c r="N129" s="98" t="str">
        <f aca="false">IF(ISBLANK(C129),IF(Fill_Example="Yes","",""),IF(ISNUMBER(MATCH(C129,Goal_Keys,0)),C129,""))</f>
        <v/>
      </c>
      <c r="O129" s="98" t="str">
        <f aca="false">IF(ISBLANK(D129),IFERROR(INDEX(Goal_Titles,MATCH(N129,Goal_Keys,0)),""),D129)</f>
        <v/>
      </c>
      <c r="P129" s="98" t="n">
        <f aca="false">IF(ISBLANK(E129),IF(AND(ISBLANK(C129),Fill_Example="Yes"),0,MIN(PR_GoalMaxAge,In_age+IFERROR(INDEX(Goal_DefYrs,MATCH(N129,Goal_Keys,0)),0))),IF(IF(ISNUMBER(E129),AND(E129&gt;=0,E129&lt;=105,E129=INT(E129)),FALSE()),E129,MIN(PR_GoalMaxAge,In_age+IFERROR(INDEX(Goal_DefYrs,MATCH(N129,Goal_Keys,0)),0))))</f>
        <v>0</v>
      </c>
      <c r="Q129" s="98" t="n">
        <f aca="false">IF(ISBLANK(F129),IF(AND(ISBLANK(C129),Fill_Example="Yes"),0,IFERROR(INDEX(Goal_DefAmt,MATCH(N129,Goal_Keys,0)),0)),IF(IF(ISNUMBER(F129),AND(F129&gt;=0,F129&lt;=100000000),FALSE()),F129,IFERROR(INDEX(Goal_DefAmt,MATCH(N129,Goal_Keys,0)),0)))</f>
        <v>0</v>
      </c>
      <c r="R129" s="98" t="n">
        <f aca="false">IF(ISBLANK(G129),IF(AND(ISBLANK(C129),Fill_Example="Yes"),0,0),IF(IF(ISNUMBER(G129),AND(G129&gt;=0,G129&lt;=100000000),FALSE()),G129,0))</f>
        <v>0</v>
      </c>
      <c r="S129" s="98" t="str">
        <f aca="false">IF(ISBLANK(H129),IF(AND(ISBLANK(C129),Fill_Example="Yes"),"Must have","Must have"),IF(ISNUMBER(MATCH(H129,{"Must have","Nice to have"},0)),H129,"Must have"))</f>
        <v>Must have</v>
      </c>
      <c r="T129" s="98" t="str">
        <f aca="false">IF(ISBLANK(I129),"",IF(IF(ISNUMBER(I129),AND(I129&gt;=1,I129&lt;=22,I129=INT(I129)),FALSE()),I129,""))</f>
        <v/>
      </c>
      <c r="U129" s="98" t="str">
        <f aca="false">IF(ISBLANK(J129),IF(AND(ISBLANK(C129),Fill_Example="Yes"),"No","No"),IF(ISNUMBER(MATCH(J129,{"Yes","No"},0)),J129,"No"))</f>
        <v>No</v>
      </c>
    </row>
    <row r="130" customFormat="false" ht="15" hidden="false" customHeight="true" outlineLevel="0" collapsed="false">
      <c r="B130" s="1" t="s">
        <v>1540</v>
      </c>
      <c r="C130" s="97"/>
      <c r="D130" s="97"/>
      <c r="E130" s="97"/>
      <c r="F130" s="97"/>
      <c r="G130" s="97"/>
      <c r="H130" s="97"/>
      <c r="I130" s="97"/>
      <c r="J130" s="97"/>
      <c r="N130" s="98" t="str">
        <f aca="false">IF(ISBLANK(C130),IF(Fill_Example="Yes","",""),IF(ISNUMBER(MATCH(C130,Goal_Keys,0)),C130,""))</f>
        <v/>
      </c>
      <c r="O130" s="98" t="str">
        <f aca="false">IF(ISBLANK(D130),IFERROR(INDEX(Goal_Titles,MATCH(N130,Goal_Keys,0)),""),D130)</f>
        <v/>
      </c>
      <c r="P130" s="98" t="n">
        <f aca="false">IF(ISBLANK(E130),IF(AND(ISBLANK(C130),Fill_Example="Yes"),0,MIN(PR_GoalMaxAge,In_age+IFERROR(INDEX(Goal_DefYrs,MATCH(N130,Goal_Keys,0)),0))),IF(IF(ISNUMBER(E130),AND(E130&gt;=0,E130&lt;=105,E130=INT(E130)),FALSE()),E130,MIN(PR_GoalMaxAge,In_age+IFERROR(INDEX(Goal_DefYrs,MATCH(N130,Goal_Keys,0)),0))))</f>
        <v>0</v>
      </c>
      <c r="Q130" s="98" t="n">
        <f aca="false">IF(ISBLANK(F130),IF(AND(ISBLANK(C130),Fill_Example="Yes"),0,IFERROR(INDEX(Goal_DefAmt,MATCH(N130,Goal_Keys,0)),0)),IF(IF(ISNUMBER(F130),AND(F130&gt;=0,F130&lt;=100000000),FALSE()),F130,IFERROR(INDEX(Goal_DefAmt,MATCH(N130,Goal_Keys,0)),0)))</f>
        <v>0</v>
      </c>
      <c r="R130" s="98" t="n">
        <f aca="false">IF(ISBLANK(G130),IF(AND(ISBLANK(C130),Fill_Example="Yes"),0,0),IF(IF(ISNUMBER(G130),AND(G130&gt;=0,G130&lt;=100000000),FALSE()),G130,0))</f>
        <v>0</v>
      </c>
      <c r="S130" s="98" t="str">
        <f aca="false">IF(ISBLANK(H130),IF(AND(ISBLANK(C130),Fill_Example="Yes"),"Must have","Must have"),IF(ISNUMBER(MATCH(H130,{"Must have","Nice to have"},0)),H130,"Must have"))</f>
        <v>Must have</v>
      </c>
      <c r="T130" s="98" t="str">
        <f aca="false">IF(ISBLANK(I130),"",IF(IF(ISNUMBER(I130),AND(I130&gt;=1,I130&lt;=22,I130=INT(I130)),FALSE()),I130,""))</f>
        <v/>
      </c>
      <c r="U130" s="98" t="str">
        <f aca="false">IF(ISBLANK(J130),IF(AND(ISBLANK(C130),Fill_Example="Yes"),"No","No"),IF(ISNUMBER(MATCH(J130,{"Yes","No"},0)),J130,"No"))</f>
        <v>No</v>
      </c>
    </row>
    <row r="131" customFormat="false" ht="15" hidden="false" customHeight="true" outlineLevel="0" collapsed="false">
      <c r="B131" s="1" t="s">
        <v>1541</v>
      </c>
      <c r="C131" s="97"/>
      <c r="D131" s="97"/>
      <c r="E131" s="97"/>
      <c r="F131" s="97"/>
      <c r="G131" s="97"/>
      <c r="H131" s="97"/>
      <c r="I131" s="97"/>
      <c r="J131" s="97"/>
      <c r="N131" s="98" t="str">
        <f aca="false">IF(ISBLANK(C131),IF(Fill_Example="Yes","",""),IF(ISNUMBER(MATCH(C131,Goal_Keys,0)),C131,""))</f>
        <v/>
      </c>
      <c r="O131" s="98" t="str">
        <f aca="false">IF(ISBLANK(D131),IFERROR(INDEX(Goal_Titles,MATCH(N131,Goal_Keys,0)),""),D131)</f>
        <v/>
      </c>
      <c r="P131" s="98" t="n">
        <f aca="false">IF(ISBLANK(E131),IF(AND(ISBLANK(C131),Fill_Example="Yes"),0,MIN(PR_GoalMaxAge,In_age+IFERROR(INDEX(Goal_DefYrs,MATCH(N131,Goal_Keys,0)),0))),IF(IF(ISNUMBER(E131),AND(E131&gt;=0,E131&lt;=105,E131=INT(E131)),FALSE()),E131,MIN(PR_GoalMaxAge,In_age+IFERROR(INDEX(Goal_DefYrs,MATCH(N131,Goal_Keys,0)),0))))</f>
        <v>0</v>
      </c>
      <c r="Q131" s="98" t="n">
        <f aca="false">IF(ISBLANK(F131),IF(AND(ISBLANK(C131),Fill_Example="Yes"),0,IFERROR(INDEX(Goal_DefAmt,MATCH(N131,Goal_Keys,0)),0)),IF(IF(ISNUMBER(F131),AND(F131&gt;=0,F131&lt;=100000000),FALSE()),F131,IFERROR(INDEX(Goal_DefAmt,MATCH(N131,Goal_Keys,0)),0)))</f>
        <v>0</v>
      </c>
      <c r="R131" s="98" t="n">
        <f aca="false">IF(ISBLANK(G131),IF(AND(ISBLANK(C131),Fill_Example="Yes"),0,0),IF(IF(ISNUMBER(G131),AND(G131&gt;=0,G131&lt;=100000000),FALSE()),G131,0))</f>
        <v>0</v>
      </c>
      <c r="S131" s="98" t="str">
        <f aca="false">IF(ISBLANK(H131),IF(AND(ISBLANK(C131),Fill_Example="Yes"),"Must have","Must have"),IF(ISNUMBER(MATCH(H131,{"Must have","Nice to have"},0)),H131,"Must have"))</f>
        <v>Must have</v>
      </c>
      <c r="T131" s="98" t="str">
        <f aca="false">IF(ISBLANK(I131),"",IF(IF(ISNUMBER(I131),AND(I131&gt;=1,I131&lt;=22,I131=INT(I131)),FALSE()),I131,""))</f>
        <v/>
      </c>
      <c r="U131" s="98" t="str">
        <f aca="false">IF(ISBLANK(J131),IF(AND(ISBLANK(C131),Fill_Example="Yes"),"No","No"),IF(ISNUMBER(MATCH(J131,{"Yes","No"},0)),J131,"No"))</f>
        <v>No</v>
      </c>
    </row>
    <row r="132" customFormat="false" ht="15" hidden="false" customHeight="true" outlineLevel="0" collapsed="false">
      <c r="B132" s="1" t="s">
        <v>1542</v>
      </c>
      <c r="C132" s="97"/>
      <c r="D132" s="97"/>
      <c r="E132" s="97"/>
      <c r="F132" s="97"/>
      <c r="G132" s="97"/>
      <c r="H132" s="97"/>
      <c r="I132" s="97"/>
      <c r="J132" s="97"/>
      <c r="N132" s="98" t="str">
        <f aca="false">IF(ISBLANK(C132),IF(Fill_Example="Yes","",""),IF(ISNUMBER(MATCH(C132,Goal_Keys,0)),C132,""))</f>
        <v/>
      </c>
      <c r="O132" s="98" t="str">
        <f aca="false">IF(ISBLANK(D132),IFERROR(INDEX(Goal_Titles,MATCH(N132,Goal_Keys,0)),""),D132)</f>
        <v/>
      </c>
      <c r="P132" s="98" t="n">
        <f aca="false">IF(ISBLANK(E132),IF(AND(ISBLANK(C132),Fill_Example="Yes"),0,MIN(PR_GoalMaxAge,In_age+IFERROR(INDEX(Goal_DefYrs,MATCH(N132,Goal_Keys,0)),0))),IF(IF(ISNUMBER(E132),AND(E132&gt;=0,E132&lt;=105,E132=INT(E132)),FALSE()),E132,MIN(PR_GoalMaxAge,In_age+IFERROR(INDEX(Goal_DefYrs,MATCH(N132,Goal_Keys,0)),0))))</f>
        <v>0</v>
      </c>
      <c r="Q132" s="98" t="n">
        <f aca="false">IF(ISBLANK(F132),IF(AND(ISBLANK(C132),Fill_Example="Yes"),0,IFERROR(INDEX(Goal_DefAmt,MATCH(N132,Goal_Keys,0)),0)),IF(IF(ISNUMBER(F132),AND(F132&gt;=0,F132&lt;=100000000),FALSE()),F132,IFERROR(INDEX(Goal_DefAmt,MATCH(N132,Goal_Keys,0)),0)))</f>
        <v>0</v>
      </c>
      <c r="R132" s="98" t="n">
        <f aca="false">IF(ISBLANK(G132),IF(AND(ISBLANK(C132),Fill_Example="Yes"),0,0),IF(IF(ISNUMBER(G132),AND(G132&gt;=0,G132&lt;=100000000),FALSE()),G132,0))</f>
        <v>0</v>
      </c>
      <c r="S132" s="98" t="str">
        <f aca="false">IF(ISBLANK(H132),IF(AND(ISBLANK(C132),Fill_Example="Yes"),"Must have","Must have"),IF(ISNUMBER(MATCH(H132,{"Must have","Nice to have"},0)),H132,"Must have"))</f>
        <v>Must have</v>
      </c>
      <c r="T132" s="98" t="str">
        <f aca="false">IF(ISBLANK(I132),"",IF(IF(ISNUMBER(I132),AND(I132&gt;=1,I132&lt;=22,I132=INT(I132)),FALSE()),I132,""))</f>
        <v/>
      </c>
      <c r="U132" s="98"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3" t="s">
        <v>1543</v>
      </c>
    </row>
    <row r="3" customFormat="false" ht="15" hidden="false" customHeight="true" outlineLevel="0" collapsed="false">
      <c r="B3" s="96" t="s">
        <v>1544</v>
      </c>
      <c r="C3" s="96" t="s">
        <v>1545</v>
      </c>
      <c r="D3" s="96" t="s">
        <v>1546</v>
      </c>
    </row>
    <row r="4" customFormat="false" ht="15" hidden="false" customHeight="true" outlineLevel="0" collapsed="false">
      <c r="B4" s="1" t="s">
        <v>1547</v>
      </c>
      <c r="C4" s="104" t="n">
        <f aca="false">Band_Single</f>
        <v>44000</v>
      </c>
      <c r="D4" s="23" t="s">
        <v>1548</v>
      </c>
    </row>
    <row r="5" customFormat="false" ht="15" hidden="false" customHeight="true" outlineLevel="0" collapsed="false">
      <c r="B5" s="1" t="s">
        <v>1549</v>
      </c>
      <c r="C5" s="104" t="n">
        <f aca="false">Band_Single_Parent</f>
        <v>48000</v>
      </c>
      <c r="D5" s="23" t="s">
        <v>1550</v>
      </c>
    </row>
    <row r="6" customFormat="false" ht="15" hidden="false" customHeight="true" outlineLevel="0" collapsed="false">
      <c r="B6" s="1" t="s">
        <v>1551</v>
      </c>
      <c r="C6" s="104" t="n">
        <f aca="false">Band_Married</f>
        <v>53000</v>
      </c>
      <c r="D6" s="23" t="s">
        <v>1552</v>
      </c>
    </row>
    <row r="7" customFormat="false" ht="15" hidden="false" customHeight="true" outlineLevel="0" collapsed="false">
      <c r="B7" s="1" t="s">
        <v>1553</v>
      </c>
      <c r="C7" s="104" t="n">
        <f aca="false">Band_Second_Earner_Max</f>
        <v>35000</v>
      </c>
      <c r="D7" s="23" t="s">
        <v>1554</v>
      </c>
    </row>
    <row r="8" customFormat="false" ht="15" hidden="false" customHeight="true" outlineLevel="0" collapsed="false">
      <c r="B8" s="1" t="s">
        <v>1555</v>
      </c>
      <c r="C8" s="105" t="n">
        <f aca="false">Rate_Standard</f>
        <v>0.2</v>
      </c>
      <c r="D8" s="23" t="s">
        <v>1556</v>
      </c>
    </row>
    <row r="9" customFormat="false" ht="15" hidden="false" customHeight="true" outlineLevel="0" collapsed="false">
      <c r="B9" s="1" t="s">
        <v>1557</v>
      </c>
      <c r="C9" s="105" t="n">
        <f aca="false">Rate_Higher</f>
        <v>0.4</v>
      </c>
      <c r="D9" s="23" t="s">
        <v>1558</v>
      </c>
    </row>
    <row r="10" customFormat="false" ht="15" hidden="false" customHeight="true" outlineLevel="0" collapsed="false">
      <c r="B10" s="1" t="s">
        <v>1559</v>
      </c>
      <c r="C10" s="104" t="n">
        <f aca="false">Credit_Personal_Single</f>
        <v>2000</v>
      </c>
      <c r="D10" s="23" t="s">
        <v>1560</v>
      </c>
    </row>
    <row r="11" customFormat="false" ht="15" hidden="false" customHeight="true" outlineLevel="0" collapsed="false">
      <c r="B11" s="1" t="s">
        <v>1561</v>
      </c>
      <c r="C11" s="104" t="n">
        <f aca="false">Credit_Personal_Married</f>
        <v>4000</v>
      </c>
      <c r="D11" s="23" t="s">
        <v>1562</v>
      </c>
    </row>
    <row r="12" customFormat="false" ht="15" hidden="false" customHeight="true" outlineLevel="0" collapsed="false">
      <c r="B12" s="1" t="s">
        <v>1563</v>
      </c>
      <c r="C12" s="104" t="n">
        <f aca="false">Credit_PAYE</f>
        <v>2000</v>
      </c>
      <c r="D12" s="23" t="s">
        <v>1564</v>
      </c>
    </row>
    <row r="13" customFormat="false" ht="15" hidden="false" customHeight="true" outlineLevel="0" collapsed="false">
      <c r="B13" s="1" t="s">
        <v>1565</v>
      </c>
      <c r="C13" s="106" t="n">
        <v>0.2</v>
      </c>
      <c r="D13" s="23" t="s">
        <v>1566</v>
      </c>
    </row>
    <row r="14" customFormat="false" ht="15" hidden="false" customHeight="true" outlineLevel="0" collapsed="false">
      <c r="B14" s="1" t="s">
        <v>1567</v>
      </c>
      <c r="C14" s="104" t="n">
        <f aca="false">Credit_Rent_Single</f>
        <v>1000</v>
      </c>
      <c r="D14" s="23" t="s">
        <v>1568</v>
      </c>
    </row>
    <row r="15" customFormat="false" ht="15" hidden="false" customHeight="true" outlineLevel="0" collapsed="false">
      <c r="B15" s="1" t="s">
        <v>1569</v>
      </c>
      <c r="C15" s="104" t="n">
        <f aca="false">Credit_Rent_Joint</f>
        <v>2000</v>
      </c>
      <c r="D15" s="23" t="s">
        <v>1570</v>
      </c>
    </row>
    <row r="16" customFormat="false" ht="15" hidden="false" customHeight="true" outlineLevel="0" collapsed="false">
      <c r="B16" s="1" t="s">
        <v>1571</v>
      </c>
      <c r="C16" s="106" t="n">
        <v>2028</v>
      </c>
      <c r="D16" s="23" t="s">
        <v>1572</v>
      </c>
    </row>
    <row r="17" customFormat="false" ht="15" hidden="false" customHeight="true" outlineLevel="0" collapsed="false">
      <c r="B17" s="1" t="s">
        <v>1573</v>
      </c>
      <c r="C17" s="104" t="n">
        <f aca="false">Credit_SPCCC</f>
        <v>1900</v>
      </c>
      <c r="D17" s="23" t="s">
        <v>1574</v>
      </c>
    </row>
    <row r="18" customFormat="false" ht="15" hidden="false" customHeight="true" outlineLevel="0" collapsed="false">
      <c r="B18" s="1" t="s">
        <v>1575</v>
      </c>
      <c r="C18" s="104" t="n">
        <f aca="false">Credit_Home_Carer</f>
        <v>1950</v>
      </c>
      <c r="D18" s="23" t="s">
        <v>1576</v>
      </c>
    </row>
    <row r="19" customFormat="false" ht="15" hidden="false" customHeight="true" outlineLevel="0" collapsed="false">
      <c r="B19" s="1" t="s">
        <v>1577</v>
      </c>
      <c r="C19" s="106" t="n">
        <v>7200</v>
      </c>
      <c r="D19" s="23" t="s">
        <v>1578</v>
      </c>
    </row>
    <row r="20" customFormat="false" ht="15" hidden="false" customHeight="true" outlineLevel="0" collapsed="false">
      <c r="B20" s="1" t="s">
        <v>1579</v>
      </c>
      <c r="C20" s="106" t="n">
        <v>65</v>
      </c>
      <c r="D20" s="23" t="s">
        <v>1580</v>
      </c>
    </row>
    <row r="21" customFormat="false" ht="15" hidden="false" customHeight="true" outlineLevel="0" collapsed="false">
      <c r="B21" s="1" t="s">
        <v>1581</v>
      </c>
      <c r="C21" s="106" t="n">
        <v>245</v>
      </c>
      <c r="D21" s="23" t="s">
        <v>1582</v>
      </c>
    </row>
    <row r="22" customFormat="false" ht="15" hidden="false" customHeight="true" outlineLevel="0" collapsed="false">
      <c r="B22" s="1" t="s">
        <v>1583</v>
      </c>
      <c r="C22" s="106" t="n">
        <v>18000</v>
      </c>
      <c r="D22" s="23" t="s">
        <v>1584</v>
      </c>
    </row>
    <row r="23" customFormat="false" ht="15" hidden="false" customHeight="true" outlineLevel="0" collapsed="false">
      <c r="B23" s="1" t="s">
        <v>1585</v>
      </c>
      <c r="C23" s="106" t="n">
        <v>36000</v>
      </c>
      <c r="D23" s="23" t="s">
        <v>1586</v>
      </c>
    </row>
    <row r="24" customFormat="false" ht="15" hidden="false" customHeight="true" outlineLevel="0" collapsed="false">
      <c r="B24" s="1" t="s">
        <v>1587</v>
      </c>
      <c r="C24" s="106" t="n">
        <v>0.4</v>
      </c>
      <c r="D24" s="23" t="s">
        <v>1588</v>
      </c>
    </row>
    <row r="25" customFormat="false" ht="15" hidden="false" customHeight="true" outlineLevel="0" collapsed="false">
      <c r="B25" s="1" t="s">
        <v>1589</v>
      </c>
      <c r="C25" s="104" t="n">
        <f aca="false">USC_Exempt</f>
        <v>13000</v>
      </c>
      <c r="D25" s="23" t="s">
        <v>1590</v>
      </c>
    </row>
    <row r="26" customFormat="false" ht="15" hidden="false" customHeight="true" outlineLevel="0" collapsed="false">
      <c r="B26" s="1" t="s">
        <v>1591</v>
      </c>
      <c r="C26" s="104" t="n">
        <f aca="false">USC_Band_1</f>
        <v>12012</v>
      </c>
      <c r="D26" s="23" t="s">
        <v>1592</v>
      </c>
    </row>
    <row r="27" customFormat="false" ht="15" hidden="false" customHeight="true" outlineLevel="0" collapsed="false">
      <c r="B27" s="1" t="s">
        <v>1593</v>
      </c>
      <c r="C27" s="104" t="n">
        <f aca="false">USC_Band_2</f>
        <v>28700</v>
      </c>
      <c r="D27" s="23" t="s">
        <v>1594</v>
      </c>
    </row>
    <row r="28" customFormat="false" ht="15" hidden="false" customHeight="true" outlineLevel="0" collapsed="false">
      <c r="B28" s="1" t="s">
        <v>1595</v>
      </c>
      <c r="C28" s="104" t="n">
        <f aca="false">USC_Band_3</f>
        <v>70044</v>
      </c>
      <c r="D28" s="23" t="s">
        <v>1596</v>
      </c>
    </row>
    <row r="29" customFormat="false" ht="15" hidden="false" customHeight="true" outlineLevel="0" collapsed="false">
      <c r="B29" s="1" t="s">
        <v>1597</v>
      </c>
      <c r="C29" s="107" t="n">
        <f aca="false">USC_Rate_1</f>
        <v>0.005</v>
      </c>
      <c r="D29" s="23" t="s">
        <v>1598</v>
      </c>
    </row>
    <row r="30" customFormat="false" ht="15" hidden="false" customHeight="true" outlineLevel="0" collapsed="false">
      <c r="B30" s="1" t="s">
        <v>1599</v>
      </c>
      <c r="C30" s="107" t="n">
        <f aca="false">USC_Rate_2</f>
        <v>0.02</v>
      </c>
      <c r="D30" s="23" t="s">
        <v>1600</v>
      </c>
    </row>
    <row r="31" customFormat="false" ht="15" hidden="false" customHeight="true" outlineLevel="0" collapsed="false">
      <c r="B31" s="1" t="s">
        <v>1601</v>
      </c>
      <c r="C31" s="107" t="n">
        <f aca="false">USC_Rate_3</f>
        <v>0.03</v>
      </c>
      <c r="D31" s="23" t="s">
        <v>1602</v>
      </c>
    </row>
    <row r="32" customFormat="false" ht="15" hidden="false" customHeight="true" outlineLevel="0" collapsed="false">
      <c r="B32" s="1" t="s">
        <v>1603</v>
      </c>
      <c r="C32" s="107" t="n">
        <f aca="false">USC_Rate_4</f>
        <v>0.08</v>
      </c>
      <c r="D32" s="23" t="s">
        <v>1604</v>
      </c>
    </row>
    <row r="33" customFormat="false" ht="15" hidden="false" customHeight="true" outlineLevel="0" collapsed="false">
      <c r="B33" s="1" t="s">
        <v>1605</v>
      </c>
      <c r="C33" s="106" t="n">
        <v>70</v>
      </c>
      <c r="D33" s="23" t="s">
        <v>1606</v>
      </c>
    </row>
    <row r="34" customFormat="false" ht="15" hidden="false" customHeight="true" outlineLevel="0" collapsed="false">
      <c r="B34" s="1" t="s">
        <v>1607</v>
      </c>
      <c r="C34" s="106" t="n">
        <v>60000</v>
      </c>
      <c r="D34" s="23" t="s">
        <v>1608</v>
      </c>
    </row>
    <row r="35" customFormat="false" ht="15" hidden="false" customHeight="true" outlineLevel="0" collapsed="false">
      <c r="B35" s="1" t="s">
        <v>1609</v>
      </c>
      <c r="C35" s="106" t="n">
        <v>12012</v>
      </c>
      <c r="D35" s="23" t="s">
        <v>1610</v>
      </c>
    </row>
    <row r="36" customFormat="false" ht="15" hidden="false" customHeight="true" outlineLevel="0" collapsed="false">
      <c r="B36" s="1" t="s">
        <v>1611</v>
      </c>
      <c r="C36" s="106" t="n">
        <v>0.005</v>
      </c>
      <c r="D36" s="23" t="s">
        <v>1612</v>
      </c>
    </row>
    <row r="37" customFormat="false" ht="15" hidden="false" customHeight="true" outlineLevel="0" collapsed="false">
      <c r="B37" s="1" t="s">
        <v>1613</v>
      </c>
      <c r="C37" s="106" t="n">
        <v>0.02</v>
      </c>
      <c r="D37" s="23" t="s">
        <v>1614</v>
      </c>
    </row>
    <row r="38" customFormat="false" ht="15" hidden="false" customHeight="true" outlineLevel="0" collapsed="false">
      <c r="B38" s="1" t="s">
        <v>1615</v>
      </c>
      <c r="C38" s="106" t="n">
        <v>0.03</v>
      </c>
      <c r="D38" s="23" t="s">
        <v>1616</v>
      </c>
    </row>
    <row r="39" customFormat="false" ht="15" hidden="false" customHeight="true" outlineLevel="0" collapsed="false">
      <c r="B39" s="1" t="s">
        <v>1617</v>
      </c>
      <c r="C39" s="106" t="n">
        <v>100000</v>
      </c>
      <c r="D39" s="23" t="s">
        <v>1618</v>
      </c>
    </row>
    <row r="40" customFormat="false" ht="15" hidden="false" customHeight="true" outlineLevel="0" collapsed="false">
      <c r="B40" s="1" t="s">
        <v>1619</v>
      </c>
      <c r="C40" s="106" t="n">
        <v>0.042</v>
      </c>
      <c r="D40" s="23" t="s">
        <v>1620</v>
      </c>
    </row>
    <row r="41" customFormat="false" ht="15" hidden="false" customHeight="true" outlineLevel="0" collapsed="false">
      <c r="B41" s="1" t="s">
        <v>1621</v>
      </c>
      <c r="C41" s="106" t="n">
        <v>0.0435</v>
      </c>
      <c r="D41" s="23" t="s">
        <v>1622</v>
      </c>
    </row>
    <row r="42" customFormat="false" ht="15" hidden="false" customHeight="true" outlineLevel="0" collapsed="false">
      <c r="B42" s="1" t="s">
        <v>1623</v>
      </c>
      <c r="C42" s="106" t="n">
        <v>0.045</v>
      </c>
      <c r="D42" s="23" t="s">
        <v>1624</v>
      </c>
    </row>
    <row r="43" customFormat="false" ht="15" hidden="false" customHeight="true" outlineLevel="0" collapsed="false">
      <c r="B43" s="1" t="s">
        <v>1625</v>
      </c>
      <c r="C43" s="106" t="n">
        <v>0.047</v>
      </c>
      <c r="D43" s="23" t="s">
        <v>1626</v>
      </c>
    </row>
    <row r="44" customFormat="false" ht="15" hidden="false" customHeight="true" outlineLevel="0" collapsed="false">
      <c r="B44" s="1" t="s">
        <v>1627</v>
      </c>
      <c r="C44" s="106" t="n">
        <v>24321</v>
      </c>
      <c r="D44" s="23" t="s">
        <v>1628</v>
      </c>
    </row>
    <row r="45" customFormat="false" ht="15" hidden="false" customHeight="true" outlineLevel="0" collapsed="false">
      <c r="B45" s="1" t="s">
        <v>1629</v>
      </c>
      <c r="C45" s="106" t="n">
        <v>24333</v>
      </c>
      <c r="D45" s="23" t="s">
        <v>1630</v>
      </c>
    </row>
    <row r="46" customFormat="false" ht="15" hidden="false" customHeight="true" outlineLevel="0" collapsed="false">
      <c r="B46" s="1" t="s">
        <v>1631</v>
      </c>
      <c r="C46" s="106" t="n">
        <v>24345</v>
      </c>
      <c r="D46" s="23" t="s">
        <v>1632</v>
      </c>
    </row>
    <row r="47" customFormat="false" ht="15" hidden="false" customHeight="true" outlineLevel="0" collapsed="false">
      <c r="B47" s="1" t="s">
        <v>1633</v>
      </c>
      <c r="C47" s="104" t="n">
        <f aca="false">PRSI_Free_Week</f>
        <v>352</v>
      </c>
      <c r="D47" s="23" t="s">
        <v>1634</v>
      </c>
    </row>
    <row r="48" customFormat="false" ht="15" hidden="false" customHeight="true" outlineLevel="0" collapsed="false">
      <c r="B48" s="1" t="s">
        <v>1635</v>
      </c>
      <c r="C48" s="104" t="n">
        <f aca="false">PRSI_Credit_Max</f>
        <v>12</v>
      </c>
      <c r="D48" s="23" t="s">
        <v>1636</v>
      </c>
    </row>
    <row r="49" customFormat="false" ht="15" hidden="false" customHeight="true" outlineLevel="0" collapsed="false">
      <c r="B49" s="1" t="s">
        <v>1637</v>
      </c>
      <c r="C49" s="104" t="n">
        <f aca="false">PRSI_Credit_Top</f>
        <v>424</v>
      </c>
      <c r="D49" s="23" t="s">
        <v>1638</v>
      </c>
    </row>
    <row r="50" customFormat="false" ht="15" hidden="false" customHeight="true" outlineLevel="0" collapsed="false">
      <c r="B50" s="1" t="s">
        <v>1639</v>
      </c>
      <c r="C50" s="108" t="n">
        <f aca="false">PRSI_Credit_Taper</f>
        <v>6</v>
      </c>
      <c r="D50" s="23" t="s">
        <v>1640</v>
      </c>
    </row>
    <row r="51" customFormat="false" ht="15" hidden="false" customHeight="true" outlineLevel="0" collapsed="false">
      <c r="B51" s="1" t="s">
        <v>1641</v>
      </c>
      <c r="C51" s="106" t="n">
        <v>66</v>
      </c>
      <c r="D51" s="23" t="s">
        <v>1642</v>
      </c>
    </row>
    <row r="52" customFormat="false" ht="15" hidden="false" customHeight="true" outlineLevel="0" collapsed="false">
      <c r="B52" s="1" t="s">
        <v>1643</v>
      </c>
      <c r="C52" s="106" t="n">
        <v>5000</v>
      </c>
      <c r="D52" s="23" t="s">
        <v>1644</v>
      </c>
    </row>
    <row r="53" customFormat="false" ht="15" hidden="false" customHeight="true" outlineLevel="0" collapsed="false">
      <c r="B53" s="1" t="s">
        <v>1645</v>
      </c>
      <c r="C53" s="106" t="n">
        <v>650</v>
      </c>
      <c r="D53" s="23" t="s">
        <v>1646</v>
      </c>
    </row>
    <row r="54" customFormat="false" ht="15" hidden="false" customHeight="true" outlineLevel="0" collapsed="false">
      <c r="B54" s="1" t="s">
        <v>1647</v>
      </c>
      <c r="C54" s="106" t="n">
        <v>5000</v>
      </c>
      <c r="D54" s="23" t="s">
        <v>1648</v>
      </c>
    </row>
    <row r="55" customFormat="false" ht="15" hidden="false" customHeight="true" outlineLevel="0" collapsed="false">
      <c r="B55" s="1" t="s">
        <v>1649</v>
      </c>
      <c r="C55" s="106" t="n">
        <v>30</v>
      </c>
      <c r="D55" s="23" t="s">
        <v>1650</v>
      </c>
    </row>
    <row r="56" customFormat="false" ht="15" hidden="false" customHeight="true" outlineLevel="0" collapsed="false">
      <c r="C56" s="106" t="n">
        <v>0.15</v>
      </c>
      <c r="D56" s="23" t="s">
        <v>1651</v>
      </c>
    </row>
    <row r="57" customFormat="false" ht="15" hidden="false" customHeight="true" outlineLevel="0" collapsed="false">
      <c r="B57" s="1" t="s">
        <v>1652</v>
      </c>
      <c r="C57" s="106" t="n">
        <v>40</v>
      </c>
      <c r="D57" s="23" t="s">
        <v>1653</v>
      </c>
    </row>
    <row r="58" customFormat="false" ht="15" hidden="false" customHeight="true" outlineLevel="0" collapsed="false">
      <c r="C58" s="106" t="n">
        <v>0.2</v>
      </c>
      <c r="D58" s="23" t="s">
        <v>1654</v>
      </c>
    </row>
    <row r="59" customFormat="false" ht="15" hidden="false" customHeight="true" outlineLevel="0" collapsed="false">
      <c r="B59" s="1" t="s">
        <v>1655</v>
      </c>
      <c r="C59" s="106" t="n">
        <v>50</v>
      </c>
      <c r="D59" s="23" t="s">
        <v>1656</v>
      </c>
    </row>
    <row r="60" customFormat="false" ht="15" hidden="false" customHeight="true" outlineLevel="0" collapsed="false">
      <c r="C60" s="106" t="n">
        <v>0.25</v>
      </c>
      <c r="D60" s="23" t="s">
        <v>1657</v>
      </c>
    </row>
    <row r="61" customFormat="false" ht="15" hidden="false" customHeight="true" outlineLevel="0" collapsed="false">
      <c r="B61" s="1" t="s">
        <v>1658</v>
      </c>
      <c r="C61" s="106" t="n">
        <v>55</v>
      </c>
      <c r="D61" s="23" t="s">
        <v>1659</v>
      </c>
    </row>
    <row r="62" customFormat="false" ht="15" hidden="false" customHeight="true" outlineLevel="0" collapsed="false">
      <c r="C62" s="106" t="n">
        <v>0.3</v>
      </c>
      <c r="D62" s="23" t="s">
        <v>1660</v>
      </c>
    </row>
    <row r="63" customFormat="false" ht="15" hidden="false" customHeight="true" outlineLevel="0" collapsed="false">
      <c r="B63" s="1" t="s">
        <v>1661</v>
      </c>
      <c r="C63" s="106" t="n">
        <v>60</v>
      </c>
      <c r="D63" s="23" t="s">
        <v>1662</v>
      </c>
    </row>
    <row r="64" customFormat="false" ht="15" hidden="false" customHeight="true" outlineLevel="0" collapsed="false">
      <c r="C64" s="106" t="n">
        <v>0.35</v>
      </c>
      <c r="D64" s="23" t="s">
        <v>1663</v>
      </c>
    </row>
    <row r="65" customFormat="false" ht="15" hidden="false" customHeight="true" outlineLevel="0" collapsed="false">
      <c r="B65" s="1" t="s">
        <v>1664</v>
      </c>
      <c r="C65" s="106" t="n">
        <v>0.4</v>
      </c>
      <c r="D65" s="23" t="s">
        <v>1665</v>
      </c>
    </row>
    <row r="66" customFormat="false" ht="15" hidden="false" customHeight="true" outlineLevel="0" collapsed="false">
      <c r="B66" s="1" t="s">
        <v>1666</v>
      </c>
      <c r="C66" s="104" t="n">
        <f aca="false">Relief_Earnings_Cap</f>
        <v>115000</v>
      </c>
      <c r="D66" s="23" t="s">
        <v>1667</v>
      </c>
    </row>
    <row r="67" customFormat="false" ht="15" hidden="false" customHeight="true" outlineLevel="0" collapsed="false">
      <c r="B67" s="1" t="s">
        <v>1668</v>
      </c>
      <c r="C67" s="105" t="n">
        <f aca="false">Lump_Sum_Max_Pct</f>
        <v>0.25</v>
      </c>
      <c r="D67" s="23" t="s">
        <v>1669</v>
      </c>
    </row>
    <row r="68" customFormat="false" ht="15" hidden="false" customHeight="true" outlineLevel="0" collapsed="false">
      <c r="B68" s="1" t="s">
        <v>1670</v>
      </c>
      <c r="C68" s="104" t="n">
        <f aca="false">Lump_Sum_Tax_Free</f>
        <v>200000</v>
      </c>
      <c r="D68" s="23" t="s">
        <v>1671</v>
      </c>
    </row>
    <row r="69" customFormat="false" ht="15" hidden="false" customHeight="true" outlineLevel="0" collapsed="false">
      <c r="B69" s="1" t="s">
        <v>1672</v>
      </c>
      <c r="C69" s="104" t="n">
        <f aca="false">Lump_Sum_Cap</f>
        <v>500000</v>
      </c>
      <c r="D69" s="23" t="s">
        <v>1673</v>
      </c>
    </row>
    <row r="70" customFormat="false" ht="15" hidden="false" customHeight="true" outlineLevel="0" collapsed="false">
      <c r="B70" s="1" t="s">
        <v>1674</v>
      </c>
      <c r="C70" s="105" t="n">
        <f aca="false">Lump_Sum_Rate</f>
        <v>0.2</v>
      </c>
      <c r="D70" s="23" t="s">
        <v>1675</v>
      </c>
    </row>
    <row r="71" customFormat="false" ht="15" hidden="false" customHeight="true" outlineLevel="0" collapsed="false">
      <c r="B71" s="1" t="s">
        <v>1676</v>
      </c>
      <c r="C71" s="104" t="n">
        <f aca="false">SFT_2026</f>
        <v>2200000</v>
      </c>
      <c r="D71" s="23" t="s">
        <v>1677</v>
      </c>
    </row>
    <row r="72" customFormat="false" ht="15" hidden="false" customHeight="true" outlineLevel="0" collapsed="false">
      <c r="B72" s="1" t="s">
        <v>1678</v>
      </c>
      <c r="C72" s="106" t="n">
        <v>2400000</v>
      </c>
      <c r="D72" s="23" t="s">
        <v>1679</v>
      </c>
    </row>
    <row r="73" customFormat="false" ht="15" hidden="false" customHeight="true" outlineLevel="0" collapsed="false">
      <c r="B73" s="1" t="s">
        <v>1680</v>
      </c>
      <c r="C73" s="106" t="n">
        <v>2600000</v>
      </c>
      <c r="D73" s="23" t="s">
        <v>1681</v>
      </c>
    </row>
    <row r="74" customFormat="false" ht="15" hidden="false" customHeight="true" outlineLevel="0" collapsed="false">
      <c r="B74" s="1" t="s">
        <v>1682</v>
      </c>
      <c r="C74" s="106" t="n">
        <v>2800000</v>
      </c>
      <c r="D74" s="23" t="s">
        <v>1683</v>
      </c>
    </row>
    <row r="75" customFormat="false" ht="15" hidden="false" customHeight="true" outlineLevel="0" collapsed="false">
      <c r="B75" s="1" t="s">
        <v>1684</v>
      </c>
      <c r="C75" s="105" t="n">
        <f aca="false">SFT_Tax</f>
        <v>0.4</v>
      </c>
      <c r="D75" s="23" t="s">
        <v>1685</v>
      </c>
    </row>
    <row r="76" customFormat="false" ht="15" hidden="false" customHeight="true" outlineLevel="0" collapsed="false">
      <c r="B76" s="1" t="s">
        <v>1686</v>
      </c>
      <c r="C76" s="106" t="n">
        <v>0.04</v>
      </c>
      <c r="D76" s="23" t="s">
        <v>1687</v>
      </c>
    </row>
    <row r="77" customFormat="false" ht="15" hidden="false" customHeight="true" outlineLevel="0" collapsed="false">
      <c r="B77" s="1" t="s">
        <v>1688</v>
      </c>
      <c r="C77" s="106" t="n">
        <v>0.05</v>
      </c>
      <c r="D77" s="23" t="s">
        <v>1689</v>
      </c>
    </row>
    <row r="78" customFormat="false" ht="15" hidden="false" customHeight="true" outlineLevel="0" collapsed="false">
      <c r="B78" s="1" t="s">
        <v>1690</v>
      </c>
      <c r="C78" s="106" t="n">
        <v>0.06</v>
      </c>
      <c r="D78" s="23" t="s">
        <v>1691</v>
      </c>
    </row>
    <row r="79" customFormat="false" ht="15" hidden="false" customHeight="true" outlineLevel="0" collapsed="false">
      <c r="B79" s="1" t="s">
        <v>1692</v>
      </c>
      <c r="C79" s="106" t="n">
        <v>2000000</v>
      </c>
      <c r="D79" s="23" t="s">
        <v>1693</v>
      </c>
    </row>
    <row r="80" customFormat="false" ht="15" hidden="false" customHeight="true" outlineLevel="0" collapsed="false">
      <c r="B80" s="1" t="s">
        <v>1694</v>
      </c>
      <c r="C80" s="106" t="n">
        <v>60</v>
      </c>
      <c r="D80" s="23" t="s">
        <v>1695</v>
      </c>
    </row>
    <row r="81" customFormat="false" ht="15" hidden="false" customHeight="true" outlineLevel="0" collapsed="false">
      <c r="B81" s="1" t="s">
        <v>1696</v>
      </c>
      <c r="C81" s="109" t="n">
        <f aca="false">State_Pension_Week</f>
        <v>299.3</v>
      </c>
      <c r="D81" s="23" t="s">
        <v>1697</v>
      </c>
    </row>
    <row r="82" customFormat="false" ht="15" hidden="false" customHeight="true" outlineLevel="0" collapsed="false">
      <c r="B82" s="1" t="s">
        <v>1698</v>
      </c>
      <c r="C82" s="106" t="n">
        <v>52</v>
      </c>
      <c r="D82" s="23" t="s">
        <v>1699</v>
      </c>
    </row>
    <row r="83" customFormat="false" ht="15" hidden="false" customHeight="true" outlineLevel="0" collapsed="false">
      <c r="B83" s="1" t="s">
        <v>1700</v>
      </c>
      <c r="C83" s="108" t="n">
        <f aca="false">State_Pension_Age</f>
        <v>66</v>
      </c>
      <c r="D83" s="23" t="s">
        <v>1701</v>
      </c>
    </row>
    <row r="84" customFormat="false" ht="15" hidden="false" customHeight="true" outlineLevel="0" collapsed="false">
      <c r="B84" s="1" t="s">
        <v>1702</v>
      </c>
      <c r="C84" s="106" t="n">
        <v>10</v>
      </c>
      <c r="D84" s="23" t="s">
        <v>1703</v>
      </c>
    </row>
    <row r="85" customFormat="false" ht="15" hidden="false" customHeight="true" outlineLevel="0" collapsed="false">
      <c r="B85" s="1" t="s">
        <v>1704</v>
      </c>
      <c r="C85" s="106" t="n">
        <v>268.4</v>
      </c>
      <c r="D85" s="23" t="s">
        <v>1705</v>
      </c>
    </row>
    <row r="86" customFormat="false" ht="15" hidden="false" customHeight="true" outlineLevel="0" collapsed="false">
      <c r="B86" s="1" t="s">
        <v>1706</v>
      </c>
      <c r="C86" s="106" t="n">
        <v>199.4</v>
      </c>
      <c r="D86" s="23" t="s">
        <v>1707</v>
      </c>
    </row>
    <row r="87" customFormat="false" ht="15" hidden="false" customHeight="true" outlineLevel="0" collapsed="false">
      <c r="B87" s="1" t="s">
        <v>1708</v>
      </c>
      <c r="C87" s="106" t="n">
        <v>40</v>
      </c>
      <c r="D87" s="23" t="s">
        <v>1709</v>
      </c>
    </row>
    <row r="88" customFormat="false" ht="15" hidden="false" customHeight="true" outlineLevel="0" collapsed="false">
      <c r="B88" s="1" t="s">
        <v>1710</v>
      </c>
      <c r="C88" s="106" t="n">
        <v>10</v>
      </c>
      <c r="D88" s="23" t="s">
        <v>1711</v>
      </c>
    </row>
    <row r="89" customFormat="false" ht="15" hidden="false" customHeight="true" outlineLevel="0" collapsed="false">
      <c r="B89" s="1" t="s">
        <v>1712</v>
      </c>
      <c r="C89" s="106" t="n">
        <v>23</v>
      </c>
      <c r="D89" s="23" t="s">
        <v>1713</v>
      </c>
    </row>
    <row r="90" customFormat="false" ht="15" hidden="false" customHeight="true" outlineLevel="0" collapsed="false">
      <c r="B90" s="1" t="s">
        <v>1714</v>
      </c>
      <c r="C90" s="106" t="n">
        <v>60</v>
      </c>
      <c r="D90" s="23" t="s">
        <v>1715</v>
      </c>
    </row>
    <row r="91" customFormat="false" ht="15" hidden="false" customHeight="true" outlineLevel="0" collapsed="false">
      <c r="B91" s="1" t="s">
        <v>1716</v>
      </c>
      <c r="C91" s="106" t="n">
        <v>20000</v>
      </c>
      <c r="D91" s="23" t="s">
        <v>1717</v>
      </c>
    </row>
    <row r="92" customFormat="false" ht="15" hidden="false" customHeight="true" outlineLevel="0" collapsed="false">
      <c r="B92" s="1" t="s">
        <v>1718</v>
      </c>
      <c r="C92" s="106" t="n">
        <v>80000</v>
      </c>
      <c r="D92" s="23" t="s">
        <v>1719</v>
      </c>
    </row>
    <row r="93" customFormat="false" ht="15" hidden="false" customHeight="true" outlineLevel="0" collapsed="false">
      <c r="B93" s="1" t="s">
        <v>1720</v>
      </c>
      <c r="C93" s="106" t="n">
        <v>0.015</v>
      </c>
      <c r="D93" s="23" t="s">
        <v>1721</v>
      </c>
    </row>
    <row r="94" customFormat="false" ht="15" hidden="false" customHeight="true" outlineLevel="0" collapsed="false">
      <c r="B94" s="1" t="s">
        <v>1722</v>
      </c>
      <c r="C94" s="106" t="n">
        <v>0.015</v>
      </c>
      <c r="D94" s="23" t="s">
        <v>1723</v>
      </c>
    </row>
    <row r="95" customFormat="false" ht="15" hidden="false" customHeight="true" outlineLevel="0" collapsed="false">
      <c r="B95" s="1" t="s">
        <v>1724</v>
      </c>
      <c r="C95" s="106" t="n">
        <v>0.005</v>
      </c>
      <c r="D95" s="23" t="s">
        <v>1725</v>
      </c>
    </row>
    <row r="96" customFormat="false" ht="15" hidden="false" customHeight="true" outlineLevel="0" collapsed="false">
      <c r="B96" s="1" t="s">
        <v>1726</v>
      </c>
      <c r="C96" s="106" t="n">
        <v>50</v>
      </c>
      <c r="D96" s="23" t="s">
        <v>1727</v>
      </c>
    </row>
    <row r="97" customFormat="false" ht="15" hidden="false" customHeight="true" outlineLevel="0" collapsed="false">
      <c r="B97" s="1" t="s">
        <v>1728</v>
      </c>
      <c r="C97" s="106" t="n">
        <v>200</v>
      </c>
      <c r="D97" s="23" t="s">
        <v>1729</v>
      </c>
    </row>
    <row r="98" customFormat="false" ht="15" hidden="false" customHeight="true" outlineLevel="0" collapsed="false">
      <c r="B98" s="1" t="s">
        <v>1730</v>
      </c>
      <c r="C98" s="106" t="n">
        <v>500</v>
      </c>
      <c r="D98" s="23" t="s">
        <v>1731</v>
      </c>
    </row>
    <row r="99" customFormat="false" ht="15" hidden="false" customHeight="true" outlineLevel="0" collapsed="false">
      <c r="B99" s="1" t="s">
        <v>1732</v>
      </c>
      <c r="C99" s="106" t="n">
        <v>1000</v>
      </c>
      <c r="D99" s="23" t="s">
        <v>1733</v>
      </c>
    </row>
    <row r="100" customFormat="false" ht="15" hidden="false" customHeight="true" outlineLevel="0" collapsed="false">
      <c r="B100" s="1" t="s">
        <v>1734</v>
      </c>
      <c r="C100" s="106" t="n">
        <v>0.33</v>
      </c>
      <c r="D100" s="23" t="s">
        <v>1735</v>
      </c>
    </row>
    <row r="101" customFormat="false" ht="15" hidden="false" customHeight="true" outlineLevel="0" collapsed="false">
      <c r="B101" s="1" t="s">
        <v>1736</v>
      </c>
      <c r="C101" s="106" t="n">
        <v>61</v>
      </c>
      <c r="D101" s="23" t="s">
        <v>1737</v>
      </c>
    </row>
    <row r="102" customFormat="false" ht="15" hidden="false" customHeight="true" outlineLevel="0" collapsed="false">
      <c r="B102" s="1" t="s">
        <v>1738</v>
      </c>
      <c r="C102" s="106" t="n">
        <v>71</v>
      </c>
      <c r="D102" s="23" t="s">
        <v>1739</v>
      </c>
    </row>
    <row r="103" customFormat="false" ht="15" hidden="false" customHeight="true" outlineLevel="0" collapsed="false">
      <c r="B103" s="1" t="s">
        <v>1740</v>
      </c>
      <c r="C103" s="106" t="n">
        <v>80</v>
      </c>
      <c r="D103" s="23" t="s">
        <v>1741</v>
      </c>
    </row>
    <row r="104" customFormat="false" ht="15" hidden="false" customHeight="true" outlineLevel="0" collapsed="false">
      <c r="B104" s="1" t="s">
        <v>1742</v>
      </c>
      <c r="C104" s="106" t="n">
        <v>2026</v>
      </c>
      <c r="D104" s="23" t="s">
        <v>1743</v>
      </c>
    </row>
    <row r="105" customFormat="false" ht="15" hidden="false" customHeight="true" outlineLevel="0" collapsed="false">
      <c r="B105" s="1" t="s">
        <v>1744</v>
      </c>
      <c r="C105" s="106" t="n">
        <v>2029</v>
      </c>
      <c r="D105" s="23" t="s">
        <v>1745</v>
      </c>
    </row>
    <row r="106" customFormat="false" ht="15" hidden="false" customHeight="true" outlineLevel="0" collapsed="false">
      <c r="B106" s="1" t="s">
        <v>1746</v>
      </c>
      <c r="C106" s="106" t="n">
        <v>89</v>
      </c>
      <c r="D106" s="23" t="s">
        <v>1747</v>
      </c>
    </row>
    <row r="107" customFormat="false" ht="15" hidden="false" customHeight="true" outlineLevel="0" collapsed="false">
      <c r="B107" s="1" t="s">
        <v>1748</v>
      </c>
      <c r="C107" s="106" t="n">
        <v>99</v>
      </c>
      <c r="D107" s="23" t="s">
        <v>1749</v>
      </c>
    </row>
    <row r="108" customFormat="false" ht="15" hidden="false" customHeight="true" outlineLevel="0" collapsed="false">
      <c r="B108" s="1" t="s">
        <v>1750</v>
      </c>
      <c r="C108" s="106" t="n">
        <v>50</v>
      </c>
      <c r="D108" s="23" t="s">
        <v>1751</v>
      </c>
    </row>
    <row r="109" customFormat="false" ht="15" hidden="false" customHeight="true" outlineLevel="0" collapsed="false">
      <c r="B109" s="1" t="s">
        <v>1752</v>
      </c>
      <c r="C109" s="106" t="n">
        <v>50</v>
      </c>
      <c r="D109" s="23" t="s">
        <v>1753</v>
      </c>
    </row>
    <row r="110" customFormat="false" ht="15" hidden="false" customHeight="true" outlineLevel="0" collapsed="false">
      <c r="B110" s="1" t="s">
        <v>1754</v>
      </c>
      <c r="C110" s="106" t="n">
        <v>0.5</v>
      </c>
      <c r="D110" s="23" t="s">
        <v>1755</v>
      </c>
    </row>
    <row r="111" customFormat="false" ht="15" hidden="false" customHeight="true" outlineLevel="0" collapsed="false">
      <c r="B111" s="1" t="s">
        <v>1756</v>
      </c>
      <c r="C111" s="106" t="n">
        <v>0.5</v>
      </c>
      <c r="D111" s="23" t="s">
        <v>1757</v>
      </c>
    </row>
    <row r="112" customFormat="false" ht="15" hidden="false" customHeight="true" outlineLevel="0" collapsed="false">
      <c r="B112" s="1" t="s">
        <v>1758</v>
      </c>
      <c r="C112" s="106" t="n">
        <v>1000000</v>
      </c>
      <c r="D112" s="23" t="s">
        <v>1759</v>
      </c>
    </row>
    <row r="113" customFormat="false" ht="15" hidden="false" customHeight="true" outlineLevel="0" collapsed="false">
      <c r="B113" s="1" t="s">
        <v>1760</v>
      </c>
      <c r="C113" s="106" t="n">
        <v>0.2</v>
      </c>
      <c r="D113" s="23" t="s">
        <v>1761</v>
      </c>
    </row>
    <row r="114" customFormat="false" ht="15" hidden="false" customHeight="true" outlineLevel="0" collapsed="false">
      <c r="B114" s="1" t="s">
        <v>1762</v>
      </c>
      <c r="C114" s="106" t="n">
        <v>20000</v>
      </c>
      <c r="D114" s="23" t="s">
        <v>1763</v>
      </c>
    </row>
    <row r="115" customFormat="false" ht="15" hidden="false" customHeight="true" outlineLevel="0" collapsed="false">
      <c r="B115" s="1" t="s">
        <v>1764</v>
      </c>
      <c r="C115" s="106" t="n">
        <v>66</v>
      </c>
      <c r="D115" s="23" t="s">
        <v>1765</v>
      </c>
    </row>
    <row r="116" customFormat="false" ht="15" hidden="false" customHeight="true" outlineLevel="0" collapsed="false">
      <c r="B116" s="1" t="s">
        <v>1766</v>
      </c>
      <c r="C116" s="106" t="n">
        <v>25</v>
      </c>
      <c r="D116" s="23" t="s">
        <v>1767</v>
      </c>
    </row>
    <row r="117" customFormat="false" ht="15" hidden="false" customHeight="true" outlineLevel="0" collapsed="false">
      <c r="B117" s="1" t="s">
        <v>1768</v>
      </c>
      <c r="C117" s="106" t="n">
        <v>0.01</v>
      </c>
      <c r="D117" s="23" t="s">
        <v>1769</v>
      </c>
    </row>
    <row r="118" customFormat="false" ht="15" hidden="false" customHeight="true" outlineLevel="0" collapsed="false">
      <c r="B118" s="1" t="s">
        <v>1770</v>
      </c>
      <c r="C118" s="106" t="n">
        <v>0.6</v>
      </c>
      <c r="D118" s="23" t="s">
        <v>1771</v>
      </c>
    </row>
    <row r="119" customFormat="false" ht="15" hidden="false" customHeight="true" outlineLevel="0" collapsed="false">
      <c r="B119" s="1" t="s">
        <v>1772</v>
      </c>
      <c r="C119" s="106" t="n">
        <v>0.8</v>
      </c>
      <c r="D119" s="23" t="s">
        <v>1773</v>
      </c>
    </row>
    <row r="120" customFormat="false" ht="15" hidden="false" customHeight="true" outlineLevel="0" collapsed="false">
      <c r="B120" s="1" t="s">
        <v>1774</v>
      </c>
      <c r="C120" s="106" t="n">
        <v>90</v>
      </c>
      <c r="D120" s="23" t="s">
        <v>1775</v>
      </c>
    </row>
    <row r="121" customFormat="false" ht="15" hidden="false" customHeight="true" outlineLevel="0" collapsed="false">
      <c r="B121" s="1" t="s">
        <v>1776</v>
      </c>
      <c r="C121" s="106" t="n">
        <v>95</v>
      </c>
      <c r="D121" s="23" t="s">
        <v>1777</v>
      </c>
    </row>
    <row r="122" customFormat="false" ht="15" hidden="false" customHeight="true" outlineLevel="0" collapsed="false">
      <c r="B122" s="1" t="s">
        <v>1778</v>
      </c>
      <c r="C122" s="106" t="n">
        <v>500</v>
      </c>
      <c r="D122" s="23" t="s">
        <v>1779</v>
      </c>
    </row>
    <row r="123" customFormat="false" ht="15" hidden="false" customHeight="true" outlineLevel="0" collapsed="false">
      <c r="B123" s="1" t="s">
        <v>1780</v>
      </c>
      <c r="C123" s="106" t="n">
        <v>0.02</v>
      </c>
      <c r="D123" s="23" t="s">
        <v>1781</v>
      </c>
    </row>
    <row r="124" customFormat="false" ht="15" hidden="false" customHeight="true" outlineLevel="0" collapsed="false">
      <c r="B124" s="1" t="s">
        <v>1782</v>
      </c>
      <c r="C124" s="106" t="n">
        <v>95</v>
      </c>
      <c r="D124" s="23" t="s">
        <v>1783</v>
      </c>
    </row>
    <row r="125" customFormat="false" ht="15" hidden="false" customHeight="true" outlineLevel="0" collapsed="false">
      <c r="B125" s="1" t="s">
        <v>1784</v>
      </c>
      <c r="C125" s="106" t="n">
        <v>70</v>
      </c>
      <c r="D125" s="23" t="s">
        <v>1785</v>
      </c>
    </row>
    <row r="126" customFormat="false" ht="15" hidden="false" customHeight="true" outlineLevel="0" collapsed="false">
      <c r="B126" s="1" t="s">
        <v>1786</v>
      </c>
      <c r="C126" s="110" t="n">
        <f aca="false">DATE(2026,9,30)</f>
        <v>46295</v>
      </c>
      <c r="D126" s="23" t="s">
        <v>1787</v>
      </c>
    </row>
    <row r="128" customFormat="false" ht="15" hidden="false" customHeight="true" outlineLevel="0" collapsed="false">
      <c r="B128" s="96" t="s">
        <v>1788</v>
      </c>
      <c r="C128" s="96" t="s">
        <v>1545</v>
      </c>
      <c r="D128" s="96" t="s">
        <v>1546</v>
      </c>
    </row>
    <row r="129" customFormat="false" ht="15" hidden="false" customHeight="true" outlineLevel="0" collapsed="false">
      <c r="B129" s="1" t="s">
        <v>1789</v>
      </c>
      <c r="C129" s="106" t="n">
        <f aca="false">IF(In_assumeSet="Cautious",1,0)</f>
        <v>0</v>
      </c>
      <c r="D129" s="23"/>
    </row>
    <row r="130" customFormat="false" ht="15" hidden="false" customHeight="true" outlineLevel="0" collapsed="false">
      <c r="B130" s="1" t="s">
        <v>1790</v>
      </c>
      <c r="C130" s="107" t="n">
        <f aca="false">IF(Has_infl=1,In_infl,Set_infl)</f>
        <v>0.02</v>
      </c>
      <c r="D130" s="23" t="s">
        <v>1791</v>
      </c>
    </row>
    <row r="131" customFormat="false" ht="15" hidden="false" customHeight="true" outlineLevel="0" collapsed="false">
      <c r="B131" s="1" t="s">
        <v>1792</v>
      </c>
      <c r="C131" s="107" t="n">
        <f aca="false">IF(Has_a_wage=1,In_a_wage,IF(AS_Cautious=1,Set_wage_Cautious,Set_wage))</f>
        <v>0.03</v>
      </c>
      <c r="D131" s="23"/>
    </row>
    <row r="132" customFormat="false" ht="15" hidden="false" customHeight="true" outlineLevel="0" collapsed="false">
      <c r="B132" s="1" t="s">
        <v>1793</v>
      </c>
      <c r="C132" s="107" t="n">
        <f aca="false">IF(Has_a_cash=1,In_a_cash,IF(AS_Cautious=1,Set_cash_Cautious,Set_cash))</f>
        <v>0.01</v>
      </c>
      <c r="D132" s="23"/>
    </row>
    <row r="133" customFormat="false" ht="15" hidden="false" customHeight="true" outlineLevel="0" collapsed="false">
      <c r="B133" s="1" t="s">
        <v>1794</v>
      </c>
      <c r="C133" s="107" t="n">
        <f aca="false">IF(Has_a_inv=1,In_a_inv,IF(AS_Cautious=1,Set_inv_Cautious,Set_inv))</f>
        <v>0.026</v>
      </c>
      <c r="D133" s="23"/>
    </row>
    <row r="134" customFormat="false" ht="15" hidden="false" customHeight="true" outlineLevel="0" collapsed="false">
      <c r="B134" s="1" t="s">
        <v>1795</v>
      </c>
      <c r="C134" s="107" t="n">
        <f aca="false">IF(Has_a_pen=1,In_a_pen,IF(AS_Cautious=1,Set_pen_Cautious,Set_pen))</f>
        <v>0.045</v>
      </c>
      <c r="D134" s="23"/>
    </row>
    <row r="135" customFormat="false" ht="15" hidden="false" customHeight="true" outlineLevel="0" collapsed="false">
      <c r="B135" s="1" t="s">
        <v>1796</v>
      </c>
      <c r="C135" s="107" t="n">
        <f aca="false">IF(Has_a_penRet=1,In_a_penRet,IF(AS_Cautious=1,Set_penRet_Cautious,Set_penRet))</f>
        <v>0.0315</v>
      </c>
      <c r="D135" s="23"/>
    </row>
    <row r="136" customFormat="false" ht="15" hidden="false" customHeight="true" outlineLevel="0" collapsed="false">
      <c r="B136" s="1" t="s">
        <v>1797</v>
      </c>
      <c r="C136" s="107" t="n">
        <f aca="false">IF(Has_a_mortRate=1,In_a_mortRate,Set_mortRate)</f>
        <v>0.0348</v>
      </c>
      <c r="D136" s="23" t="s">
        <v>1798</v>
      </c>
    </row>
    <row r="137" customFormat="false" ht="15" hidden="false" customHeight="true" outlineLevel="0" collapsed="false">
      <c r="B137" s="1" t="s">
        <v>1799</v>
      </c>
      <c r="C137" s="106" t="n">
        <f aca="false">IF(Has_a_cardRate=1,In_a_cardRate,PR_FbCard)</f>
        <v>0.2</v>
      </c>
      <c r="D137" s="23" t="s">
        <v>1800</v>
      </c>
    </row>
    <row r="138" customFormat="false" ht="15" hidden="false" customHeight="true" outlineLevel="0" collapsed="false">
      <c r="B138" s="1" t="s">
        <v>1801</v>
      </c>
      <c r="C138" s="107" t="n">
        <f aca="false">IF(Has_a_loanRate=1,In_a_loanRate,Set_loanRate)</f>
        <v>0.0672</v>
      </c>
      <c r="D138" s="23" t="s">
        <v>1802</v>
      </c>
    </row>
    <row r="139" customFormat="false" ht="15" hidden="false" customHeight="true" outlineLevel="0" collapsed="false">
      <c r="B139" s="1" t="s">
        <v>1803</v>
      </c>
      <c r="C139" s="106" t="n">
        <f aca="false">IF(Has_a_planEnd=1,In_a_planEnd,IF(In_partner="Yes",PR_FbPlanEnd2,PR_FbPlanEnd1))</f>
        <v>90</v>
      </c>
      <c r="D139" s="23" t="s">
        <v>1804</v>
      </c>
    </row>
    <row r="140" customFormat="false" ht="15" hidden="false" customHeight="true" outlineLevel="0" collapsed="false">
      <c r="B140" s="1" t="s">
        <v>1805</v>
      </c>
      <c r="C140" s="106" t="n">
        <f aca="true">IF(Has_a_startYear=1,In_a_startYear,IF(TODAY()&gt;PR_StartSwitch,Rules_Year_Next,Rules_Year))</f>
        <v>2027</v>
      </c>
      <c r="D140" s="23"/>
    </row>
    <row r="141" customFormat="false" ht="15" hidden="false" customHeight="true" outlineLevel="0" collapsed="false">
      <c r="B141" s="1" t="s">
        <v>1806</v>
      </c>
      <c r="C141" s="106" t="n">
        <f aca="false">IF(AND(In_partner="Yes",In_income&gt;0,In_pIncome&gt;0,In_work="Employed"),1,0)</f>
        <v>0</v>
      </c>
      <c r="D141" s="23"/>
    </row>
    <row r="142" customFormat="false" ht="15" hidden="false" customHeight="true" outlineLevel="0" collapsed="false">
      <c r="B142" s="1" t="s">
        <v>1476</v>
      </c>
      <c r="C142" s="106" t="n">
        <f aca="false">IF(Has_a_safetyMonths=1,In_a_safetyMonths,IF(AS_TwoSecure=1,Set_safetyMonthsTwo,Set_safetyMonths))</f>
        <v>6</v>
      </c>
      <c r="D142" s="23"/>
    </row>
    <row r="143" customFormat="false" ht="15" hidden="false" customHeight="true" outlineLevel="0" collapsed="false">
      <c r="B143" s="1" t="s">
        <v>1807</v>
      </c>
      <c r="C143" s="106" t="n">
        <f aca="false">IF(Has_a_cashYears=1,In_a_cashYears,Set_cashYears)</f>
        <v>5</v>
      </c>
      <c r="D143" s="23"/>
    </row>
    <row r="144" customFormat="false" ht="15" hidden="false" customHeight="true" outlineLevel="0" collapsed="false">
      <c r="B144" s="1" t="s">
        <v>1482</v>
      </c>
      <c r="C144" s="107" t="n">
        <f aca="false">IF(Has_a_saveShare=1,In_a_saveShare,Set_saveShare)</f>
        <v>0.5</v>
      </c>
      <c r="D144" s="23"/>
    </row>
    <row r="145" customFormat="false" ht="15" hidden="false" customHeight="true" outlineLevel="0" collapsed="false">
      <c r="B145" s="1" t="s">
        <v>1484</v>
      </c>
      <c r="C145" s="111" t="n">
        <f aca="false">IF(Has_a_noAnswer=1,In_a_noAnswer,Set_noAnswer)</f>
        <v>300</v>
      </c>
      <c r="D145" s="23"/>
    </row>
    <row r="146" customFormat="false" ht="15" hidden="false" customHeight="true" outlineLevel="0" collapsed="false">
      <c r="B146" s="1" t="s">
        <v>1808</v>
      </c>
      <c r="C146" s="107" t="n">
        <f aca="false">IF(Has_a_investShare=1,In_a_investShare,Set_investShare)</f>
        <v>0.4</v>
      </c>
      <c r="D146" s="23"/>
    </row>
    <row r="147" customFormat="false" ht="15" hidden="false" customHeight="true" outlineLevel="0" collapsed="false">
      <c r="B147" s="1" t="s">
        <v>1809</v>
      </c>
      <c r="C147" s="106" t="n">
        <f aca="false">IF(Has_a_accessAge=1,In_a_accessAge,Set_accessAge)</f>
        <v>60</v>
      </c>
      <c r="D147" s="23"/>
    </row>
    <row r="148" customFormat="false" ht="15" hidden="false" customHeight="true" outlineLevel="0" collapsed="false">
      <c r="B148" s="1" t="s">
        <v>1810</v>
      </c>
      <c r="C148" s="107" t="n">
        <f aca="false">IF(Has_a_lumpSum=1,In_a_lumpSum,Set_lumpSum)</f>
        <v>0.25</v>
      </c>
      <c r="D148" s="23"/>
    </row>
    <row r="149" customFormat="false" ht="15" hidden="false" customHeight="true" outlineLevel="0" collapsed="false">
      <c r="B149" s="1" t="s">
        <v>1811</v>
      </c>
      <c r="C149" s="106" t="str">
        <f aca="false">IF(Has_a_drawRule=1,In_a_drawRule,Set_drawRule)</f>
        <v>spread</v>
      </c>
      <c r="D149" s="23"/>
    </row>
    <row r="150" customFormat="false" ht="15" hidden="false" customHeight="true" outlineLevel="0" collapsed="false">
      <c r="B150" s="1" t="s">
        <v>1812</v>
      </c>
      <c r="C150" s="106" t="n">
        <f aca="false">IF(Has_a_drawFixed=1,In_a_drawFixed,PR_FbDrawFixed)</f>
        <v>20000</v>
      </c>
      <c r="D150" s="23"/>
    </row>
    <row r="151" customFormat="false" ht="15" hidden="false" customHeight="true" outlineLevel="0" collapsed="false">
      <c r="B151" s="1" t="s">
        <v>1813</v>
      </c>
      <c r="C151" s="106" t="str">
        <f aca="false">IF(Has_a_bands=1,In_a_bands,Set_bands)</f>
        <v>prices</v>
      </c>
      <c r="D151" s="23"/>
    </row>
    <row r="152" customFormat="false" ht="15" hidden="false" customHeight="true" outlineLevel="0" collapsed="false">
      <c r="B152" s="1" t="s">
        <v>1814</v>
      </c>
      <c r="C152" s="106" t="str">
        <f aca="false">IF(Has_a_spGrow=1,In_a_spGrow,Set_spGrow)</f>
        <v>prices</v>
      </c>
      <c r="D152" s="23"/>
    </row>
    <row r="153" customFormat="false" ht="15" hidden="false" customHeight="true" outlineLevel="0" collapsed="false">
      <c r="B153" s="1" t="s">
        <v>1815</v>
      </c>
      <c r="C153" s="107" t="n">
        <f aca="false">IF(Has_a_retireSpend=1,In_a_retireSpend,Set_retireSpend)</f>
        <v>0.8</v>
      </c>
      <c r="D153" s="23"/>
    </row>
    <row r="154" customFormat="false" ht="15" hidden="false" customHeight="true" outlineLevel="0" collapsed="false">
      <c r="B154" s="1" t="s">
        <v>1816</v>
      </c>
      <c r="C154" s="107" t="n">
        <f aca="false">IF(Has_a_ownShare=1,In_a_ownShare,IF(In_work="Self-employed",1,Set_ownShare))</f>
        <v>0.5</v>
      </c>
      <c r="D154" s="23"/>
    </row>
    <row r="155" customFormat="false" ht="15" hidden="false" customHeight="true" outlineLevel="0" collapsed="false">
      <c r="B155" s="1" t="s">
        <v>1817</v>
      </c>
      <c r="C155" s="106" t="n">
        <f aca="false">IF(Has_a_penChg=1,In_a_penChg,PR_FbPenChg)</f>
        <v>0.01</v>
      </c>
      <c r="D155" s="23"/>
    </row>
    <row r="156" customFormat="false" ht="15" hidden="false" customHeight="true" outlineLevel="0" collapsed="false">
      <c r="B156" s="1" t="s">
        <v>1818</v>
      </c>
      <c r="C156" s="106" t="str">
        <f aca="false">IF(In_sp="","Not sure",In_sp)</f>
        <v>Not sure</v>
      </c>
      <c r="D156" s="23"/>
    </row>
    <row r="157" customFormat="false" ht="15" hidden="false" customHeight="true" outlineLevel="0" collapsed="false">
      <c r="B157" s="1" t="s">
        <v>1819</v>
      </c>
      <c r="C157" s="106" t="n">
        <f aca="false">IF(Has_a_spWeek=1,In_a_spWeek,PR_SPweek*IF(AS_SpOwn="Partly",PR_FbSpPartly,PR_FbSpOther))</f>
        <v>239.44</v>
      </c>
      <c r="D157" s="23"/>
    </row>
    <row r="158" customFormat="false" ht="15" hidden="false" customHeight="true" outlineLevel="0" collapsed="false">
      <c r="B158" s="1" t="s">
        <v>1820</v>
      </c>
      <c r="C158" s="106" t="str">
        <f aca="false">IF(In_pSp="","Not sure",In_pSp)</f>
        <v>Not sure</v>
      </c>
      <c r="D158" s="23"/>
    </row>
    <row r="159" customFormat="false" ht="15" hidden="false" customHeight="true" outlineLevel="0" collapsed="false">
      <c r="B159" s="1" t="s">
        <v>1821</v>
      </c>
      <c r="C159" s="106" t="n">
        <f aca="false">IF(Has_a_pSpWeek=1,In_a_pSpWeek,PR_SPweek*IF(AS_PSpOwn="Own partial",PR_FbSpPartly,PR_FbSpOther))</f>
        <v>239.44</v>
      </c>
      <c r="D159" s="23"/>
    </row>
    <row r="160" customFormat="false" ht="15" hidden="false" customHeight="true" outlineLevel="0" collapsed="false">
      <c r="B160" s="1" t="s">
        <v>1822</v>
      </c>
      <c r="C160" s="106" t="n">
        <f aca="false">PR_SPweek*PR_Weeks</f>
        <v>15563.6</v>
      </c>
      <c r="D160" s="23"/>
    </row>
    <row r="162" customFormat="false" ht="15" hidden="false" customHeight="true" outlineLevel="0" collapsed="false">
      <c r="B162" s="96" t="s">
        <v>1823</v>
      </c>
      <c r="C162" s="96" t="s">
        <v>1545</v>
      </c>
      <c r="D162" s="96" t="s">
        <v>1546</v>
      </c>
    </row>
    <row r="163" customFormat="false" ht="15" hidden="false" customHeight="true" outlineLevel="0" collapsed="false">
      <c r="B163" s="1" t="s">
        <v>1824</v>
      </c>
      <c r="C163" s="106" t="str">
        <f aca="false">IF(In_work&lt;&gt;"",In_work,IF(In_income&gt;0,"Employed",""))</f>
        <v/>
      </c>
      <c r="D163" s="23"/>
    </row>
    <row r="164" customFormat="false" ht="15" hidden="false" customHeight="true" outlineLevel="0" collapsed="false">
      <c r="B164" s="1" t="s">
        <v>744</v>
      </c>
      <c r="C164" s="106" t="n">
        <f aca="false">In_age</f>
        <v>0</v>
      </c>
      <c r="D164" s="23"/>
    </row>
    <row r="165" customFormat="false" ht="15" hidden="false" customHeight="true" outlineLevel="0" collapsed="false">
      <c r="B165" s="1" t="s">
        <v>808</v>
      </c>
      <c r="C165" s="106" t="n">
        <f aca="false">IF(Has_retireAge=1,In_retireAge,PR_FbRetireAge)</f>
        <v>66</v>
      </c>
      <c r="D165" s="23"/>
    </row>
    <row r="166" customFormat="false" ht="15" hidden="false" customHeight="true" outlineLevel="0" collapsed="false">
      <c r="B166" s="1" t="s">
        <v>1825</v>
      </c>
      <c r="C166" s="106" t="n">
        <f aca="false">IF(In_partner="Yes",1,0)</f>
        <v>0</v>
      </c>
      <c r="D166" s="23"/>
    </row>
    <row r="167" customFormat="false" ht="15" hidden="false" customHeight="true" outlineLevel="0" collapsed="false">
      <c r="B167" s="1" t="s">
        <v>1826</v>
      </c>
      <c r="C167" s="106" t="n">
        <f aca="false">IF(AND(F_Partner=1,In_married="Yes"),1,0)</f>
        <v>0</v>
      </c>
      <c r="D167" s="23"/>
    </row>
    <row r="168" customFormat="false" ht="15" hidden="false" customHeight="true" outlineLevel="0" collapsed="false">
      <c r="B168" s="1" t="s">
        <v>1827</v>
      </c>
      <c r="C168" s="106" t="n">
        <f aca="false">IF(In_work="Not working",0,In_income)</f>
        <v>0</v>
      </c>
      <c r="D168" s="23"/>
    </row>
    <row r="169" customFormat="false" ht="15" hidden="false" customHeight="true" outlineLevel="0" collapsed="false">
      <c r="B169" s="1" t="s">
        <v>1828</v>
      </c>
      <c r="C169" s="106" t="n">
        <f aca="false">IF(F_Partner=1,In_pIncome,0)</f>
        <v>0</v>
      </c>
      <c r="D169" s="23"/>
    </row>
    <row r="170" customFormat="false" ht="15" hidden="false" customHeight="true" outlineLevel="0" collapsed="false">
      <c r="B170" s="1" t="s">
        <v>1829</v>
      </c>
      <c r="C170" s="106" t="n">
        <f aca="false">IF(F_Partner=1,IF(In_pAge&gt;0,In_pAge,In_age),0)</f>
        <v>0</v>
      </c>
      <c r="D170" s="23"/>
    </row>
    <row r="171" customFormat="false" ht="15" hidden="false" customHeight="true" outlineLevel="0" collapsed="false">
      <c r="B171" s="1" t="s">
        <v>1830</v>
      </c>
      <c r="C171" s="106" t="n">
        <f aca="false">IF(Has_pRet=1,In_pRet,0)</f>
        <v>0</v>
      </c>
      <c r="D171" s="23"/>
    </row>
    <row r="172" customFormat="false" ht="15" hidden="false" customHeight="true" outlineLevel="0" collapsed="false">
      <c r="B172" s="1" t="s">
        <v>1831</v>
      </c>
      <c r="C172" s="106" t="n">
        <f aca="false">In_otherM</f>
        <v>0</v>
      </c>
      <c r="D172" s="23"/>
    </row>
    <row r="173" customFormat="false" ht="15" hidden="false" customHeight="true" outlineLevel="0" collapsed="false">
      <c r="B173" s="1" t="s">
        <v>1832</v>
      </c>
      <c r="C173" s="106" t="n">
        <f aca="false">In_costsM</f>
        <v>0</v>
      </c>
      <c r="D173" s="23"/>
    </row>
    <row r="174" customFormat="false" ht="15" hidden="false" customHeight="true" outlineLevel="0" collapsed="false">
      <c r="B174" s="1" t="s">
        <v>1833</v>
      </c>
      <c r="C174" s="106" t="n">
        <f aca="false">In_oneOffY</f>
        <v>0</v>
      </c>
      <c r="D174" s="23"/>
    </row>
    <row r="175" customFormat="false" ht="15" hidden="false" customHeight="true" outlineLevel="0" collapsed="false">
      <c r="B175" s="1" t="s">
        <v>1834</v>
      </c>
      <c r="C175" s="106" t="n">
        <f aca="false">In_cash</f>
        <v>0</v>
      </c>
      <c r="D175" s="23"/>
    </row>
    <row r="176" customFormat="false" ht="15" hidden="false" customHeight="true" outlineLevel="0" collapsed="false">
      <c r="B176" s="1" t="s">
        <v>56</v>
      </c>
      <c r="C176" s="106" t="n">
        <f aca="false">In_invest</f>
        <v>0</v>
      </c>
      <c r="D176" s="23"/>
    </row>
    <row r="177" customFormat="false" ht="15" hidden="false" customHeight="true" outlineLevel="0" collapsed="false">
      <c r="B177" s="1" t="s">
        <v>1835</v>
      </c>
      <c r="C177" s="106" t="n">
        <f aca="false">In_rentM</f>
        <v>0</v>
      </c>
      <c r="D177" s="23"/>
    </row>
    <row r="178" customFormat="false" ht="15" hidden="false" customHeight="true" outlineLevel="0" collapsed="false">
      <c r="B178" s="1" t="s">
        <v>1836</v>
      </c>
      <c r="C178" s="106" t="n">
        <f aca="false">IF(In_home="Own with mortgage",1,0)</f>
        <v>0</v>
      </c>
      <c r="D178" s="23"/>
    </row>
    <row r="179" customFormat="false" ht="15" hidden="false" customHeight="true" outlineLevel="0" collapsed="false">
      <c r="B179" s="1" t="s">
        <v>1837</v>
      </c>
      <c r="C179" s="107" t="n">
        <f aca="false">IF(In_mortRate&gt;0,In_mortRate,AS_MortRate)</f>
        <v>0.0348</v>
      </c>
      <c r="D179" s="23"/>
    </row>
    <row r="180" customFormat="false" ht="15" hidden="false" customHeight="true" outlineLevel="0" collapsed="false">
      <c r="B180" s="1" t="s">
        <v>1838</v>
      </c>
      <c r="C180" s="106" t="n">
        <f aca="false">IF(F_MortOn=1,In_mortPayM,0)</f>
        <v>0</v>
      </c>
      <c r="D180" s="23"/>
    </row>
    <row r="181" customFormat="false" ht="15" hidden="false" customHeight="true" outlineLevel="0" collapsed="false">
      <c r="B181" s="1" t="s">
        <v>1371</v>
      </c>
      <c r="C181" s="106" t="n">
        <f aca="false">IF(F_MortOn=1,In_mortBal,0)</f>
        <v>0</v>
      </c>
      <c r="D181" s="23"/>
    </row>
    <row r="182" customFormat="false" ht="15" hidden="false" customHeight="true" outlineLevel="0" collapsed="false">
      <c r="B182" s="1" t="s">
        <v>1839</v>
      </c>
      <c r="C182" s="106"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1840</v>
      </c>
      <c r="C183" s="106" t="n">
        <f aca="false">IF(AND(F_MortOn=1,F_MStated=0),1,0)</f>
        <v>0</v>
      </c>
      <c r="D183" s="23"/>
    </row>
    <row r="184" customFormat="false" ht="15" hidden="false" customHeight="true" outlineLevel="0" collapsed="false">
      <c r="B184" s="1" t="s">
        <v>1841</v>
      </c>
      <c r="C184" s="106"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6" t="s">
        <v>1842</v>
      </c>
      <c r="C186" s="96" t="s">
        <v>1545</v>
      </c>
      <c r="D186" s="96" t="s">
        <v>1546</v>
      </c>
    </row>
    <row r="187" customFormat="false" ht="15" hidden="false" customHeight="true" outlineLevel="0" collapsed="false">
      <c r="B187" s="1" t="s">
        <v>1843</v>
      </c>
      <c r="C187" s="106" t="n">
        <f aca="false">Mort2_Bal</f>
        <v>0</v>
      </c>
      <c r="D187" s="23"/>
    </row>
    <row r="188" customFormat="false" ht="15" hidden="false" customHeight="true" outlineLevel="0" collapsed="false">
      <c r="B188" s="1" t="s">
        <v>1844</v>
      </c>
      <c r="C188" s="106" t="n">
        <f aca="false">Mort2_Pay</f>
        <v>0</v>
      </c>
      <c r="D188" s="23"/>
    </row>
    <row r="189" customFormat="false" ht="15" hidden="false" customHeight="true" outlineLevel="0" collapsed="false">
      <c r="B189" s="1" t="s">
        <v>1845</v>
      </c>
      <c r="C189" s="112" t="n">
        <f aca="false">Mort2_Rate</f>
        <v>0</v>
      </c>
      <c r="D189" s="23"/>
    </row>
    <row r="190" customFormat="false" ht="15" hidden="false" customHeight="true" outlineLevel="0" collapsed="false">
      <c r="B190" s="1" t="s">
        <v>1846</v>
      </c>
      <c r="C190" s="106" t="n">
        <f aca="false">IF(In_cardRate&gt;0,In_cardRate,AS_CardRate)</f>
        <v>0.2</v>
      </c>
      <c r="D190" s="23"/>
    </row>
    <row r="191" customFormat="false" ht="15" hidden="false" customHeight="true" outlineLevel="0" collapsed="false">
      <c r="B191" s="1" t="s">
        <v>1847</v>
      </c>
      <c r="C191" s="107" t="n">
        <f aca="false">IF(In_loanRate&gt;0,In_loanRate,AS_LoanRate)</f>
        <v>0.0672</v>
      </c>
      <c r="D191" s="23"/>
    </row>
    <row r="192" customFormat="false" ht="15" hidden="false" customHeight="true" outlineLevel="0" collapsed="false">
      <c r="B192" s="1" t="s">
        <v>1848</v>
      </c>
      <c r="C192" s="106" t="n">
        <f aca="false">In_loanBal+In_debt</f>
        <v>0</v>
      </c>
      <c r="D192" s="23"/>
    </row>
    <row r="193" customFormat="false" ht="15" hidden="false" customHeight="true" outlineLevel="0" collapsed="false">
      <c r="B193" s="1" t="s">
        <v>1849</v>
      </c>
      <c r="C193" s="107" t="n">
        <f aca="false">IF(M2_Bal&gt;0,IF(D_lB0&gt;0,(D_lB0*D_lR0+M2_Bal*M2_Rate)/(D_lB0+M2_Bal),M2_Rate),D_lR0)</f>
        <v>0.0672</v>
      </c>
      <c r="D193" s="23"/>
    </row>
    <row r="194" customFormat="false" ht="15" hidden="false" customHeight="true" outlineLevel="0" collapsed="false">
      <c r="B194" s="1" t="s">
        <v>1850</v>
      </c>
      <c r="C194" s="106" t="n">
        <f aca="false">In_cardBal</f>
        <v>0</v>
      </c>
      <c r="D194" s="23"/>
    </row>
    <row r="195" customFormat="false" ht="15" hidden="false" customHeight="true" outlineLevel="0" collapsed="false">
      <c r="B195" s="1" t="s">
        <v>1851</v>
      </c>
      <c r="C195" s="106" t="n">
        <f aca="false">D_lB0+M2_Bal</f>
        <v>0</v>
      </c>
      <c r="D195" s="23"/>
    </row>
    <row r="196" customFormat="false" ht="15" hidden="false" customHeight="true" outlineLevel="0" collapsed="false">
      <c r="B196" s="1" t="s">
        <v>1852</v>
      </c>
      <c r="C196" s="106" t="n">
        <f aca="false">In_loanPayM+In_debtPayM+M2_Pay</f>
        <v>0</v>
      </c>
      <c r="D196" s="23"/>
    </row>
    <row r="197" customFormat="false" ht="15" hidden="false" customHeight="true" outlineLevel="0" collapsed="false">
      <c r="B197" s="1" t="s">
        <v>1853</v>
      </c>
      <c r="C197" s="106" t="n">
        <f aca="false">(1+D_cR)^(1/12)-1</f>
        <v>0.0153094704997312</v>
      </c>
      <c r="D197" s="23"/>
    </row>
    <row r="198" customFormat="false" ht="15" hidden="false" customHeight="true" outlineLevel="0" collapsed="false">
      <c r="B198" s="1" t="s">
        <v>1854</v>
      </c>
      <c r="C198" s="106" t="n">
        <f aca="false">(1+D_lR)^(1/12)-1</f>
        <v>0.0054345803945961</v>
      </c>
      <c r="D198" s="23"/>
    </row>
    <row r="199" customFormat="false" ht="15" hidden="false" customHeight="true" outlineLevel="0" collapsed="false">
      <c r="B199" s="1" t="s">
        <v>1855</v>
      </c>
      <c r="C199" s="106" t="n">
        <f aca="false">IF(AND(F_CardBal&gt;0,In_cardPayM&gt;F_CardBal*D_iC),1,0)</f>
        <v>0</v>
      </c>
      <c r="D199" s="23"/>
    </row>
    <row r="200" customFormat="false" ht="15" hidden="false" customHeight="true" outlineLevel="0" collapsed="false">
      <c r="B200" s="1" t="s">
        <v>1856</v>
      </c>
      <c r="C200" s="106" t="n">
        <f aca="false">IF(AND(F_LoanBal&gt;0,D_lp&gt;F_LoanBal*D_iL),1,0)</f>
        <v>0</v>
      </c>
      <c r="D200" s="23"/>
    </row>
    <row r="201" customFormat="false" ht="15" hidden="false" customHeight="true" outlineLevel="0" collapsed="false">
      <c r="B201" s="1" t="s">
        <v>1857</v>
      </c>
      <c r="C201" s="106" t="n">
        <f aca="false">IF(F_CardBal&gt;0,IF(D_okC=1,In_cardPayM,IF(D_iC&lt;&gt;0,F_CardBal*D_iC/(1-(1+D_iC)^-60),F_CardBal/60)),0)</f>
        <v>0</v>
      </c>
      <c r="D201" s="23"/>
    </row>
    <row r="202" customFormat="false" ht="15" hidden="false" customHeight="true" outlineLevel="0" collapsed="false">
      <c r="B202" s="1" t="s">
        <v>1858</v>
      </c>
      <c r="C202" s="106" t="n">
        <f aca="false">IF(F_LoanBal&gt;0,IF(D_okL=1,D_lp,IF(D_iL&lt;&gt;0,F_LoanBal*D_iL/(1-(1+D_iL)^-60),F_LoanBal/60)),0)</f>
        <v>0</v>
      </c>
      <c r="D202" s="23"/>
    </row>
    <row r="203" customFormat="false" ht="15" hidden="false" customHeight="true" outlineLevel="0" collapsed="false">
      <c r="B203" s="1" t="s">
        <v>1859</v>
      </c>
      <c r="C203" s="106" t="n">
        <f aca="false">IF(AND(F_CardBal&gt;0,D_okC=0),1,0)</f>
        <v>0</v>
      </c>
      <c r="D203" s="23"/>
    </row>
    <row r="204" customFormat="false" ht="15" hidden="false" customHeight="true" outlineLevel="0" collapsed="false">
      <c r="B204" s="1" t="s">
        <v>1860</v>
      </c>
      <c r="C204" s="106" t="n">
        <f aca="false">IF(AND(F_LoanBal&gt;0,D_okL=0),1,0)</f>
        <v>0</v>
      </c>
      <c r="D204" s="23"/>
    </row>
    <row r="205" customFormat="false" ht="15" hidden="false" customHeight="true" outlineLevel="0" collapsed="false">
      <c r="B205" s="1" t="s">
        <v>1861</v>
      </c>
      <c r="C205" s="106" t="n">
        <f aca="false">F_CardBal+F_LoanBal</f>
        <v>0</v>
      </c>
      <c r="D205" s="23"/>
    </row>
    <row r="206" customFormat="false" ht="15" hidden="false" customHeight="true" outlineLevel="0" collapsed="false">
      <c r="B206" s="1" t="s">
        <v>1862</v>
      </c>
      <c r="C206" s="106" t="n">
        <f aca="false">F_CardPayM+F_LoanPayM</f>
        <v>0</v>
      </c>
      <c r="D206" s="23"/>
    </row>
    <row r="207" customFormat="false" ht="15" hidden="false" customHeight="true" outlineLevel="0" collapsed="false">
      <c r="B207" s="1" t="s">
        <v>1863</v>
      </c>
      <c r="C207" s="106" t="n">
        <f aca="false">F_CostsM+F_MortPayM+IF(F_Debt&gt;0,F_DebtPayM,0)</f>
        <v>0</v>
      </c>
      <c r="D207" s="23"/>
    </row>
    <row r="209" customFormat="false" ht="15" hidden="false" customHeight="true" outlineLevel="0" collapsed="false">
      <c r="B209" s="96" t="s">
        <v>1864</v>
      </c>
      <c r="C209" s="96" t="s">
        <v>1545</v>
      </c>
      <c r="D209" s="96" t="s">
        <v>1546</v>
      </c>
    </row>
    <row r="210" customFormat="false" ht="15" hidden="false" customHeight="true" outlineLevel="0" collapsed="false">
      <c r="B210" s="1" t="s">
        <v>1865</v>
      </c>
      <c r="C210" s="106" t="n">
        <f aca="false">IF(AND(In_work&lt;&gt;"Not working",F_Income&gt;0),In_pensionM,0)</f>
        <v>0</v>
      </c>
      <c r="D210" s="23"/>
    </row>
    <row r="211" customFormat="false" ht="15" hidden="false" customHeight="true" outlineLevel="0" collapsed="false">
      <c r="B211" s="1" t="s">
        <v>1866</v>
      </c>
      <c r="C211" s="106" t="n">
        <f aca="false">IF(Has_pensionOwnM=1,MIN(F_PenM,In_pensionOwnM),F_PenM*AS_OwnShare)</f>
        <v>0</v>
      </c>
      <c r="D211" s="23"/>
    </row>
    <row r="212" customFormat="false" ht="15" hidden="false" customHeight="true" outlineLevel="0" collapsed="false">
      <c r="B212" s="1" t="s">
        <v>1867</v>
      </c>
      <c r="C212" s="112" t="n">
        <f aca="false">AS_Pen+IF(Has_penChg=1,AS_PenChgTyp-In_penChg,0)</f>
        <v>0.045</v>
      </c>
      <c r="D212" s="23"/>
    </row>
    <row r="213" customFormat="false" ht="15" hidden="false" customHeight="true" outlineLevel="0" collapsed="false">
      <c r="B213" s="1" t="s">
        <v>1868</v>
      </c>
      <c r="C213" s="106" t="str">
        <f aca="false">IF(Has_spYears=1,In_spYears,IF(Has_a_spYears=1,In_a_spYears,""))</f>
        <v/>
      </c>
      <c r="D213" s="23"/>
    </row>
    <row r="214" customFormat="false" ht="15" hidden="false" customHeight="true" outlineLevel="0" collapsed="false">
      <c r="B214" s="1" t="s">
        <v>1869</v>
      </c>
      <c r="C214" s="106" t="n">
        <f aca="false">IF(F_YrsSP&lt;&gt;"",IF(F_YrsSP&lt;PR_SPmin,0,MIN(1,F_YrsSP/PR_SPfull)),IF(In_sp="Expect full",1,MIN(1,AS_SpWeek/PR_SPweek)))</f>
        <v>0.8</v>
      </c>
      <c r="D214" s="23"/>
    </row>
    <row r="215" customFormat="false" ht="15" hidden="false" customHeight="true" outlineLevel="0" collapsed="false">
      <c r="B215" s="1" t="s">
        <v>1870</v>
      </c>
      <c r="C215" s="106" t="str">
        <f aca="false">IF(F_Partner=1,AS_PSpOwn,"None")</f>
        <v>None</v>
      </c>
      <c r="D215" s="23"/>
    </row>
    <row r="216" customFormat="false" ht="15" hidden="false" customHeight="true" outlineLevel="0" collapsed="false">
      <c r="B216" s="1" t="s">
        <v>1871</v>
      </c>
      <c r="C216" s="106" t="n">
        <f aca="false">IF(F_PSpO="Qualified adult increase",1,0)</f>
        <v>0</v>
      </c>
      <c r="D216" s="23"/>
    </row>
    <row r="217" customFormat="false" ht="15" hidden="false" customHeight="true" outlineLevel="0" collapsed="false">
      <c r="B217" s="1" t="s">
        <v>1872</v>
      </c>
      <c r="C217" s="106" t="n">
        <f aca="false">IF(F_PSpO="Own full",1,IF(OR(F_PSpO="Own partial",F_PSpO="Not sure"),MIN(1,AS_PSpWeek/PR_SPweek),0))</f>
        <v>0</v>
      </c>
      <c r="D217" s="23"/>
    </row>
    <row r="218" customFormat="false" ht="15" hidden="false" customHeight="true" outlineLevel="0" collapsed="false">
      <c r="B218" s="1" t="s">
        <v>1873</v>
      </c>
      <c r="C218" s="106" t="n">
        <f aca="false">IF(AND(F_Work="Employed",In_age&gt;=PR_AEageMin,In_age&lt;=PR_AEageMax,F_Income&gt;PR_AEearnMin,F_PenM=0,In_ae&lt;&gt;"No"),1,0)</f>
        <v>0</v>
      </c>
      <c r="D218" s="23"/>
    </row>
    <row r="219" customFormat="false" ht="15" hidden="false" customHeight="true" outlineLevel="0" collapsed="false">
      <c r="B219" s="1" t="s">
        <v>1874</v>
      </c>
      <c r="C219" s="106" t="n">
        <f aca="false">IF(AND(In_credRent="Yes",In_home="Rent"),1,0)</f>
        <v>0</v>
      </c>
      <c r="D219" s="23"/>
    </row>
    <row r="220" customFormat="false" ht="15" hidden="false" customHeight="true" outlineLevel="0" collapsed="false">
      <c r="B220" s="1" t="s">
        <v>1875</v>
      </c>
      <c r="C220" s="106" t="n">
        <f aca="false">IF(AND(In_credLone="Yes",In_deps&gt;0,F_Partner=0),1,0)</f>
        <v>0</v>
      </c>
      <c r="D220" s="23"/>
    </row>
    <row r="221" customFormat="false" ht="15" hidden="false" customHeight="true" outlineLevel="0" collapsed="false">
      <c r="B221" s="1" t="s">
        <v>1876</v>
      </c>
      <c r="C221" s="106" t="n">
        <f aca="false">IF(AND(In_credCarer="Yes",F_Partner=1,In_married="Yes"),1,0)</f>
        <v>0</v>
      </c>
      <c r="D221" s="23"/>
    </row>
    <row r="222" customFormat="false" ht="15" hidden="false" customHeight="true" outlineLevel="0" collapsed="false">
      <c r="B222" s="1" t="s">
        <v>1877</v>
      </c>
      <c r="C222" s="106" t="n">
        <f aca="false">In_pension+IF(WI_Retire=1,In_wiL,0)</f>
        <v>0</v>
      </c>
      <c r="D222" s="23"/>
    </row>
    <row r="223" customFormat="false" ht="15" hidden="false" customHeight="true" outlineLevel="0" collapsed="false">
      <c r="B223" s="1" t="s">
        <v>1878</v>
      </c>
      <c r="C223" s="106" t="n">
        <f aca="false">MAX(F_R,AS_AccessAge)</f>
        <v>66</v>
      </c>
      <c r="D223" s="23"/>
    </row>
    <row r="224" customFormat="false" ht="15" hidden="false" customHeight="true" outlineLevel="0" collapsed="false">
      <c r="B224" s="1" t="s">
        <v>1879</v>
      </c>
      <c r="C224" s="106" t="n">
        <f aca="false">AS_End-F_Age</f>
        <v>90</v>
      </c>
      <c r="D224" s="23"/>
    </row>
    <row r="225" customFormat="false" ht="15" hidden="false" customHeight="true" outlineLevel="0" collapsed="false">
      <c r="B225" s="1" t="s">
        <v>1880</v>
      </c>
      <c r="C225" s="106" t="n">
        <f aca="false">IF(In_work="Self-employed",1,0)</f>
        <v>0</v>
      </c>
      <c r="D225" s="23"/>
    </row>
    <row r="226" customFormat="false" ht="15" hidden="false" customHeight="true" outlineLevel="0" collapsed="false">
      <c r="B226" s="1" t="s">
        <v>1881</v>
      </c>
      <c r="C226" s="106" t="n">
        <f aca="false">IF(AND(In_wiGoal&gt;0,INDEX(Goal_Kind_List,MAX(1,In_wiGoal))="retire"),1,0)</f>
        <v>0</v>
      </c>
      <c r="D226" s="23" t="s">
        <v>1882</v>
      </c>
    </row>
    <row r="227" customFormat="false" ht="15" hidden="false" customHeight="true" outlineLevel="0" collapsed="false">
      <c r="B227" s="1" t="s">
        <v>1883</v>
      </c>
      <c r="C227" s="106" t="n">
        <f aca="false">In_wiM</f>
        <v>0</v>
      </c>
      <c r="D227" s="23"/>
    </row>
    <row r="228" customFormat="false" ht="15" hidden="false" customHeight="true" outlineLevel="0" collapsed="false">
      <c r="B228" s="1" t="s">
        <v>1884</v>
      </c>
      <c r="C228" s="106" t="n">
        <f aca="false">In_wiL</f>
        <v>0</v>
      </c>
      <c r="D228" s="23"/>
    </row>
    <row r="232" customFormat="false" ht="108.75" hidden="false" customHeight="true" outlineLevel="0" collapsed="false">
      <c r="A232" s="96" t="s">
        <v>1885</v>
      </c>
      <c r="B232" s="103" t="s">
        <v>1886</v>
      </c>
      <c r="C232" s="103" t="s">
        <v>744</v>
      </c>
      <c r="D232" s="103" t="s">
        <v>917</v>
      </c>
      <c r="E232" s="103" t="s">
        <v>1887</v>
      </c>
      <c r="F232" s="103" t="s">
        <v>1888</v>
      </c>
      <c r="G232" s="103" t="s">
        <v>1889</v>
      </c>
      <c r="H232" s="103" t="s">
        <v>1890</v>
      </c>
      <c r="I232" s="103" t="s">
        <v>1891</v>
      </c>
      <c r="J232" s="103" t="s">
        <v>1892</v>
      </c>
      <c r="K232" s="103" t="s">
        <v>1893</v>
      </c>
      <c r="L232" s="103" t="s">
        <v>1894</v>
      </c>
      <c r="M232" s="103" t="s">
        <v>1895</v>
      </c>
      <c r="N232" s="103" t="s">
        <v>1896</v>
      </c>
      <c r="O232" s="103" t="s">
        <v>1897</v>
      </c>
      <c r="P232" s="103" t="s">
        <v>1898</v>
      </c>
      <c r="Q232" s="103" t="s">
        <v>1899</v>
      </c>
      <c r="R232" s="103" t="s">
        <v>1900</v>
      </c>
      <c r="S232" s="103" t="s">
        <v>1901</v>
      </c>
      <c r="T232" s="103" t="s">
        <v>1902</v>
      </c>
      <c r="U232" s="103" t="s">
        <v>1903</v>
      </c>
      <c r="V232" s="103" t="s">
        <v>1904</v>
      </c>
      <c r="W232" s="103" t="s">
        <v>1905</v>
      </c>
      <c r="X232" s="103" t="s">
        <v>1906</v>
      </c>
      <c r="Y232" s="103" t="s">
        <v>1907</v>
      </c>
      <c r="Z232" s="103" t="s">
        <v>1908</v>
      </c>
      <c r="AA232" s="103" t="s">
        <v>1909</v>
      </c>
      <c r="AB232" s="103" t="s">
        <v>1910</v>
      </c>
      <c r="AC232" s="103" t="s">
        <v>1911</v>
      </c>
      <c r="AD232" s="103" t="s">
        <v>1912</v>
      </c>
      <c r="AE232" s="103" t="s">
        <v>1913</v>
      </c>
      <c r="AF232" s="103" t="s">
        <v>1914</v>
      </c>
      <c r="AG232" s="103" t="s">
        <v>1915</v>
      </c>
      <c r="AH232" s="103" t="s">
        <v>1916</v>
      </c>
      <c r="AI232" s="103" t="s">
        <v>1917</v>
      </c>
      <c r="AJ232" s="103" t="s">
        <v>1918</v>
      </c>
      <c r="AK232" s="103" t="s">
        <v>1919</v>
      </c>
      <c r="AL232" s="103" t="s">
        <v>1920</v>
      </c>
      <c r="AM232" s="103" t="s">
        <v>1921</v>
      </c>
      <c r="AN232" s="103" t="s">
        <v>1922</v>
      </c>
      <c r="AO232" s="103" t="s">
        <v>1923</v>
      </c>
      <c r="AP232" s="103" t="s">
        <v>1924</v>
      </c>
      <c r="AQ232" s="103" t="s">
        <v>1925</v>
      </c>
      <c r="AR232" s="103" t="s">
        <v>1926</v>
      </c>
      <c r="AS232" s="103" t="s">
        <v>1927</v>
      </c>
      <c r="AT232" s="103" t="s">
        <v>1928</v>
      </c>
      <c r="AU232" s="103" t="s">
        <v>1929</v>
      </c>
      <c r="AV232" s="103" t="s">
        <v>1930</v>
      </c>
      <c r="AW232" s="103" t="s">
        <v>1931</v>
      </c>
      <c r="AX232" s="103" t="s">
        <v>1932</v>
      </c>
      <c r="AY232" s="103" t="s">
        <v>1933</v>
      </c>
      <c r="AZ232" s="103" t="s">
        <v>1934</v>
      </c>
      <c r="BA232" s="103" t="s">
        <v>1935</v>
      </c>
      <c r="BB232" s="103" t="s">
        <v>1936</v>
      </c>
      <c r="BC232" s="103" t="s">
        <v>1937</v>
      </c>
      <c r="BD232" s="103" t="s">
        <v>1938</v>
      </c>
      <c r="BE232" s="103" t="s">
        <v>1939</v>
      </c>
      <c r="BF232" s="103" t="s">
        <v>1940</v>
      </c>
      <c r="BG232" s="103" t="s">
        <v>1941</v>
      </c>
      <c r="BH232" s="103" t="s">
        <v>1942</v>
      </c>
      <c r="BI232" s="103" t="s">
        <v>1943</v>
      </c>
      <c r="BJ232" s="103" t="s">
        <v>1944</v>
      </c>
      <c r="BK232" s="103" t="s">
        <v>1945</v>
      </c>
      <c r="BL232" s="103" t="s">
        <v>1946</v>
      </c>
      <c r="BM232" s="103" t="s">
        <v>1947</v>
      </c>
      <c r="BN232" s="103" t="s">
        <v>1948</v>
      </c>
      <c r="BO232" s="103" t="s">
        <v>1949</v>
      </c>
      <c r="BP232" s="103" t="s">
        <v>1950</v>
      </c>
      <c r="BQ232" s="103" t="s">
        <v>1951</v>
      </c>
      <c r="BR232" s="103" t="s">
        <v>1952</v>
      </c>
      <c r="BS232" s="103" t="s">
        <v>1953</v>
      </c>
      <c r="BT232" s="103" t="s">
        <v>1954</v>
      </c>
    </row>
    <row r="233" customFormat="false" ht="15" hidden="false" customHeight="true" outlineLevel="0" collapsed="false">
      <c r="A233" s="1" t="s">
        <v>1955</v>
      </c>
      <c r="AD233" s="113" t="n">
        <f aca="false">F_Pension0</f>
        <v>0</v>
      </c>
    </row>
    <row r="234" customFormat="false" ht="15" hidden="false" customHeight="true" outlineLevel="0" collapsed="false">
      <c r="B234" s="1" t="n">
        <v>0</v>
      </c>
      <c r="C234" s="1" t="n">
        <f aca="false">F_Age+B234</f>
        <v>0</v>
      </c>
      <c r="D234" s="1" t="n">
        <f aca="false">AS_Year0+B234</f>
        <v>2027</v>
      </c>
      <c r="E234" s="114" t="n">
        <f aca="false">(1+AS_Infl)^B234</f>
        <v>1</v>
      </c>
      <c r="F234" s="114" t="n">
        <f aca="false">(1+AS_Wage)^B234</f>
        <v>1</v>
      </c>
      <c r="G234" s="1" t="n">
        <f aca="false">IF(C234&lt;F_R,1,0)</f>
        <v>1</v>
      </c>
      <c r="H234" s="114" t="n">
        <f aca="false">IF(AS_Bands="flat",1,E234)</f>
        <v>1</v>
      </c>
      <c r="I234" s="114" t="n">
        <f aca="false">IF(AS_SpGrow="pay",F234,IF(AS_SpGrow="flat",1,E234))</f>
        <v>1</v>
      </c>
      <c r="J234" s="114"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5"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5"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4" t="n">
        <f aca="false">(1+AS_Infl)^B235</f>
        <v>1.02</v>
      </c>
      <c r="F235" s="114" t="n">
        <f aca="false">(1+AS_Wage)^B235</f>
        <v>1.03</v>
      </c>
      <c r="G235" s="1" t="n">
        <f aca="false">IF(C235&lt;F_R,1,0)</f>
        <v>1</v>
      </c>
      <c r="H235" s="114" t="n">
        <f aca="false">IF(AS_Bands="flat",1,E235)</f>
        <v>1.02</v>
      </c>
      <c r="I235" s="114" t="n">
        <f aca="false">IF(AS_SpGrow="pay",F235,IF(AS_SpGrow="flat",1,E235))</f>
        <v>1.02</v>
      </c>
      <c r="J235" s="114"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5"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5"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4" t="n">
        <f aca="false">(1+AS_Infl)^B236</f>
        <v>1.0404</v>
      </c>
      <c r="F236" s="114" t="n">
        <f aca="false">(1+AS_Wage)^B236</f>
        <v>1.0609</v>
      </c>
      <c r="G236" s="1" t="n">
        <f aca="false">IF(C236&lt;F_R,1,0)</f>
        <v>1</v>
      </c>
      <c r="H236" s="114" t="n">
        <f aca="false">IF(AS_Bands="flat",1,E236)</f>
        <v>1.0404</v>
      </c>
      <c r="I236" s="114" t="n">
        <f aca="false">IF(AS_SpGrow="pay",F236,IF(AS_SpGrow="flat",1,E236))</f>
        <v>1.0404</v>
      </c>
      <c r="J236" s="114"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5"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5"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4" t="n">
        <f aca="false">(1+AS_Infl)^B237</f>
        <v>1.061208</v>
      </c>
      <c r="F237" s="114" t="n">
        <f aca="false">(1+AS_Wage)^B237</f>
        <v>1.092727</v>
      </c>
      <c r="G237" s="1" t="n">
        <f aca="false">IF(C237&lt;F_R,1,0)</f>
        <v>1</v>
      </c>
      <c r="H237" s="114" t="n">
        <f aca="false">IF(AS_Bands="flat",1,E237)</f>
        <v>1.061208</v>
      </c>
      <c r="I237" s="114" t="n">
        <f aca="false">IF(AS_SpGrow="pay",F237,IF(AS_SpGrow="flat",1,E237))</f>
        <v>1.061208</v>
      </c>
      <c r="J237" s="114"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5"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5"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4" t="n">
        <f aca="false">(1+AS_Infl)^B238</f>
        <v>1.08243216</v>
      </c>
      <c r="F238" s="114" t="n">
        <f aca="false">(1+AS_Wage)^B238</f>
        <v>1.12550881</v>
      </c>
      <c r="G238" s="1" t="n">
        <f aca="false">IF(C238&lt;F_R,1,0)</f>
        <v>1</v>
      </c>
      <c r="H238" s="114" t="n">
        <f aca="false">IF(AS_Bands="flat",1,E238)</f>
        <v>1.08243216</v>
      </c>
      <c r="I238" s="114" t="n">
        <f aca="false">IF(AS_SpGrow="pay",F238,IF(AS_SpGrow="flat",1,E238))</f>
        <v>1.08243216</v>
      </c>
      <c r="J238" s="114"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5"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5"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4" t="n">
        <f aca="false">(1+AS_Infl)^B239</f>
        <v>1.1040808032</v>
      </c>
      <c r="F239" s="114" t="n">
        <f aca="false">(1+AS_Wage)^B239</f>
        <v>1.1592740743</v>
      </c>
      <c r="G239" s="1" t="n">
        <f aca="false">IF(C239&lt;F_R,1,0)</f>
        <v>1</v>
      </c>
      <c r="H239" s="114" t="n">
        <f aca="false">IF(AS_Bands="flat",1,E239)</f>
        <v>1.1040808032</v>
      </c>
      <c r="I239" s="114" t="n">
        <f aca="false">IF(AS_SpGrow="pay",F239,IF(AS_SpGrow="flat",1,E239))</f>
        <v>1.1040808032</v>
      </c>
      <c r="J239" s="114"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5"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5"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4" t="n">
        <f aca="false">(1+AS_Infl)^B240</f>
        <v>1.126162419264</v>
      </c>
      <c r="F240" s="114" t="n">
        <f aca="false">(1+AS_Wage)^B240</f>
        <v>1.194052296529</v>
      </c>
      <c r="G240" s="1" t="n">
        <f aca="false">IF(C240&lt;F_R,1,0)</f>
        <v>1</v>
      </c>
      <c r="H240" s="114" t="n">
        <f aca="false">IF(AS_Bands="flat",1,E240)</f>
        <v>1.126162419264</v>
      </c>
      <c r="I240" s="114" t="n">
        <f aca="false">IF(AS_SpGrow="pay",F240,IF(AS_SpGrow="flat",1,E240))</f>
        <v>1.126162419264</v>
      </c>
      <c r="J240" s="114"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5"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5"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4" t="n">
        <f aca="false">(1+AS_Infl)^B241</f>
        <v>1.14868566764928</v>
      </c>
      <c r="F241" s="114" t="n">
        <f aca="false">(1+AS_Wage)^B241</f>
        <v>1.22987386542487</v>
      </c>
      <c r="G241" s="1" t="n">
        <f aca="false">IF(C241&lt;F_R,1,0)</f>
        <v>1</v>
      </c>
      <c r="H241" s="114" t="n">
        <f aca="false">IF(AS_Bands="flat",1,E241)</f>
        <v>1.14868566764928</v>
      </c>
      <c r="I241" s="114" t="n">
        <f aca="false">IF(AS_SpGrow="pay",F241,IF(AS_SpGrow="flat",1,E241))</f>
        <v>1.14868566764928</v>
      </c>
      <c r="J241" s="114"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5"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5"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4" t="n">
        <f aca="false">(1+AS_Infl)^B242</f>
        <v>1.17165938100227</v>
      </c>
      <c r="F242" s="114" t="n">
        <f aca="false">(1+AS_Wage)^B242</f>
        <v>1.26677008138762</v>
      </c>
      <c r="G242" s="1" t="n">
        <f aca="false">IF(C242&lt;F_R,1,0)</f>
        <v>1</v>
      </c>
      <c r="H242" s="114" t="n">
        <f aca="false">IF(AS_Bands="flat",1,E242)</f>
        <v>1.17165938100227</v>
      </c>
      <c r="I242" s="114" t="n">
        <f aca="false">IF(AS_SpGrow="pay",F242,IF(AS_SpGrow="flat",1,E242))</f>
        <v>1.17165938100227</v>
      </c>
      <c r="J242" s="114"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5"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5"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4" t="n">
        <f aca="false">(1+AS_Infl)^B243</f>
        <v>1.19509256862231</v>
      </c>
      <c r="F243" s="114" t="n">
        <f aca="false">(1+AS_Wage)^B243</f>
        <v>1.30477318382925</v>
      </c>
      <c r="G243" s="1" t="n">
        <f aca="false">IF(C243&lt;F_R,1,0)</f>
        <v>1</v>
      </c>
      <c r="H243" s="114" t="n">
        <f aca="false">IF(AS_Bands="flat",1,E243)</f>
        <v>1.19509256862231</v>
      </c>
      <c r="I243" s="114" t="n">
        <f aca="false">IF(AS_SpGrow="pay",F243,IF(AS_SpGrow="flat",1,E243))</f>
        <v>1.19509256862231</v>
      </c>
      <c r="J243" s="114"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5"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5"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4" t="n">
        <f aca="false">(1+AS_Infl)^B244</f>
        <v>1.21899441999476</v>
      </c>
      <c r="F244" s="114" t="n">
        <f aca="false">(1+AS_Wage)^B244</f>
        <v>1.34391637934412</v>
      </c>
      <c r="G244" s="1" t="n">
        <f aca="false">IF(C244&lt;F_R,1,0)</f>
        <v>1</v>
      </c>
      <c r="H244" s="114" t="n">
        <f aca="false">IF(AS_Bands="flat",1,E244)</f>
        <v>1.21899441999476</v>
      </c>
      <c r="I244" s="114" t="n">
        <f aca="false">IF(AS_SpGrow="pay",F244,IF(AS_SpGrow="flat",1,E244))</f>
        <v>1.21899441999476</v>
      </c>
      <c r="J244" s="114"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5"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5"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4" t="n">
        <f aca="false">(1+AS_Infl)^B245</f>
        <v>1.24337430839465</v>
      </c>
      <c r="F245" s="114" t="n">
        <f aca="false">(1+AS_Wage)^B245</f>
        <v>1.38423387072445</v>
      </c>
      <c r="G245" s="1" t="n">
        <f aca="false">IF(C245&lt;F_R,1,0)</f>
        <v>1</v>
      </c>
      <c r="H245" s="114" t="n">
        <f aca="false">IF(AS_Bands="flat",1,E245)</f>
        <v>1.24337430839465</v>
      </c>
      <c r="I245" s="114" t="n">
        <f aca="false">IF(AS_SpGrow="pay",F245,IF(AS_SpGrow="flat",1,E245))</f>
        <v>1.24337430839465</v>
      </c>
      <c r="J245" s="114"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5"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5"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4" t="n">
        <f aca="false">(1+AS_Infl)^B246</f>
        <v>1.26824179456255</v>
      </c>
      <c r="F246" s="114" t="n">
        <f aca="false">(1+AS_Wage)^B246</f>
        <v>1.42576088684618</v>
      </c>
      <c r="G246" s="1" t="n">
        <f aca="false">IF(C246&lt;F_R,1,0)</f>
        <v>1</v>
      </c>
      <c r="H246" s="114" t="n">
        <f aca="false">IF(AS_Bands="flat",1,E246)</f>
        <v>1.26824179456255</v>
      </c>
      <c r="I246" s="114" t="n">
        <f aca="false">IF(AS_SpGrow="pay",F246,IF(AS_SpGrow="flat",1,E246))</f>
        <v>1.26824179456255</v>
      </c>
      <c r="J246" s="114"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5"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5"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4" t="n">
        <f aca="false">(1+AS_Infl)^B247</f>
        <v>1.2936066304538</v>
      </c>
      <c r="F247" s="114" t="n">
        <f aca="false">(1+AS_Wage)^B247</f>
        <v>1.46853371345156</v>
      </c>
      <c r="G247" s="1" t="n">
        <f aca="false">IF(C247&lt;F_R,1,0)</f>
        <v>1</v>
      </c>
      <c r="H247" s="114" t="n">
        <f aca="false">IF(AS_Bands="flat",1,E247)</f>
        <v>1.2936066304538</v>
      </c>
      <c r="I247" s="114" t="n">
        <f aca="false">IF(AS_SpGrow="pay",F247,IF(AS_SpGrow="flat",1,E247))</f>
        <v>1.2936066304538</v>
      </c>
      <c r="J247" s="114"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5"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5"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4" t="n">
        <f aca="false">(1+AS_Infl)^B248</f>
        <v>1.31947876306287</v>
      </c>
      <c r="F248" s="114" t="n">
        <f aca="false">(1+AS_Wage)^B248</f>
        <v>1.51258972485511</v>
      </c>
      <c r="G248" s="1" t="n">
        <f aca="false">IF(C248&lt;F_R,1,0)</f>
        <v>1</v>
      </c>
      <c r="H248" s="114" t="n">
        <f aca="false">IF(AS_Bands="flat",1,E248)</f>
        <v>1.31947876306287</v>
      </c>
      <c r="I248" s="114" t="n">
        <f aca="false">IF(AS_SpGrow="pay",F248,IF(AS_SpGrow="flat",1,E248))</f>
        <v>1.31947876306287</v>
      </c>
      <c r="J248" s="114"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5"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5"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4" t="n">
        <f aca="false">(1+AS_Infl)^B249</f>
        <v>1.34586833832413</v>
      </c>
      <c r="F249" s="114" t="n">
        <f aca="false">(1+AS_Wage)^B249</f>
        <v>1.55796741660077</v>
      </c>
      <c r="G249" s="1" t="n">
        <f aca="false">IF(C249&lt;F_R,1,0)</f>
        <v>1</v>
      </c>
      <c r="H249" s="114" t="n">
        <f aca="false">IF(AS_Bands="flat",1,E249)</f>
        <v>1.34586833832413</v>
      </c>
      <c r="I249" s="114" t="n">
        <f aca="false">IF(AS_SpGrow="pay",F249,IF(AS_SpGrow="flat",1,E249))</f>
        <v>1.34586833832413</v>
      </c>
      <c r="J249" s="114"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5"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5"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4" t="n">
        <f aca="false">(1+AS_Infl)^B250</f>
        <v>1.37278570509061</v>
      </c>
      <c r="F250" s="114" t="n">
        <f aca="false">(1+AS_Wage)^B250</f>
        <v>1.60470643909879</v>
      </c>
      <c r="G250" s="1" t="n">
        <f aca="false">IF(C250&lt;F_R,1,0)</f>
        <v>1</v>
      </c>
      <c r="H250" s="114" t="n">
        <f aca="false">IF(AS_Bands="flat",1,E250)</f>
        <v>1.37278570509061</v>
      </c>
      <c r="I250" s="114" t="n">
        <f aca="false">IF(AS_SpGrow="pay",F250,IF(AS_SpGrow="flat",1,E250))</f>
        <v>1.37278570509061</v>
      </c>
      <c r="J250" s="114"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5"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5"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4" t="n">
        <f aca="false">(1+AS_Infl)^B251</f>
        <v>1.40024141919242</v>
      </c>
      <c r="F251" s="114" t="n">
        <f aca="false">(1+AS_Wage)^B251</f>
        <v>1.65284763227175</v>
      </c>
      <c r="G251" s="1" t="n">
        <f aca="false">IF(C251&lt;F_R,1,0)</f>
        <v>1</v>
      </c>
      <c r="H251" s="114" t="n">
        <f aca="false">IF(AS_Bands="flat",1,E251)</f>
        <v>1.40024141919242</v>
      </c>
      <c r="I251" s="114" t="n">
        <f aca="false">IF(AS_SpGrow="pay",F251,IF(AS_SpGrow="flat",1,E251))</f>
        <v>1.40024141919242</v>
      </c>
      <c r="J251" s="114"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5"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5"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4" t="n">
        <f aca="false">(1+AS_Infl)^B252</f>
        <v>1.42824624757627</v>
      </c>
      <c r="F252" s="114" t="n">
        <f aca="false">(1+AS_Wage)^B252</f>
        <v>1.7024330612399</v>
      </c>
      <c r="G252" s="1" t="n">
        <f aca="false">IF(C252&lt;F_R,1,0)</f>
        <v>1</v>
      </c>
      <c r="H252" s="114" t="n">
        <f aca="false">IF(AS_Bands="flat",1,E252)</f>
        <v>1.42824624757627</v>
      </c>
      <c r="I252" s="114" t="n">
        <f aca="false">IF(AS_SpGrow="pay",F252,IF(AS_SpGrow="flat",1,E252))</f>
        <v>1.42824624757627</v>
      </c>
      <c r="J252" s="114"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5"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5"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4" t="n">
        <f aca="false">(1+AS_Infl)^B253</f>
        <v>1.4568111725278</v>
      </c>
      <c r="F253" s="114" t="n">
        <f aca="false">(1+AS_Wage)^B253</f>
        <v>1.7535060530771</v>
      </c>
      <c r="G253" s="1" t="n">
        <f aca="false">IF(C253&lt;F_R,1,0)</f>
        <v>1</v>
      </c>
      <c r="H253" s="114" t="n">
        <f aca="false">IF(AS_Bands="flat",1,E253)</f>
        <v>1.4568111725278</v>
      </c>
      <c r="I253" s="114" t="n">
        <f aca="false">IF(AS_SpGrow="pay",F253,IF(AS_SpGrow="flat",1,E253))</f>
        <v>1.4568111725278</v>
      </c>
      <c r="J253" s="114"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5"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5"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4" t="n">
        <f aca="false">(1+AS_Infl)^B254</f>
        <v>1.48594739597836</v>
      </c>
      <c r="F254" s="114" t="n">
        <f aca="false">(1+AS_Wage)^B254</f>
        <v>1.80611123466941</v>
      </c>
      <c r="G254" s="1" t="n">
        <f aca="false">IF(C254&lt;F_R,1,0)</f>
        <v>1</v>
      </c>
      <c r="H254" s="114" t="n">
        <f aca="false">IF(AS_Bands="flat",1,E254)</f>
        <v>1.48594739597836</v>
      </c>
      <c r="I254" s="114" t="n">
        <f aca="false">IF(AS_SpGrow="pay",F254,IF(AS_SpGrow="flat",1,E254))</f>
        <v>1.48594739597836</v>
      </c>
      <c r="J254" s="114"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5"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5"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4" t="n">
        <f aca="false">(1+AS_Infl)^B255</f>
        <v>1.51566634389792</v>
      </c>
      <c r="F255" s="114" t="n">
        <f aca="false">(1+AS_Wage)^B255</f>
        <v>1.8602945717095</v>
      </c>
      <c r="G255" s="1" t="n">
        <f aca="false">IF(C255&lt;F_R,1,0)</f>
        <v>1</v>
      </c>
      <c r="H255" s="114" t="n">
        <f aca="false">IF(AS_Bands="flat",1,E255)</f>
        <v>1.51566634389792</v>
      </c>
      <c r="I255" s="114" t="n">
        <f aca="false">IF(AS_SpGrow="pay",F255,IF(AS_SpGrow="flat",1,E255))</f>
        <v>1.51566634389792</v>
      </c>
      <c r="J255" s="114"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5"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5"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4" t="n">
        <f aca="false">(1+AS_Infl)^B256</f>
        <v>1.54597967077588</v>
      </c>
      <c r="F256" s="114" t="n">
        <f aca="false">(1+AS_Wage)^B256</f>
        <v>1.91610340886078</v>
      </c>
      <c r="G256" s="1" t="n">
        <f aca="false">IF(C256&lt;F_R,1,0)</f>
        <v>1</v>
      </c>
      <c r="H256" s="114" t="n">
        <f aca="false">IF(AS_Bands="flat",1,E256)</f>
        <v>1.54597967077588</v>
      </c>
      <c r="I256" s="114" t="n">
        <f aca="false">IF(AS_SpGrow="pay",F256,IF(AS_SpGrow="flat",1,E256))</f>
        <v>1.54597967077588</v>
      </c>
      <c r="J256" s="114"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5"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5"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4" t="n">
        <f aca="false">(1+AS_Infl)^B257</f>
        <v>1.5768992641914</v>
      </c>
      <c r="F257" s="114" t="n">
        <f aca="false">(1+AS_Wage)^B257</f>
        <v>1.97358651112661</v>
      </c>
      <c r="G257" s="1" t="n">
        <f aca="false">IF(C257&lt;F_R,1,0)</f>
        <v>1</v>
      </c>
      <c r="H257" s="114" t="n">
        <f aca="false">IF(AS_Bands="flat",1,E257)</f>
        <v>1.5768992641914</v>
      </c>
      <c r="I257" s="114" t="n">
        <f aca="false">IF(AS_SpGrow="pay",F257,IF(AS_SpGrow="flat",1,E257))</f>
        <v>1.5768992641914</v>
      </c>
      <c r="J257" s="114"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5"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5"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4" t="n">
        <f aca="false">(1+AS_Infl)^B258</f>
        <v>1.60843724947523</v>
      </c>
      <c r="F258" s="114" t="n">
        <f aca="false">(1+AS_Wage)^B258</f>
        <v>2.0327941064604</v>
      </c>
      <c r="G258" s="1" t="n">
        <f aca="false">IF(C258&lt;F_R,1,0)</f>
        <v>1</v>
      </c>
      <c r="H258" s="114" t="n">
        <f aca="false">IF(AS_Bands="flat",1,E258)</f>
        <v>1.60843724947523</v>
      </c>
      <c r="I258" s="114" t="n">
        <f aca="false">IF(AS_SpGrow="pay",F258,IF(AS_SpGrow="flat",1,E258))</f>
        <v>1.60843724947523</v>
      </c>
      <c r="J258" s="114"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5"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5"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4" t="n">
        <f aca="false">(1+AS_Infl)^B259</f>
        <v>1.64060599446473</v>
      </c>
      <c r="F259" s="114" t="n">
        <f aca="false">(1+AS_Wage)^B259</f>
        <v>2.09377792965422</v>
      </c>
      <c r="G259" s="1" t="n">
        <f aca="false">IF(C259&lt;F_R,1,0)</f>
        <v>1</v>
      </c>
      <c r="H259" s="114" t="n">
        <f aca="false">IF(AS_Bands="flat",1,E259)</f>
        <v>1.64060599446473</v>
      </c>
      <c r="I259" s="114" t="n">
        <f aca="false">IF(AS_SpGrow="pay",F259,IF(AS_SpGrow="flat",1,E259))</f>
        <v>1.64060599446473</v>
      </c>
      <c r="J259" s="114"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5"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5"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4" t="n">
        <f aca="false">(1+AS_Infl)^B260</f>
        <v>1.67341811435403</v>
      </c>
      <c r="F260" s="114" t="n">
        <f aca="false">(1+AS_Wage)^B260</f>
        <v>2.15659126754384</v>
      </c>
      <c r="G260" s="1" t="n">
        <f aca="false">IF(C260&lt;F_R,1,0)</f>
        <v>1</v>
      </c>
      <c r="H260" s="114" t="n">
        <f aca="false">IF(AS_Bands="flat",1,E260)</f>
        <v>1.67341811435403</v>
      </c>
      <c r="I260" s="114" t="n">
        <f aca="false">IF(AS_SpGrow="pay",F260,IF(AS_SpGrow="flat",1,E260))</f>
        <v>1.67341811435403</v>
      </c>
      <c r="J260" s="114"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5"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5"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4" t="n">
        <f aca="false">(1+AS_Infl)^B261</f>
        <v>1.70688647664111</v>
      </c>
      <c r="F261" s="114" t="n">
        <f aca="false">(1+AS_Wage)^B261</f>
        <v>2.22128900557016</v>
      </c>
      <c r="G261" s="1" t="n">
        <f aca="false">IF(C261&lt;F_R,1,0)</f>
        <v>1</v>
      </c>
      <c r="H261" s="114" t="n">
        <f aca="false">IF(AS_Bands="flat",1,E261)</f>
        <v>1.70688647664111</v>
      </c>
      <c r="I261" s="114" t="n">
        <f aca="false">IF(AS_SpGrow="pay",F261,IF(AS_SpGrow="flat",1,E261))</f>
        <v>1.70688647664111</v>
      </c>
      <c r="J261" s="114"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5"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5"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4" t="n">
        <f aca="false">(1+AS_Infl)^B262</f>
        <v>1.74102420617393</v>
      </c>
      <c r="F262" s="114" t="n">
        <f aca="false">(1+AS_Wage)^B262</f>
        <v>2.28792767573726</v>
      </c>
      <c r="G262" s="1" t="n">
        <f aca="false">IF(C262&lt;F_R,1,0)</f>
        <v>1</v>
      </c>
      <c r="H262" s="114" t="n">
        <f aca="false">IF(AS_Bands="flat",1,E262)</f>
        <v>1.74102420617393</v>
      </c>
      <c r="I262" s="114" t="n">
        <f aca="false">IF(AS_SpGrow="pay",F262,IF(AS_SpGrow="flat",1,E262))</f>
        <v>1.74102420617393</v>
      </c>
      <c r="J262" s="114"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5"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5"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4" t="n">
        <f aca="false">(1+AS_Infl)^B263</f>
        <v>1.77584469029741</v>
      </c>
      <c r="F263" s="114" t="n">
        <f aca="false">(1+AS_Wage)^B263</f>
        <v>2.35656550600938</v>
      </c>
      <c r="G263" s="1" t="n">
        <f aca="false">IF(C263&lt;F_R,1,0)</f>
        <v>1</v>
      </c>
      <c r="H263" s="114" t="n">
        <f aca="false">IF(AS_Bands="flat",1,E263)</f>
        <v>1.77584469029741</v>
      </c>
      <c r="I263" s="114" t="n">
        <f aca="false">IF(AS_SpGrow="pay",F263,IF(AS_SpGrow="flat",1,E263))</f>
        <v>1.77584469029741</v>
      </c>
      <c r="J263" s="114"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5"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5"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4" t="n">
        <f aca="false">(1+AS_Infl)^B264</f>
        <v>1.81136158410335</v>
      </c>
      <c r="F264" s="114" t="n">
        <f aca="false">(1+AS_Wage)^B264</f>
        <v>2.42726247118966</v>
      </c>
      <c r="G264" s="1" t="n">
        <f aca="false">IF(C264&lt;F_R,1,0)</f>
        <v>1</v>
      </c>
      <c r="H264" s="114" t="n">
        <f aca="false">IF(AS_Bands="flat",1,E264)</f>
        <v>1.81136158410335</v>
      </c>
      <c r="I264" s="114" t="n">
        <f aca="false">IF(AS_SpGrow="pay",F264,IF(AS_SpGrow="flat",1,E264))</f>
        <v>1.81136158410335</v>
      </c>
      <c r="J264" s="114"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5"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5"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4" t="n">
        <f aca="false">(1+AS_Infl)^B265</f>
        <v>1.84758881578542</v>
      </c>
      <c r="F265" s="114" t="n">
        <f aca="false">(1+AS_Wage)^B265</f>
        <v>2.50008034532535</v>
      </c>
      <c r="G265" s="1" t="n">
        <f aca="false">IF(C265&lt;F_R,1,0)</f>
        <v>1</v>
      </c>
      <c r="H265" s="114" t="n">
        <f aca="false">IF(AS_Bands="flat",1,E265)</f>
        <v>1.84758881578542</v>
      </c>
      <c r="I265" s="114" t="n">
        <f aca="false">IF(AS_SpGrow="pay",F265,IF(AS_SpGrow="flat",1,E265))</f>
        <v>1.84758881578542</v>
      </c>
      <c r="J265" s="114"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5"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5"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4" t="n">
        <f aca="false">(1+AS_Infl)^B266</f>
        <v>1.88454059210113</v>
      </c>
      <c r="F266" s="114" t="n">
        <f aca="false">(1+AS_Wage)^B266</f>
        <v>2.57508275568511</v>
      </c>
      <c r="G266" s="1" t="n">
        <f aca="false">IF(C266&lt;F_R,1,0)</f>
        <v>1</v>
      </c>
      <c r="H266" s="114" t="n">
        <f aca="false">IF(AS_Bands="flat",1,E266)</f>
        <v>1.88454059210113</v>
      </c>
      <c r="I266" s="114" t="n">
        <f aca="false">IF(AS_SpGrow="pay",F266,IF(AS_SpGrow="flat",1,E266))</f>
        <v>1.88454059210113</v>
      </c>
      <c r="J266" s="114"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5"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5"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4" t="n">
        <f aca="false">(1+AS_Infl)^B267</f>
        <v>1.92223140394315</v>
      </c>
      <c r="F267" s="114" t="n">
        <f aca="false">(1+AS_Wage)^B267</f>
        <v>2.65233523835567</v>
      </c>
      <c r="G267" s="1" t="n">
        <f aca="false">IF(C267&lt;F_R,1,0)</f>
        <v>1</v>
      </c>
      <c r="H267" s="114" t="n">
        <f aca="false">IF(AS_Bands="flat",1,E267)</f>
        <v>1.92223140394315</v>
      </c>
      <c r="I267" s="114" t="n">
        <f aca="false">IF(AS_SpGrow="pay",F267,IF(AS_SpGrow="flat",1,E267))</f>
        <v>1.92223140394315</v>
      </c>
      <c r="J267" s="114"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5"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5"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4" t="n">
        <f aca="false">(1+AS_Infl)^B268</f>
        <v>1.96067603202202</v>
      </c>
      <c r="F268" s="114" t="n">
        <f aca="false">(1+AS_Wage)^B268</f>
        <v>2.73190529550634</v>
      </c>
      <c r="G268" s="1" t="n">
        <f aca="false">IF(C268&lt;F_R,1,0)</f>
        <v>1</v>
      </c>
      <c r="H268" s="114" t="n">
        <f aca="false">IF(AS_Bands="flat",1,E268)</f>
        <v>1.96067603202202</v>
      </c>
      <c r="I268" s="114" t="n">
        <f aca="false">IF(AS_SpGrow="pay",F268,IF(AS_SpGrow="flat",1,E268))</f>
        <v>1.96067603202202</v>
      </c>
      <c r="J268" s="114"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5"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5"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4" t="n">
        <f aca="false">(1+AS_Infl)^B269</f>
        <v>1.99988955266246</v>
      </c>
      <c r="F269" s="114" t="n">
        <f aca="false">(1+AS_Wage)^B269</f>
        <v>2.81386245437153</v>
      </c>
      <c r="G269" s="1" t="n">
        <f aca="false">IF(C269&lt;F_R,1,0)</f>
        <v>1</v>
      </c>
      <c r="H269" s="114" t="n">
        <f aca="false">IF(AS_Bands="flat",1,E269)</f>
        <v>1.99988955266246</v>
      </c>
      <c r="I269" s="114" t="n">
        <f aca="false">IF(AS_SpGrow="pay",F269,IF(AS_SpGrow="flat",1,E269))</f>
        <v>1.99988955266246</v>
      </c>
      <c r="J269" s="114"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5"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5"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4" t="n">
        <f aca="false">(1+AS_Infl)^B270</f>
        <v>2.03988734371571</v>
      </c>
      <c r="F270" s="114" t="n">
        <f aca="false">(1+AS_Wage)^B270</f>
        <v>2.89827832800267</v>
      </c>
      <c r="G270" s="1" t="n">
        <f aca="false">IF(C270&lt;F_R,1,0)</f>
        <v>1</v>
      </c>
      <c r="H270" s="114" t="n">
        <f aca="false">IF(AS_Bands="flat",1,E270)</f>
        <v>2.03988734371571</v>
      </c>
      <c r="I270" s="114" t="n">
        <f aca="false">IF(AS_SpGrow="pay",F270,IF(AS_SpGrow="flat",1,E270))</f>
        <v>2.03988734371571</v>
      </c>
      <c r="J270" s="114"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5"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5"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4" t="n">
        <f aca="false">(1+AS_Infl)^B271</f>
        <v>2.08068509059002</v>
      </c>
      <c r="F271" s="114" t="n">
        <f aca="false">(1+AS_Wage)^B271</f>
        <v>2.98522667784275</v>
      </c>
      <c r="G271" s="1" t="n">
        <f aca="false">IF(C271&lt;F_R,1,0)</f>
        <v>1</v>
      </c>
      <c r="H271" s="114" t="n">
        <f aca="false">IF(AS_Bands="flat",1,E271)</f>
        <v>2.08068509059002</v>
      </c>
      <c r="I271" s="114" t="n">
        <f aca="false">IF(AS_SpGrow="pay",F271,IF(AS_SpGrow="flat",1,E271))</f>
        <v>2.08068509059002</v>
      </c>
      <c r="J271" s="114"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5"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5"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4" t="n">
        <f aca="false">(1+AS_Infl)^B272</f>
        <v>2.12229879240182</v>
      </c>
      <c r="F272" s="114" t="n">
        <f aca="false">(1+AS_Wage)^B272</f>
        <v>3.07478347817804</v>
      </c>
      <c r="G272" s="1" t="n">
        <f aca="false">IF(C272&lt;F_R,1,0)</f>
        <v>1</v>
      </c>
      <c r="H272" s="114" t="n">
        <f aca="false">IF(AS_Bands="flat",1,E272)</f>
        <v>2.12229879240182</v>
      </c>
      <c r="I272" s="114" t="n">
        <f aca="false">IF(AS_SpGrow="pay",F272,IF(AS_SpGrow="flat",1,E272))</f>
        <v>2.12229879240182</v>
      </c>
      <c r="J272" s="114"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5"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5"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4" t="n">
        <f aca="false">(1+AS_Infl)^B273</f>
        <v>2.16474476824986</v>
      </c>
      <c r="F273" s="114" t="n">
        <f aca="false">(1+AS_Wage)^B273</f>
        <v>3.16702698252338</v>
      </c>
      <c r="G273" s="1" t="n">
        <f aca="false">IF(C273&lt;F_R,1,0)</f>
        <v>1</v>
      </c>
      <c r="H273" s="114" t="n">
        <f aca="false">IF(AS_Bands="flat",1,E273)</f>
        <v>2.16474476824986</v>
      </c>
      <c r="I273" s="114" t="n">
        <f aca="false">IF(AS_SpGrow="pay",F273,IF(AS_SpGrow="flat",1,E273))</f>
        <v>2.16474476824986</v>
      </c>
      <c r="J273" s="114"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5"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5"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4" t="n">
        <f aca="false">(1+AS_Infl)^B274</f>
        <v>2.20803966361485</v>
      </c>
      <c r="F274" s="114" t="n">
        <f aca="false">(1+AS_Wage)^B274</f>
        <v>3.26203779199908</v>
      </c>
      <c r="G274" s="1" t="n">
        <f aca="false">IF(C274&lt;F_R,1,0)</f>
        <v>1</v>
      </c>
      <c r="H274" s="114" t="n">
        <f aca="false">IF(AS_Bands="flat",1,E274)</f>
        <v>2.20803966361485</v>
      </c>
      <c r="I274" s="114" t="n">
        <f aca="false">IF(AS_SpGrow="pay",F274,IF(AS_SpGrow="flat",1,E274))</f>
        <v>2.20803966361485</v>
      </c>
      <c r="J274" s="114"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5"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5"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4" t="n">
        <f aca="false">(1+AS_Infl)^B275</f>
        <v>2.25220045688715</v>
      </c>
      <c r="F275" s="114" t="n">
        <f aca="false">(1+AS_Wage)^B275</f>
        <v>3.35989892575905</v>
      </c>
      <c r="G275" s="1" t="n">
        <f aca="false">IF(C275&lt;F_R,1,0)</f>
        <v>1</v>
      </c>
      <c r="H275" s="114" t="n">
        <f aca="false">IF(AS_Bands="flat",1,E275)</f>
        <v>2.25220045688715</v>
      </c>
      <c r="I275" s="114" t="n">
        <f aca="false">IF(AS_SpGrow="pay",F275,IF(AS_SpGrow="flat",1,E275))</f>
        <v>2.25220045688715</v>
      </c>
      <c r="J275" s="114"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5"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5"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4" t="n">
        <f aca="false">(1+AS_Infl)^B276</f>
        <v>2.29724446602489</v>
      </c>
      <c r="F276" s="114" t="n">
        <f aca="false">(1+AS_Wage)^B276</f>
        <v>3.46069589353182</v>
      </c>
      <c r="G276" s="1" t="n">
        <f aca="false">IF(C276&lt;F_R,1,0)</f>
        <v>1</v>
      </c>
      <c r="H276" s="114" t="n">
        <f aca="false">IF(AS_Bands="flat",1,E276)</f>
        <v>2.29724446602489</v>
      </c>
      <c r="I276" s="114" t="n">
        <f aca="false">IF(AS_SpGrow="pay",F276,IF(AS_SpGrow="flat",1,E276))</f>
        <v>2.29724446602489</v>
      </c>
      <c r="J276" s="114"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5"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5"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4" t="n">
        <f aca="false">(1+AS_Infl)^B277</f>
        <v>2.34318935534539</v>
      </c>
      <c r="F277" s="114" t="n">
        <f aca="false">(1+AS_Wage)^B277</f>
        <v>3.56451677033778</v>
      </c>
      <c r="G277" s="1" t="n">
        <f aca="false">IF(C277&lt;F_R,1,0)</f>
        <v>1</v>
      </c>
      <c r="H277" s="114" t="n">
        <f aca="false">IF(AS_Bands="flat",1,E277)</f>
        <v>2.34318935534539</v>
      </c>
      <c r="I277" s="114" t="n">
        <f aca="false">IF(AS_SpGrow="pay",F277,IF(AS_SpGrow="flat",1,E277))</f>
        <v>2.34318935534539</v>
      </c>
      <c r="J277" s="114"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5"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5"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4" t="n">
        <f aca="false">(1+AS_Infl)^B278</f>
        <v>2.3900531424523</v>
      </c>
      <c r="F278" s="114" t="n">
        <f aca="false">(1+AS_Wage)^B278</f>
        <v>3.67145227344791</v>
      </c>
      <c r="G278" s="1" t="n">
        <f aca="false">IF(C278&lt;F_R,1,0)</f>
        <v>1</v>
      </c>
      <c r="H278" s="114" t="n">
        <f aca="false">IF(AS_Bands="flat",1,E278)</f>
        <v>2.3900531424523</v>
      </c>
      <c r="I278" s="114" t="n">
        <f aca="false">IF(AS_SpGrow="pay",F278,IF(AS_SpGrow="flat",1,E278))</f>
        <v>2.3900531424523</v>
      </c>
      <c r="J278" s="114"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5"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5"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4" t="n">
        <f aca="false">(1+AS_Infl)^B279</f>
        <v>2.43785420530135</v>
      </c>
      <c r="F279" s="114" t="n">
        <f aca="false">(1+AS_Wage)^B279</f>
        <v>3.78159584165135</v>
      </c>
      <c r="G279" s="1" t="n">
        <f aca="false">IF(C279&lt;F_R,1,0)</f>
        <v>1</v>
      </c>
      <c r="H279" s="114" t="n">
        <f aca="false">IF(AS_Bands="flat",1,E279)</f>
        <v>2.43785420530135</v>
      </c>
      <c r="I279" s="114" t="n">
        <f aca="false">IF(AS_SpGrow="pay",F279,IF(AS_SpGrow="flat",1,E279))</f>
        <v>2.43785420530135</v>
      </c>
      <c r="J279" s="114"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5"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5"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4" t="n">
        <f aca="false">(1+AS_Infl)^B280</f>
        <v>2.48661128940737</v>
      </c>
      <c r="F280" s="114" t="n">
        <f aca="false">(1+AS_Wage)^B280</f>
        <v>3.89504371690089</v>
      </c>
      <c r="G280" s="1" t="n">
        <f aca="false">IF(C280&lt;F_R,1,0)</f>
        <v>1</v>
      </c>
      <c r="H280" s="114" t="n">
        <f aca="false">IF(AS_Bands="flat",1,E280)</f>
        <v>2.48661128940737</v>
      </c>
      <c r="I280" s="114" t="n">
        <f aca="false">IF(AS_SpGrow="pay",F280,IF(AS_SpGrow="flat",1,E280))</f>
        <v>2.48661128940737</v>
      </c>
      <c r="J280" s="114"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5"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5"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4" t="n">
        <f aca="false">(1+AS_Infl)^B281</f>
        <v>2.53634351519552</v>
      </c>
      <c r="F281" s="114" t="n">
        <f aca="false">(1+AS_Wage)^B281</f>
        <v>4.01189502840791</v>
      </c>
      <c r="G281" s="1" t="n">
        <f aca="false">IF(C281&lt;F_R,1,0)</f>
        <v>1</v>
      </c>
      <c r="H281" s="114" t="n">
        <f aca="false">IF(AS_Bands="flat",1,E281)</f>
        <v>2.53634351519552</v>
      </c>
      <c r="I281" s="114" t="n">
        <f aca="false">IF(AS_SpGrow="pay",F281,IF(AS_SpGrow="flat",1,E281))</f>
        <v>2.53634351519552</v>
      </c>
      <c r="J281" s="114"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5"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5"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4" t="n">
        <f aca="false">(1+AS_Infl)^B282</f>
        <v>2.58707038549943</v>
      </c>
      <c r="F282" s="114" t="n">
        <f aca="false">(1+AS_Wage)^B282</f>
        <v>4.13225187926015</v>
      </c>
      <c r="G282" s="1" t="n">
        <f aca="false">IF(C282&lt;F_R,1,0)</f>
        <v>1</v>
      </c>
      <c r="H282" s="114" t="n">
        <f aca="false">IF(AS_Bands="flat",1,E282)</f>
        <v>2.58707038549943</v>
      </c>
      <c r="I282" s="114" t="n">
        <f aca="false">IF(AS_SpGrow="pay",F282,IF(AS_SpGrow="flat",1,E282))</f>
        <v>2.58707038549943</v>
      </c>
      <c r="J282" s="114"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5"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5"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4" t="n">
        <f aca="false">(1+AS_Infl)^B283</f>
        <v>2.63881179320942</v>
      </c>
      <c r="F283" s="114" t="n">
        <f aca="false">(1+AS_Wage)^B283</f>
        <v>4.25621943563796</v>
      </c>
      <c r="G283" s="1" t="n">
        <f aca="false">IF(C283&lt;F_R,1,0)</f>
        <v>1</v>
      </c>
      <c r="H283" s="114" t="n">
        <f aca="false">IF(AS_Bands="flat",1,E283)</f>
        <v>2.63881179320942</v>
      </c>
      <c r="I283" s="114" t="n">
        <f aca="false">IF(AS_SpGrow="pay",F283,IF(AS_SpGrow="flat",1,E283))</f>
        <v>2.63881179320942</v>
      </c>
      <c r="J283" s="114"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5"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5"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4" t="n">
        <f aca="false">(1+AS_Infl)^B284</f>
        <v>2.69158802907361</v>
      </c>
      <c r="F284" s="114" t="n">
        <f aca="false">(1+AS_Wage)^B284</f>
        <v>4.3839060187071</v>
      </c>
      <c r="G284" s="1" t="n">
        <f aca="false">IF(C284&lt;F_R,1,0)</f>
        <v>1</v>
      </c>
      <c r="H284" s="114" t="n">
        <f aca="false">IF(AS_Bands="flat",1,E284)</f>
        <v>2.69158802907361</v>
      </c>
      <c r="I284" s="114" t="n">
        <f aca="false">IF(AS_SpGrow="pay",F284,IF(AS_SpGrow="flat",1,E284))</f>
        <v>2.69158802907361</v>
      </c>
      <c r="J284" s="114"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5"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5"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4" t="n">
        <f aca="false">(1+AS_Infl)^B285</f>
        <v>2.74541978965508</v>
      </c>
      <c r="F285" s="114" t="n">
        <f aca="false">(1+AS_Wage)^B285</f>
        <v>4.51542319926831</v>
      </c>
      <c r="G285" s="1" t="n">
        <f aca="false">IF(C285&lt;F_R,1,0)</f>
        <v>1</v>
      </c>
      <c r="H285" s="114" t="n">
        <f aca="false">IF(AS_Bands="flat",1,E285)</f>
        <v>2.74541978965508</v>
      </c>
      <c r="I285" s="114" t="n">
        <f aca="false">IF(AS_SpGrow="pay",F285,IF(AS_SpGrow="flat",1,E285))</f>
        <v>2.74541978965508</v>
      </c>
      <c r="J285" s="114"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5"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5"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4" t="n">
        <f aca="false">(1+AS_Infl)^B286</f>
        <v>2.80032818544818</v>
      </c>
      <c r="F286" s="114" t="n">
        <f aca="false">(1+AS_Wage)^B286</f>
        <v>4.65088589524636</v>
      </c>
      <c r="G286" s="1" t="n">
        <f aca="false">IF(C286&lt;F_R,1,0)</f>
        <v>1</v>
      </c>
      <c r="H286" s="114" t="n">
        <f aca="false">IF(AS_Bands="flat",1,E286)</f>
        <v>2.80032818544818</v>
      </c>
      <c r="I286" s="114" t="n">
        <f aca="false">IF(AS_SpGrow="pay",F286,IF(AS_SpGrow="flat",1,E286))</f>
        <v>2.80032818544818</v>
      </c>
      <c r="J286" s="114"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5"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5"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4" t="n">
        <f aca="false">(1+AS_Infl)^B287</f>
        <v>2.85633474915715</v>
      </c>
      <c r="F287" s="114" t="n">
        <f aca="false">(1+AS_Wage)^B287</f>
        <v>4.79041247210375</v>
      </c>
      <c r="G287" s="1" t="n">
        <f aca="false">IF(C287&lt;F_R,1,0)</f>
        <v>1</v>
      </c>
      <c r="H287" s="114" t="n">
        <f aca="false">IF(AS_Bands="flat",1,E287)</f>
        <v>2.85633474915715</v>
      </c>
      <c r="I287" s="114" t="n">
        <f aca="false">IF(AS_SpGrow="pay",F287,IF(AS_SpGrow="flat",1,E287))</f>
        <v>2.85633474915715</v>
      </c>
      <c r="J287" s="114"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5"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5"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4" t="n">
        <f aca="false">(1+AS_Infl)^B288</f>
        <v>2.91346144414029</v>
      </c>
      <c r="F288" s="114" t="n">
        <f aca="false">(1+AS_Wage)^B288</f>
        <v>4.93412484626686</v>
      </c>
      <c r="G288" s="1" t="n">
        <f aca="false">IF(C288&lt;F_R,1,0)</f>
        <v>1</v>
      </c>
      <c r="H288" s="114" t="n">
        <f aca="false">IF(AS_Bands="flat",1,E288)</f>
        <v>2.91346144414029</v>
      </c>
      <c r="I288" s="114" t="n">
        <f aca="false">IF(AS_SpGrow="pay",F288,IF(AS_SpGrow="flat",1,E288))</f>
        <v>2.91346144414029</v>
      </c>
      <c r="J288" s="114"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5"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5"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4" t="n">
        <f aca="false">(1+AS_Infl)^B289</f>
        <v>2.97173067302309</v>
      </c>
      <c r="F289" s="114" t="n">
        <f aca="false">(1+AS_Wage)^B289</f>
        <v>5.08214859165487</v>
      </c>
      <c r="G289" s="1" t="n">
        <f aca="false">IF(C289&lt;F_R,1,0)</f>
        <v>1</v>
      </c>
      <c r="H289" s="114" t="n">
        <f aca="false">IF(AS_Bands="flat",1,E289)</f>
        <v>2.97173067302309</v>
      </c>
      <c r="I289" s="114" t="n">
        <f aca="false">IF(AS_SpGrow="pay",F289,IF(AS_SpGrow="flat",1,E289))</f>
        <v>2.97173067302309</v>
      </c>
      <c r="J289" s="114"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5"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5"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4" t="n">
        <f aca="false">(1+AS_Infl)^B290</f>
        <v>3.03116528648356</v>
      </c>
      <c r="F290" s="114" t="n">
        <f aca="false">(1+AS_Wage)^B290</f>
        <v>5.23461304940451</v>
      </c>
      <c r="G290" s="1" t="n">
        <f aca="false">IF(C290&lt;F_R,1,0)</f>
        <v>1</v>
      </c>
      <c r="H290" s="114" t="n">
        <f aca="false">IF(AS_Bands="flat",1,E290)</f>
        <v>3.03116528648356</v>
      </c>
      <c r="I290" s="114" t="n">
        <f aca="false">IF(AS_SpGrow="pay",F290,IF(AS_SpGrow="flat",1,E290))</f>
        <v>3.03116528648356</v>
      </c>
      <c r="J290" s="114"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5"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5"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4" t="n">
        <f aca="false">(1+AS_Infl)^B291</f>
        <v>3.09178859221323</v>
      </c>
      <c r="F291" s="114" t="n">
        <f aca="false">(1+AS_Wage)^B291</f>
        <v>5.39165144088665</v>
      </c>
      <c r="G291" s="1" t="n">
        <f aca="false">IF(C291&lt;F_R,1,0)</f>
        <v>1</v>
      </c>
      <c r="H291" s="114" t="n">
        <f aca="false">IF(AS_Bands="flat",1,E291)</f>
        <v>3.09178859221323</v>
      </c>
      <c r="I291" s="114" t="n">
        <f aca="false">IF(AS_SpGrow="pay",F291,IF(AS_SpGrow="flat",1,E291))</f>
        <v>3.09178859221323</v>
      </c>
      <c r="J291" s="114"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5"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5"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4" t="n">
        <f aca="false">(1+AS_Infl)^B292</f>
        <v>3.15362436405749</v>
      </c>
      <c r="F292" s="114" t="n">
        <f aca="false">(1+AS_Wage)^B292</f>
        <v>5.55340098411325</v>
      </c>
      <c r="G292" s="1" t="n">
        <f aca="false">IF(C292&lt;F_R,1,0)</f>
        <v>1</v>
      </c>
      <c r="H292" s="114" t="n">
        <f aca="false">IF(AS_Bands="flat",1,E292)</f>
        <v>3.15362436405749</v>
      </c>
      <c r="I292" s="114" t="n">
        <f aca="false">IF(AS_SpGrow="pay",F292,IF(AS_SpGrow="flat",1,E292))</f>
        <v>3.15362436405749</v>
      </c>
      <c r="J292" s="114"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5"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5"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4" t="n">
        <f aca="false">(1+AS_Infl)^B293</f>
        <v>3.21669685133864</v>
      </c>
      <c r="F293" s="114" t="n">
        <f aca="false">(1+AS_Wage)^B293</f>
        <v>5.72000301363665</v>
      </c>
      <c r="G293" s="1" t="n">
        <f aca="false">IF(C293&lt;F_R,1,0)</f>
        <v>1</v>
      </c>
      <c r="H293" s="114" t="n">
        <f aca="false">IF(AS_Bands="flat",1,E293)</f>
        <v>3.21669685133864</v>
      </c>
      <c r="I293" s="114" t="n">
        <f aca="false">IF(AS_SpGrow="pay",F293,IF(AS_SpGrow="flat",1,E293))</f>
        <v>3.21669685133864</v>
      </c>
      <c r="J293" s="114"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5"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5"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4" t="n">
        <f aca="false">(1+AS_Infl)^B294</f>
        <v>3.28103078836541</v>
      </c>
      <c r="F294" s="114" t="n">
        <f aca="false">(1+AS_Wage)^B294</f>
        <v>5.89160310404575</v>
      </c>
      <c r="G294" s="1" t="n">
        <f aca="false">IF(C294&lt;F_R,1,0)</f>
        <v>1</v>
      </c>
      <c r="H294" s="114" t="n">
        <f aca="false">IF(AS_Bands="flat",1,E294)</f>
        <v>3.28103078836541</v>
      </c>
      <c r="I294" s="114" t="n">
        <f aca="false">IF(AS_SpGrow="pay",F294,IF(AS_SpGrow="flat",1,E294))</f>
        <v>3.28103078836541</v>
      </c>
      <c r="J294" s="114"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5"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5"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4" t="n">
        <f aca="false">(1+AS_Infl)^B295</f>
        <v>3.34665140413272</v>
      </c>
      <c r="F295" s="114" t="n">
        <f aca="false">(1+AS_Wage)^B295</f>
        <v>6.06835119716712</v>
      </c>
      <c r="G295" s="1" t="n">
        <f aca="false">IF(C295&lt;F_R,1,0)</f>
        <v>1</v>
      </c>
      <c r="H295" s="114" t="n">
        <f aca="false">IF(AS_Bands="flat",1,E295)</f>
        <v>3.34665140413272</v>
      </c>
      <c r="I295" s="114" t="n">
        <f aca="false">IF(AS_SpGrow="pay",F295,IF(AS_SpGrow="flat",1,E295))</f>
        <v>3.34665140413272</v>
      </c>
      <c r="J295" s="114"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5"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5"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4" t="n">
        <f aca="false">(1+AS_Infl)^B296</f>
        <v>3.41358443221538</v>
      </c>
      <c r="F296" s="114" t="n">
        <f aca="false">(1+AS_Wage)^B296</f>
        <v>6.25040173308213</v>
      </c>
      <c r="G296" s="1" t="n">
        <f aca="false">IF(C296&lt;F_R,1,0)</f>
        <v>1</v>
      </c>
      <c r="H296" s="114" t="n">
        <f aca="false">IF(AS_Bands="flat",1,E296)</f>
        <v>3.41358443221538</v>
      </c>
      <c r="I296" s="114" t="n">
        <f aca="false">IF(AS_SpGrow="pay",F296,IF(AS_SpGrow="flat",1,E296))</f>
        <v>3.41358443221538</v>
      </c>
      <c r="J296" s="114"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5"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5"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4" t="n">
        <f aca="false">(1+AS_Infl)^B297</f>
        <v>3.48185612085969</v>
      </c>
      <c r="F297" s="114" t="n">
        <f aca="false">(1+AS_Wage)^B297</f>
        <v>6.4379137850746</v>
      </c>
      <c r="G297" s="1" t="n">
        <f aca="false">IF(C297&lt;F_R,1,0)</f>
        <v>1</v>
      </c>
      <c r="H297" s="114" t="n">
        <f aca="false">IF(AS_Bands="flat",1,E297)</f>
        <v>3.48185612085969</v>
      </c>
      <c r="I297" s="114" t="n">
        <f aca="false">IF(AS_SpGrow="pay",F297,IF(AS_SpGrow="flat",1,E297))</f>
        <v>3.48185612085969</v>
      </c>
      <c r="J297" s="114"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5"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5"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4" t="n">
        <f aca="false">(1+AS_Infl)^B298</f>
        <v>3.55149324327688</v>
      </c>
      <c r="F298" s="114" t="n">
        <f aca="false">(1+AS_Wage)^B298</f>
        <v>6.63105119862683</v>
      </c>
      <c r="G298" s="1" t="n">
        <f aca="false">IF(C298&lt;F_R,1,0)</f>
        <v>1</v>
      </c>
      <c r="H298" s="114" t="n">
        <f aca="false">IF(AS_Bands="flat",1,E298)</f>
        <v>3.55149324327688</v>
      </c>
      <c r="I298" s="114" t="n">
        <f aca="false">IF(AS_SpGrow="pay",F298,IF(AS_SpGrow="flat",1,E298))</f>
        <v>3.55149324327688</v>
      </c>
      <c r="J298" s="114"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5"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5"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4" t="n">
        <f aca="false">(1+AS_Infl)^B299</f>
        <v>3.62252310814242</v>
      </c>
      <c r="F299" s="114" t="n">
        <f aca="false">(1+AS_Wage)^B299</f>
        <v>6.82998273458564</v>
      </c>
      <c r="G299" s="1" t="n">
        <f aca="false">IF(C299&lt;F_R,1,0)</f>
        <v>1</v>
      </c>
      <c r="H299" s="114" t="n">
        <f aca="false">IF(AS_Bands="flat",1,E299)</f>
        <v>3.62252310814242</v>
      </c>
      <c r="I299" s="114" t="n">
        <f aca="false">IF(AS_SpGrow="pay",F299,IF(AS_SpGrow="flat",1,E299))</f>
        <v>3.62252310814242</v>
      </c>
      <c r="J299" s="114"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5"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5"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4" t="n">
        <f aca="false">(1+AS_Infl)^B300</f>
        <v>3.69497357030527</v>
      </c>
      <c r="F300" s="114" t="n">
        <f aca="false">(1+AS_Wage)^B300</f>
        <v>7.03488221662321</v>
      </c>
      <c r="G300" s="1" t="n">
        <f aca="false">IF(C300&lt;F_R,1,0)</f>
        <v>0</v>
      </c>
      <c r="H300" s="114" t="n">
        <f aca="false">IF(AS_Bands="flat",1,E300)</f>
        <v>3.69497357030527</v>
      </c>
      <c r="I300" s="114" t="n">
        <f aca="false">IF(AS_SpGrow="pay",F300,IF(AS_SpGrow="flat",1,E300))</f>
        <v>3.69497357030527</v>
      </c>
      <c r="J300" s="114"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5"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5"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4" t="n">
        <f aca="false">(1+AS_Infl)^B301</f>
        <v>3.76887304171137</v>
      </c>
      <c r="F301" s="114" t="n">
        <f aca="false">(1+AS_Wage)^B301</f>
        <v>7.24592868312191</v>
      </c>
      <c r="G301" s="1" t="n">
        <f aca="false">IF(C301&lt;F_R,1,0)</f>
        <v>0</v>
      </c>
      <c r="H301" s="114" t="n">
        <f aca="false">IF(AS_Bands="flat",1,E301)</f>
        <v>3.76887304171137</v>
      </c>
      <c r="I301" s="114" t="n">
        <f aca="false">IF(AS_SpGrow="pay",F301,IF(AS_SpGrow="flat",1,E301))</f>
        <v>3.76887304171137</v>
      </c>
      <c r="J301" s="114"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5"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5"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4" t="n">
        <f aca="false">(1+AS_Infl)^B302</f>
        <v>3.8442505025456</v>
      </c>
      <c r="F302" s="114" t="n">
        <f aca="false">(1+AS_Wage)^B302</f>
        <v>7.46330654361556</v>
      </c>
      <c r="G302" s="1" t="n">
        <f aca="false">IF(C302&lt;F_R,1,0)</f>
        <v>0</v>
      </c>
      <c r="H302" s="114" t="n">
        <f aca="false">IF(AS_Bands="flat",1,E302)</f>
        <v>3.8442505025456</v>
      </c>
      <c r="I302" s="114" t="n">
        <f aca="false">IF(AS_SpGrow="pay",F302,IF(AS_SpGrow="flat",1,E302))</f>
        <v>3.8442505025456</v>
      </c>
      <c r="J302" s="114"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5"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5"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4" t="n">
        <f aca="false">(1+AS_Infl)^B303</f>
        <v>3.92113551259651</v>
      </c>
      <c r="F303" s="114" t="n">
        <f aca="false">(1+AS_Wage)^B303</f>
        <v>7.68720573992403</v>
      </c>
      <c r="G303" s="1" t="n">
        <f aca="false">IF(C303&lt;F_R,1,0)</f>
        <v>0</v>
      </c>
      <c r="H303" s="114" t="n">
        <f aca="false">IF(AS_Bands="flat",1,E303)</f>
        <v>3.92113551259651</v>
      </c>
      <c r="I303" s="114" t="n">
        <f aca="false">IF(AS_SpGrow="pay",F303,IF(AS_SpGrow="flat",1,E303))</f>
        <v>3.92113551259651</v>
      </c>
      <c r="J303" s="114"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5"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5"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4" t="n">
        <f aca="false">(1+AS_Infl)^B304</f>
        <v>3.99955822284844</v>
      </c>
      <c r="F304" s="114" t="n">
        <f aca="false">(1+AS_Wage)^B304</f>
        <v>7.91782191212175</v>
      </c>
      <c r="G304" s="1" t="n">
        <f aca="false">IF(C304&lt;F_R,1,0)</f>
        <v>0</v>
      </c>
      <c r="H304" s="114" t="n">
        <f aca="false">IF(AS_Bands="flat",1,E304)</f>
        <v>3.99955822284844</v>
      </c>
      <c r="I304" s="114" t="n">
        <f aca="false">IF(AS_SpGrow="pay",F304,IF(AS_SpGrow="flat",1,E304))</f>
        <v>3.99955822284844</v>
      </c>
      <c r="J304" s="114"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5"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5"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4" t="n">
        <f aca="false">(1+AS_Infl)^B305</f>
        <v>4.07954938730541</v>
      </c>
      <c r="F305" s="114" t="n">
        <f aca="false">(1+AS_Wage)^B305</f>
        <v>8.1553565694854</v>
      </c>
      <c r="G305" s="1" t="n">
        <f aca="false">IF(C305&lt;F_R,1,0)</f>
        <v>0</v>
      </c>
      <c r="H305" s="114" t="n">
        <f aca="false">IF(AS_Bands="flat",1,E305)</f>
        <v>4.07954938730541</v>
      </c>
      <c r="I305" s="114" t="n">
        <f aca="false">IF(AS_SpGrow="pay",F305,IF(AS_SpGrow="flat",1,E305))</f>
        <v>4.07954938730541</v>
      </c>
      <c r="J305" s="114"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5"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5"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4" t="n">
        <f aca="false">(1+AS_Infl)^B306</f>
        <v>4.16114037505152</v>
      </c>
      <c r="F306" s="114" t="n">
        <f aca="false">(1+AS_Wage)^B306</f>
        <v>8.40001726656997</v>
      </c>
      <c r="G306" s="1" t="n">
        <f aca="false">IF(C306&lt;F_R,1,0)</f>
        <v>0</v>
      </c>
      <c r="H306" s="114" t="n">
        <f aca="false">IF(AS_Bands="flat",1,E306)</f>
        <v>4.16114037505152</v>
      </c>
      <c r="I306" s="114" t="n">
        <f aca="false">IF(AS_SpGrow="pay",F306,IF(AS_SpGrow="flat",1,E306))</f>
        <v>4.16114037505152</v>
      </c>
      <c r="J306" s="114"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5"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5"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4" t="n">
        <f aca="false">(1+AS_Infl)^B307</f>
        <v>4.24436318255255</v>
      </c>
      <c r="F307" s="114" t="n">
        <f aca="false">(1+AS_Wage)^B307</f>
        <v>8.65201778456706</v>
      </c>
      <c r="G307" s="1" t="n">
        <f aca="false">IF(C307&lt;F_R,1,0)</f>
        <v>0</v>
      </c>
      <c r="H307" s="114" t="n">
        <f aca="false">IF(AS_Bands="flat",1,E307)</f>
        <v>4.24436318255255</v>
      </c>
      <c r="I307" s="114" t="n">
        <f aca="false">IF(AS_SpGrow="pay",F307,IF(AS_SpGrow="flat",1,E307))</f>
        <v>4.24436318255255</v>
      </c>
      <c r="J307" s="114"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5"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5"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4" t="n">
        <f aca="false">(1+AS_Infl)^B308</f>
        <v>4.3292504462036</v>
      </c>
      <c r="F308" s="114" t="n">
        <f aca="false">(1+AS_Wage)^B308</f>
        <v>8.91157831810408</v>
      </c>
      <c r="G308" s="1" t="n">
        <f aca="false">IF(C308&lt;F_R,1,0)</f>
        <v>0</v>
      </c>
      <c r="H308" s="114" t="n">
        <f aca="false">IF(AS_Bands="flat",1,E308)</f>
        <v>4.3292504462036</v>
      </c>
      <c r="I308" s="114" t="n">
        <f aca="false">IF(AS_SpGrow="pay",F308,IF(AS_SpGrow="flat",1,E308))</f>
        <v>4.3292504462036</v>
      </c>
      <c r="J308" s="114"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5"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5"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4" t="n">
        <f aca="false">(1+AS_Infl)^B309</f>
        <v>4.41583545512767</v>
      </c>
      <c r="F309" s="114" t="n">
        <f aca="false">(1+AS_Wage)^B309</f>
        <v>9.1789256676472</v>
      </c>
      <c r="G309" s="1" t="n">
        <f aca="false">IF(C309&lt;F_R,1,0)</f>
        <v>0</v>
      </c>
      <c r="H309" s="114" t="n">
        <f aca="false">IF(AS_Bands="flat",1,E309)</f>
        <v>4.41583545512767</v>
      </c>
      <c r="I309" s="114" t="n">
        <f aca="false">IF(AS_SpGrow="pay",F309,IF(AS_SpGrow="flat",1,E309))</f>
        <v>4.41583545512767</v>
      </c>
      <c r="J309" s="114"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5"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5"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4" t="n">
        <f aca="false">(1+AS_Infl)^B310</f>
        <v>4.50415216423022</v>
      </c>
      <c r="F310" s="114" t="n">
        <f aca="false">(1+AS_Wage)^B310</f>
        <v>9.45429343767662</v>
      </c>
      <c r="G310" s="1" t="n">
        <f aca="false">IF(C310&lt;F_R,1,0)</f>
        <v>0</v>
      </c>
      <c r="H310" s="114" t="n">
        <f aca="false">IF(AS_Bands="flat",1,E310)</f>
        <v>4.50415216423022</v>
      </c>
      <c r="I310" s="114" t="n">
        <f aca="false">IF(AS_SpGrow="pay",F310,IF(AS_SpGrow="flat",1,E310))</f>
        <v>4.50415216423022</v>
      </c>
      <c r="J310" s="114"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5"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5"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4" t="n">
        <f aca="false">(1+AS_Infl)^B311</f>
        <v>4.59423520751483</v>
      </c>
      <c r="F311" s="114" t="n">
        <f aca="false">(1+AS_Wage)^B311</f>
        <v>9.73792224080692</v>
      </c>
      <c r="G311" s="1" t="n">
        <f aca="false">IF(C311&lt;F_R,1,0)</f>
        <v>0</v>
      </c>
      <c r="H311" s="114" t="n">
        <f aca="false">IF(AS_Bands="flat",1,E311)</f>
        <v>4.59423520751483</v>
      </c>
      <c r="I311" s="114" t="n">
        <f aca="false">IF(AS_SpGrow="pay",F311,IF(AS_SpGrow="flat",1,E311))</f>
        <v>4.59423520751483</v>
      </c>
      <c r="J311" s="114"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5"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5"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4" t="n">
        <f aca="false">(1+AS_Infl)^B312</f>
        <v>4.68611991166513</v>
      </c>
      <c r="F312" s="114" t="n">
        <f aca="false">(1+AS_Wage)^B312</f>
        <v>10.0300599080311</v>
      </c>
      <c r="G312" s="1" t="n">
        <f aca="false">IF(C312&lt;F_R,1,0)</f>
        <v>0</v>
      </c>
      <c r="H312" s="114" t="n">
        <f aca="false">IF(AS_Bands="flat",1,E312)</f>
        <v>4.68611991166513</v>
      </c>
      <c r="I312" s="114" t="n">
        <f aca="false">IF(AS_SpGrow="pay",F312,IF(AS_SpGrow="flat",1,E312))</f>
        <v>4.68611991166513</v>
      </c>
      <c r="J312" s="114"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5"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5"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4" t="n">
        <f aca="false">(1+AS_Infl)^B313</f>
        <v>4.77984230989843</v>
      </c>
      <c r="F313" s="114" t="n">
        <f aca="false">(1+AS_Wage)^B313</f>
        <v>10.3309617052721</v>
      </c>
      <c r="G313" s="1" t="n">
        <f aca="false">IF(C313&lt;F_R,1,0)</f>
        <v>0</v>
      </c>
      <c r="H313" s="114" t="n">
        <f aca="false">IF(AS_Bands="flat",1,E313)</f>
        <v>4.77984230989843</v>
      </c>
      <c r="I313" s="114" t="n">
        <f aca="false">IF(AS_SpGrow="pay",F313,IF(AS_SpGrow="flat",1,E313))</f>
        <v>4.77984230989843</v>
      </c>
      <c r="J313" s="114"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5"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5"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4" t="n">
        <f aca="false">(1+AS_Infl)^B314</f>
        <v>4.8754391560964</v>
      </c>
      <c r="F314" s="114" t="n">
        <f aca="false">(1+AS_Wage)^B314</f>
        <v>10.6408905564302</v>
      </c>
      <c r="G314" s="1" t="n">
        <f aca="false">IF(C314&lt;F_R,1,0)</f>
        <v>0</v>
      </c>
      <c r="H314" s="114" t="n">
        <f aca="false">IF(AS_Bands="flat",1,E314)</f>
        <v>4.8754391560964</v>
      </c>
      <c r="I314" s="114" t="n">
        <f aca="false">IF(AS_SpGrow="pay",F314,IF(AS_SpGrow="flat",1,E314))</f>
        <v>4.8754391560964</v>
      </c>
      <c r="J314" s="114"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5"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5"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4" t="n">
        <f aca="false">(1+AS_Infl)^B315</f>
        <v>4.97294793921833</v>
      </c>
      <c r="F315" s="114" t="n">
        <f aca="false">(1+AS_Wage)^B315</f>
        <v>10.9601172731231</v>
      </c>
      <c r="G315" s="1" t="n">
        <f aca="false">IF(C315&lt;F_R,1,0)</f>
        <v>0</v>
      </c>
      <c r="H315" s="114" t="n">
        <f aca="false">IF(AS_Bands="flat",1,E315)</f>
        <v>4.97294793921833</v>
      </c>
      <c r="I315" s="114" t="n">
        <f aca="false">IF(AS_SpGrow="pay",F315,IF(AS_SpGrow="flat",1,E315))</f>
        <v>4.97294793921833</v>
      </c>
      <c r="J315" s="114"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5"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5"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4" t="n">
        <f aca="false">(1+AS_Infl)^B316</f>
        <v>5.07240689800269</v>
      </c>
      <c r="F316" s="114" t="n">
        <f aca="false">(1+AS_Wage)^B316</f>
        <v>11.2889207913168</v>
      </c>
      <c r="G316" s="1" t="n">
        <f aca="false">IF(C316&lt;F_R,1,0)</f>
        <v>0</v>
      </c>
      <c r="H316" s="114" t="n">
        <f aca="false">IF(AS_Bands="flat",1,E316)</f>
        <v>5.07240689800269</v>
      </c>
      <c r="I316" s="114" t="n">
        <f aca="false">IF(AS_SpGrow="pay",F316,IF(AS_SpGrow="flat",1,E316))</f>
        <v>5.07240689800269</v>
      </c>
      <c r="J316" s="114"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5"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5"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4" t="n">
        <f aca="false">(1+AS_Infl)^B317</f>
        <v>5.17385503596275</v>
      </c>
      <c r="F317" s="114" t="n">
        <f aca="false">(1+AS_Wage)^B317</f>
        <v>11.6275884150563</v>
      </c>
      <c r="G317" s="1" t="n">
        <f aca="false">IF(C317&lt;F_R,1,0)</f>
        <v>0</v>
      </c>
      <c r="H317" s="114" t="n">
        <f aca="false">IF(AS_Bands="flat",1,E317)</f>
        <v>5.17385503596275</v>
      </c>
      <c r="I317" s="114" t="n">
        <f aca="false">IF(AS_SpGrow="pay",F317,IF(AS_SpGrow="flat",1,E317))</f>
        <v>5.17385503596275</v>
      </c>
      <c r="J317" s="114"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5"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5"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4" t="n">
        <f aca="false">(1+AS_Infl)^B318</f>
        <v>5.277332136682</v>
      </c>
      <c r="F318" s="114" t="n">
        <f aca="false">(1+AS_Wage)^B318</f>
        <v>11.976416067508</v>
      </c>
      <c r="G318" s="1" t="n">
        <f aca="false">IF(C318&lt;F_R,1,0)</f>
        <v>0</v>
      </c>
      <c r="H318" s="114" t="n">
        <f aca="false">IF(AS_Bands="flat",1,E318)</f>
        <v>5.277332136682</v>
      </c>
      <c r="I318" s="114" t="n">
        <f aca="false">IF(AS_SpGrow="pay",F318,IF(AS_SpGrow="flat",1,E318))</f>
        <v>5.277332136682</v>
      </c>
      <c r="J318" s="114"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5"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5"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4" t="n">
        <f aca="false">(1+AS_Infl)^B319</f>
        <v>5.38287877941564</v>
      </c>
      <c r="F319" s="114" t="n">
        <f aca="false">(1+AS_Wage)^B319</f>
        <v>12.3357085495333</v>
      </c>
      <c r="G319" s="1" t="n">
        <f aca="false">IF(C319&lt;F_R,1,0)</f>
        <v>0</v>
      </c>
      <c r="H319" s="114" t="n">
        <f aca="false">IF(AS_Bands="flat",1,E319)</f>
        <v>5.38287877941564</v>
      </c>
      <c r="I319" s="114" t="n">
        <f aca="false">IF(AS_SpGrow="pay",F319,IF(AS_SpGrow="flat",1,E319))</f>
        <v>5.38287877941564</v>
      </c>
      <c r="J319" s="114"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5"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5"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4" t="n">
        <f aca="false">(1+AS_Infl)^B320</f>
        <v>5.49053635500395</v>
      </c>
      <c r="F320" s="114" t="n">
        <f aca="false">(1+AS_Wage)^B320</f>
        <v>12.7057798060193</v>
      </c>
      <c r="G320" s="1" t="n">
        <f aca="false">IF(C320&lt;F_R,1,0)</f>
        <v>0</v>
      </c>
      <c r="H320" s="114" t="n">
        <f aca="false">IF(AS_Bands="flat",1,E320)</f>
        <v>5.49053635500395</v>
      </c>
      <c r="I320" s="114" t="n">
        <f aca="false">IF(AS_SpGrow="pay",F320,IF(AS_SpGrow="flat",1,E320))</f>
        <v>5.49053635500395</v>
      </c>
      <c r="J320" s="114"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5"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5"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4" t="n">
        <f aca="false">(1+AS_Infl)^B321</f>
        <v>5.60034708210403</v>
      </c>
      <c r="F321" s="114" t="n">
        <f aca="false">(1+AS_Wage)^B321</f>
        <v>13.0869532001998</v>
      </c>
      <c r="G321" s="1" t="n">
        <f aca="false">IF(C321&lt;F_R,1,0)</f>
        <v>0</v>
      </c>
      <c r="H321" s="114" t="n">
        <f aca="false">IF(AS_Bands="flat",1,E321)</f>
        <v>5.60034708210403</v>
      </c>
      <c r="I321" s="114" t="n">
        <f aca="false">IF(AS_SpGrow="pay",F321,IF(AS_SpGrow="flat",1,E321))</f>
        <v>5.60034708210403</v>
      </c>
      <c r="J321" s="114"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5"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5"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4" t="n">
        <f aca="false">(1+AS_Infl)^B322</f>
        <v>5.71235402374611</v>
      </c>
      <c r="F322" s="114" t="n">
        <f aca="false">(1+AS_Wage)^B322</f>
        <v>13.4795617962058</v>
      </c>
      <c r="G322" s="1" t="n">
        <f aca="false">IF(C322&lt;F_R,1,0)</f>
        <v>0</v>
      </c>
      <c r="H322" s="114" t="n">
        <f aca="false">IF(AS_Bands="flat",1,E322)</f>
        <v>5.71235402374611</v>
      </c>
      <c r="I322" s="114" t="n">
        <f aca="false">IF(AS_SpGrow="pay",F322,IF(AS_SpGrow="flat",1,E322))</f>
        <v>5.71235402374611</v>
      </c>
      <c r="J322" s="114"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5"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5"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4" t="n">
        <f aca="false">(1+AS_Infl)^B323</f>
        <v>5.82660110422104</v>
      </c>
      <c r="F323" s="114" t="n">
        <f aca="false">(1+AS_Wage)^B323</f>
        <v>13.883948650092</v>
      </c>
      <c r="G323" s="1" t="n">
        <f aca="false">IF(C323&lt;F_R,1,0)</f>
        <v>0</v>
      </c>
      <c r="H323" s="114" t="n">
        <f aca="false">IF(AS_Bands="flat",1,E323)</f>
        <v>5.82660110422104</v>
      </c>
      <c r="I323" s="114" t="n">
        <f aca="false">IF(AS_SpGrow="pay",F323,IF(AS_SpGrow="flat",1,E323))</f>
        <v>5.82660110422104</v>
      </c>
      <c r="J323" s="114"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5"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5"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3" t="s">
        <v>1956</v>
      </c>
    </row>
    <row r="2" customFormat="false" ht="48" hidden="false" customHeight="true" outlineLevel="0" collapsed="false">
      <c r="B2" s="94" t="s">
        <v>1957</v>
      </c>
      <c r="C2" s="94"/>
      <c r="D2" s="94"/>
      <c r="E2" s="94"/>
      <c r="F2" s="94"/>
      <c r="G2" s="94"/>
      <c r="H2" s="94"/>
      <c r="I2" s="94"/>
      <c r="J2" s="94"/>
      <c r="K2" s="94"/>
      <c r="L2" s="94"/>
    </row>
    <row r="6" customFormat="false" ht="122.25" hidden="false" customHeight="true" outlineLevel="0" collapsed="false">
      <c r="A6" s="96" t="s">
        <v>1885</v>
      </c>
      <c r="B6" s="103" t="s">
        <v>1886</v>
      </c>
      <c r="C6" s="103" t="s">
        <v>1958</v>
      </c>
      <c r="D6" s="103" t="s">
        <v>744</v>
      </c>
      <c r="E6" s="103" t="s">
        <v>1887</v>
      </c>
      <c r="F6" s="103" t="s">
        <v>1889</v>
      </c>
      <c r="G6" s="103" t="s">
        <v>1959</v>
      </c>
      <c r="H6" s="103" t="s">
        <v>1960</v>
      </c>
      <c r="I6" s="103" t="s">
        <v>1961</v>
      </c>
      <c r="J6" s="103" t="s">
        <v>1962</v>
      </c>
      <c r="K6" s="103" t="s">
        <v>1963</v>
      </c>
      <c r="L6" s="103" t="s">
        <v>1964</v>
      </c>
      <c r="M6" s="103" t="s">
        <v>1965</v>
      </c>
      <c r="N6" s="103" t="s">
        <v>1966</v>
      </c>
      <c r="O6" s="103" t="s">
        <v>1967</v>
      </c>
      <c r="P6" s="103" t="s">
        <v>1968</v>
      </c>
      <c r="Q6" s="103" t="s">
        <v>1969</v>
      </c>
      <c r="R6" s="103" t="s">
        <v>1970</v>
      </c>
      <c r="S6" s="103" t="s">
        <v>1971</v>
      </c>
      <c r="T6" s="103" t="s">
        <v>1972</v>
      </c>
      <c r="U6" s="103" t="s">
        <v>1973</v>
      </c>
      <c r="V6" s="103" t="s">
        <v>1974</v>
      </c>
      <c r="W6" s="103" t="s">
        <v>1975</v>
      </c>
      <c r="X6" s="103" t="s">
        <v>1976</v>
      </c>
      <c r="Y6" s="103" t="s">
        <v>1977</v>
      </c>
      <c r="Z6" s="103" t="s">
        <v>1978</v>
      </c>
      <c r="AA6" s="103" t="s">
        <v>1979</v>
      </c>
      <c r="AB6" s="103" t="s">
        <v>1980</v>
      </c>
      <c r="AC6" s="103" t="s">
        <v>1981</v>
      </c>
      <c r="AD6" s="103" t="s">
        <v>1982</v>
      </c>
      <c r="AE6" s="103" t="s">
        <v>1983</v>
      </c>
      <c r="AF6" s="103" t="s">
        <v>1984</v>
      </c>
      <c r="AG6" s="103" t="s">
        <v>1985</v>
      </c>
      <c r="AH6" s="103" t="s">
        <v>1986</v>
      </c>
      <c r="AI6" s="103" t="s">
        <v>1987</v>
      </c>
      <c r="AJ6" s="103" t="s">
        <v>1988</v>
      </c>
      <c r="AK6" s="103" t="s">
        <v>1989</v>
      </c>
      <c r="AL6" s="103" t="s">
        <v>1990</v>
      </c>
      <c r="AM6" s="103" t="s">
        <v>1991</v>
      </c>
      <c r="AN6" s="103" t="s">
        <v>1992</v>
      </c>
      <c r="AO6" s="103" t="s">
        <v>1993</v>
      </c>
      <c r="AP6" s="103" t="s">
        <v>1994</v>
      </c>
      <c r="AQ6" s="103" t="s">
        <v>1995</v>
      </c>
      <c r="AR6" s="103" t="s">
        <v>1996</v>
      </c>
      <c r="AS6" s="103" t="s">
        <v>1997</v>
      </c>
      <c r="AT6" s="103" t="s">
        <v>1998</v>
      </c>
      <c r="AU6" s="103" t="s">
        <v>1999</v>
      </c>
      <c r="AV6" s="103" t="s">
        <v>2000</v>
      </c>
      <c r="AW6" s="103" t="s">
        <v>2001</v>
      </c>
      <c r="AX6" s="103" t="s">
        <v>2002</v>
      </c>
      <c r="AY6" s="103" t="s">
        <v>2003</v>
      </c>
      <c r="AZ6" s="103" t="s">
        <v>2004</v>
      </c>
      <c r="BA6" s="103" t="s">
        <v>2005</v>
      </c>
      <c r="BB6" s="103" t="s">
        <v>2006</v>
      </c>
      <c r="BC6" s="103" t="s">
        <v>2007</v>
      </c>
      <c r="BD6" s="103" t="s">
        <v>2008</v>
      </c>
      <c r="BE6" s="103" t="s">
        <v>2009</v>
      </c>
      <c r="BF6" s="103" t="s">
        <v>2010</v>
      </c>
      <c r="BG6" s="103" t="s">
        <v>2011</v>
      </c>
      <c r="BH6" s="103" t="s">
        <v>2012</v>
      </c>
      <c r="BI6" s="103" t="s">
        <v>2013</v>
      </c>
      <c r="BJ6" s="103" t="s">
        <v>2014</v>
      </c>
      <c r="BK6" s="103" t="s">
        <v>2015</v>
      </c>
      <c r="BL6" s="103" t="s">
        <v>2016</v>
      </c>
      <c r="BM6" s="103" t="s">
        <v>2017</v>
      </c>
      <c r="BN6" s="103" t="s">
        <v>2018</v>
      </c>
      <c r="BO6" s="103" t="s">
        <v>2019</v>
      </c>
      <c r="BP6" s="103" t="s">
        <v>2020</v>
      </c>
      <c r="BQ6" s="103" t="s">
        <v>2021</v>
      </c>
      <c r="BR6" s="103" t="s">
        <v>2022</v>
      </c>
      <c r="BS6" s="103" t="s">
        <v>2023</v>
      </c>
      <c r="BT6" s="103" t="s">
        <v>2024</v>
      </c>
      <c r="BU6" s="103" t="s">
        <v>2025</v>
      </c>
      <c r="BV6" s="103" t="s">
        <v>2026</v>
      </c>
      <c r="BW6" s="103" t="s">
        <v>2027</v>
      </c>
      <c r="BX6" s="103" t="s">
        <v>2028</v>
      </c>
      <c r="BY6" s="103" t="s">
        <v>2029</v>
      </c>
      <c r="BZ6" s="103" t="s">
        <v>2030</v>
      </c>
      <c r="CA6" s="103" t="s">
        <v>2031</v>
      </c>
      <c r="CB6" s="103" t="s">
        <v>2032</v>
      </c>
      <c r="CC6" s="103" t="s">
        <v>2033</v>
      </c>
      <c r="CD6" s="103" t="s">
        <v>2034</v>
      </c>
      <c r="CE6" s="103" t="s">
        <v>2035</v>
      </c>
      <c r="CF6" s="103" t="s">
        <v>2036</v>
      </c>
      <c r="CG6" s="103" t="s">
        <v>2037</v>
      </c>
      <c r="CH6" s="103" t="s">
        <v>2038</v>
      </c>
      <c r="CI6" s="103" t="s">
        <v>2039</v>
      </c>
      <c r="CJ6" s="103" t="s">
        <v>2040</v>
      </c>
      <c r="CK6" s="103" t="s">
        <v>2041</v>
      </c>
      <c r="CL6" s="103" t="s">
        <v>2042</v>
      </c>
      <c r="CM6" s="103" t="s">
        <v>2043</v>
      </c>
      <c r="CN6" s="103" t="s">
        <v>2044</v>
      </c>
      <c r="CO6" s="103" t="s">
        <v>2045</v>
      </c>
      <c r="CP6" s="103" t="s">
        <v>2046</v>
      </c>
      <c r="CQ6" s="103" t="s">
        <v>2047</v>
      </c>
      <c r="CR6" s="103" t="s">
        <v>2048</v>
      </c>
      <c r="CS6" s="103" t="s">
        <v>2049</v>
      </c>
      <c r="CT6" s="103" t="s">
        <v>2050</v>
      </c>
      <c r="CU6" s="103" t="s">
        <v>2051</v>
      </c>
      <c r="CV6" s="103" t="s">
        <v>2052</v>
      </c>
      <c r="CW6" s="103" t="s">
        <v>2053</v>
      </c>
      <c r="CX6" s="103" t="s">
        <v>2054</v>
      </c>
      <c r="CY6" s="103" t="s">
        <v>2055</v>
      </c>
      <c r="CZ6" s="103" t="s">
        <v>2056</v>
      </c>
      <c r="DA6" s="103" t="s">
        <v>2057</v>
      </c>
      <c r="DB6" s="103" t="s">
        <v>2058</v>
      </c>
      <c r="DC6" s="103" t="s">
        <v>2059</v>
      </c>
      <c r="DD6" s="103" t="s">
        <v>2060</v>
      </c>
      <c r="DE6" s="103" t="s">
        <v>2061</v>
      </c>
      <c r="DF6" s="103" t="s">
        <v>2062</v>
      </c>
      <c r="DG6" s="103" t="s">
        <v>2063</v>
      </c>
      <c r="DH6" s="103" t="s">
        <v>2064</v>
      </c>
      <c r="DI6" s="103" t="s">
        <v>2065</v>
      </c>
      <c r="DJ6" s="103" t="s">
        <v>2066</v>
      </c>
      <c r="DK6" s="103" t="s">
        <v>2067</v>
      </c>
      <c r="DL6" s="103" t="s">
        <v>2068</v>
      </c>
      <c r="DM6" s="103" t="s">
        <v>2069</v>
      </c>
      <c r="DN6" s="103" t="s">
        <v>2070</v>
      </c>
      <c r="DO6" s="103" t="s">
        <v>2071</v>
      </c>
      <c r="DP6" s="103" t="s">
        <v>2072</v>
      </c>
      <c r="DQ6" s="103" t="s">
        <v>2073</v>
      </c>
      <c r="DR6" s="103" t="s">
        <v>2074</v>
      </c>
      <c r="DS6" s="103" t="s">
        <v>2075</v>
      </c>
      <c r="DT6" s="103" t="s">
        <v>2076</v>
      </c>
      <c r="DU6" s="103" t="s">
        <v>2077</v>
      </c>
      <c r="DV6" s="103" t="s">
        <v>2078</v>
      </c>
      <c r="DW6" s="103" t="s">
        <v>2079</v>
      </c>
      <c r="DX6" s="103" t="s">
        <v>2080</v>
      </c>
      <c r="DY6" s="103" t="s">
        <v>2081</v>
      </c>
      <c r="DZ6" s="103" t="s">
        <v>2082</v>
      </c>
      <c r="EA6" s="103" t="s">
        <v>2083</v>
      </c>
      <c r="EB6" s="103" t="s">
        <v>2084</v>
      </c>
      <c r="EC6" s="103" t="s">
        <v>2085</v>
      </c>
      <c r="ED6" s="103" t="s">
        <v>2086</v>
      </c>
      <c r="EE6" s="103" t="s">
        <v>2087</v>
      </c>
      <c r="EF6" s="103" t="s">
        <v>2088</v>
      </c>
      <c r="EG6" s="103" t="s">
        <v>2089</v>
      </c>
      <c r="EH6" s="103" t="s">
        <v>2090</v>
      </c>
      <c r="EI6" s="103" t="s">
        <v>2091</v>
      </c>
      <c r="EJ6" s="103" t="s">
        <v>2092</v>
      </c>
      <c r="EK6" s="103" t="s">
        <v>2093</v>
      </c>
      <c r="EL6" s="103" t="s">
        <v>2094</v>
      </c>
      <c r="EM6" s="103" t="s">
        <v>2095</v>
      </c>
      <c r="EN6" s="103" t="s">
        <v>2096</v>
      </c>
      <c r="EO6" s="103" t="s">
        <v>2097</v>
      </c>
      <c r="EP6" s="103" t="s">
        <v>2098</v>
      </c>
      <c r="EQ6" s="103" t="s">
        <v>2099</v>
      </c>
      <c r="ER6" s="103" t="s">
        <v>2100</v>
      </c>
      <c r="ES6" s="103" t="s">
        <v>2101</v>
      </c>
      <c r="ET6" s="103" t="s">
        <v>2102</v>
      </c>
      <c r="EU6" s="103" t="s">
        <v>2103</v>
      </c>
      <c r="EV6" s="103" t="s">
        <v>2104</v>
      </c>
      <c r="EW6" s="103" t="s">
        <v>2105</v>
      </c>
      <c r="EX6" s="103" t="s">
        <v>2106</v>
      </c>
      <c r="EY6" s="103" t="s">
        <v>2107</v>
      </c>
      <c r="EZ6" s="103" t="s">
        <v>2108</v>
      </c>
      <c r="FA6" s="103" t="s">
        <v>2109</v>
      </c>
      <c r="FB6" s="103" t="s">
        <v>2110</v>
      </c>
      <c r="FC6" s="103" t="s">
        <v>2111</v>
      </c>
      <c r="FD6" s="103" t="s">
        <v>2112</v>
      </c>
      <c r="FE6" s="103" t="s">
        <v>2113</v>
      </c>
      <c r="FF6" s="103" t="s">
        <v>2114</v>
      </c>
      <c r="FG6" s="103" t="s">
        <v>2115</v>
      </c>
      <c r="FH6" s="103" t="s">
        <v>2116</v>
      </c>
      <c r="FI6" s="103" t="s">
        <v>2117</v>
      </c>
      <c r="FJ6" s="103" t="s">
        <v>2118</v>
      </c>
      <c r="FK6" s="103" t="s">
        <v>2119</v>
      </c>
      <c r="FL6" s="103" t="s">
        <v>2120</v>
      </c>
      <c r="FM6" s="103" t="s">
        <v>2121</v>
      </c>
      <c r="FN6" s="103" t="s">
        <v>2122</v>
      </c>
      <c r="FO6" s="103" t="s">
        <v>2123</v>
      </c>
      <c r="FP6" s="103" t="s">
        <v>2124</v>
      </c>
      <c r="FQ6" s="103" t="s">
        <v>2125</v>
      </c>
      <c r="FR6" s="103" t="s">
        <v>2126</v>
      </c>
      <c r="FS6" s="103" t="s">
        <v>2127</v>
      </c>
      <c r="FT6" s="103" t="s">
        <v>2128</v>
      </c>
      <c r="FU6" s="103" t="s">
        <v>2129</v>
      </c>
      <c r="FV6" s="103" t="s">
        <v>2130</v>
      </c>
      <c r="FW6" s="103" t="s">
        <v>2131</v>
      </c>
      <c r="FX6" s="103" t="s">
        <v>2132</v>
      </c>
      <c r="FY6" s="103" t="s">
        <v>2133</v>
      </c>
      <c r="FZ6" s="103" t="s">
        <v>2134</v>
      </c>
      <c r="GA6" s="103" t="s">
        <v>2135</v>
      </c>
      <c r="GB6" s="103" t="s">
        <v>2136</v>
      </c>
      <c r="GC6" s="103" t="s">
        <v>2137</v>
      </c>
      <c r="GD6" s="103" t="s">
        <v>2138</v>
      </c>
      <c r="GE6" s="103" t="s">
        <v>2139</v>
      </c>
      <c r="GF6" s="103" t="s">
        <v>2140</v>
      </c>
      <c r="GG6" s="103" t="s">
        <v>2141</v>
      </c>
      <c r="GH6" s="103" t="s">
        <v>2142</v>
      </c>
      <c r="GI6" s="103" t="s">
        <v>2143</v>
      </c>
      <c r="GJ6" s="103" t="s">
        <v>2144</v>
      </c>
      <c r="GK6" s="103" t="s">
        <v>2145</v>
      </c>
      <c r="GL6" s="103" t="s">
        <v>2146</v>
      </c>
      <c r="GM6" s="103" t="s">
        <v>2147</v>
      </c>
      <c r="GN6" s="103" t="s">
        <v>2148</v>
      </c>
      <c r="GO6" s="103" t="s">
        <v>2149</v>
      </c>
      <c r="GP6" s="103" t="s">
        <v>2150</v>
      </c>
      <c r="GQ6" s="103" t="s">
        <v>2151</v>
      </c>
      <c r="GR6" s="103" t="s">
        <v>2152</v>
      </c>
      <c r="GS6" s="103" t="s">
        <v>2153</v>
      </c>
      <c r="GT6" s="103" t="s">
        <v>2154</v>
      </c>
      <c r="GU6" s="103" t="s">
        <v>2155</v>
      </c>
      <c r="GV6" s="103" t="s">
        <v>2156</v>
      </c>
      <c r="GW6" s="103" t="s">
        <v>2157</v>
      </c>
      <c r="GX6" s="103" t="s">
        <v>2158</v>
      </c>
      <c r="GY6" s="103" t="s">
        <v>2159</v>
      </c>
      <c r="GZ6" s="103" t="s">
        <v>2160</v>
      </c>
      <c r="HA6" s="103" t="s">
        <v>2161</v>
      </c>
      <c r="HB6" s="103" t="s">
        <v>2162</v>
      </c>
      <c r="HC6" s="103" t="s">
        <v>2163</v>
      </c>
      <c r="HD6" s="103" t="s">
        <v>2164</v>
      </c>
      <c r="HE6" s="103" t="s">
        <v>2165</v>
      </c>
      <c r="HF6" s="103" t="s">
        <v>2166</v>
      </c>
      <c r="HG6" s="103" t="s">
        <v>2167</v>
      </c>
      <c r="HH6" s="103" t="s">
        <v>2168</v>
      </c>
      <c r="HI6" s="103" t="s">
        <v>2169</v>
      </c>
      <c r="HJ6" s="103" t="s">
        <v>2170</v>
      </c>
      <c r="HK6" s="103" t="s">
        <v>2171</v>
      </c>
      <c r="HL6" s="103" t="s">
        <v>2172</v>
      </c>
      <c r="HM6" s="103" t="s">
        <v>2173</v>
      </c>
      <c r="HN6" s="103" t="s">
        <v>2174</v>
      </c>
      <c r="HO6" s="103" t="s">
        <v>2175</v>
      </c>
      <c r="HP6" s="103" t="s">
        <v>2176</v>
      </c>
      <c r="HQ6" s="103" t="s">
        <v>2177</v>
      </c>
      <c r="HR6" s="103" t="s">
        <v>2178</v>
      </c>
      <c r="HS6" s="103" t="s">
        <v>2179</v>
      </c>
      <c r="HT6" s="103" t="s">
        <v>2180</v>
      </c>
      <c r="HU6" s="103" t="s">
        <v>2181</v>
      </c>
      <c r="HV6" s="103" t="s">
        <v>2182</v>
      </c>
      <c r="HW6" s="103" t="s">
        <v>2183</v>
      </c>
      <c r="HX6" s="103" t="s">
        <v>2184</v>
      </c>
      <c r="HY6" s="103" t="s">
        <v>2185</v>
      </c>
      <c r="HZ6" s="103" t="s">
        <v>2186</v>
      </c>
      <c r="IA6" s="103" t="s">
        <v>2187</v>
      </c>
      <c r="IB6" s="103" t="s">
        <v>2188</v>
      </c>
      <c r="IC6" s="103" t="s">
        <v>2189</v>
      </c>
      <c r="ID6" s="103" t="s">
        <v>2190</v>
      </c>
      <c r="IE6" s="103" t="s">
        <v>2191</v>
      </c>
      <c r="IF6" s="103" t="s">
        <v>2192</v>
      </c>
      <c r="IG6" s="103" t="s">
        <v>2193</v>
      </c>
      <c r="IH6" s="103" t="s">
        <v>2194</v>
      </c>
      <c r="II6" s="103" t="s">
        <v>2195</v>
      </c>
      <c r="IJ6" s="103" t="s">
        <v>2196</v>
      </c>
      <c r="IK6" s="103" t="s">
        <v>2197</v>
      </c>
      <c r="IL6" s="103" t="s">
        <v>2198</v>
      </c>
      <c r="IM6" s="103" t="s">
        <v>2199</v>
      </c>
      <c r="IN6" s="103" t="s">
        <v>2200</v>
      </c>
      <c r="IO6" s="103" t="s">
        <v>2201</v>
      </c>
      <c r="IP6" s="103" t="s">
        <v>2202</v>
      </c>
      <c r="IQ6" s="103" t="s">
        <v>2203</v>
      </c>
      <c r="IR6" s="103" t="s">
        <v>2204</v>
      </c>
      <c r="IS6" s="103" t="s">
        <v>2205</v>
      </c>
      <c r="IT6" s="103" t="s">
        <v>2206</v>
      </c>
      <c r="IU6" s="103" t="s">
        <v>2207</v>
      </c>
      <c r="IV6" s="103" t="s">
        <v>2208</v>
      </c>
      <c r="IW6" s="103" t="s">
        <v>2209</v>
      </c>
      <c r="IX6" s="103" t="s">
        <v>2210</v>
      </c>
      <c r="IY6" s="103" t="s">
        <v>2211</v>
      </c>
      <c r="IZ6" s="103" t="s">
        <v>2212</v>
      </c>
      <c r="JA6" s="103" t="s">
        <v>2213</v>
      </c>
      <c r="JB6" s="103" t="s">
        <v>2214</v>
      </c>
      <c r="JC6" s="103" t="s">
        <v>2215</v>
      </c>
      <c r="JD6" s="103" t="s">
        <v>2216</v>
      </c>
      <c r="JE6" s="103" t="s">
        <v>2217</v>
      </c>
      <c r="JF6" s="103" t="s">
        <v>2218</v>
      </c>
      <c r="JG6" s="103" t="s">
        <v>2219</v>
      </c>
      <c r="JH6" s="103" t="s">
        <v>2220</v>
      </c>
      <c r="JI6" s="103" t="s">
        <v>2221</v>
      </c>
      <c r="JJ6" s="103" t="s">
        <v>2222</v>
      </c>
      <c r="JK6" s="103" t="s">
        <v>2223</v>
      </c>
      <c r="JL6" s="103" t="s">
        <v>2224</v>
      </c>
      <c r="JM6" s="103" t="s">
        <v>2225</v>
      </c>
      <c r="JN6" s="103" t="s">
        <v>2226</v>
      </c>
      <c r="JO6" s="103" t="s">
        <v>2227</v>
      </c>
      <c r="JP6" s="103" t="s">
        <v>2228</v>
      </c>
      <c r="JQ6" s="103" t="s">
        <v>2229</v>
      </c>
      <c r="JR6" s="103" t="s">
        <v>2230</v>
      </c>
      <c r="JS6" s="103" t="s">
        <v>2231</v>
      </c>
      <c r="JT6" s="103" t="s">
        <v>2232</v>
      </c>
      <c r="JU6" s="103" t="s">
        <v>2233</v>
      </c>
      <c r="JV6" s="103" t="s">
        <v>2234</v>
      </c>
      <c r="JW6" s="103" t="s">
        <v>2235</v>
      </c>
      <c r="JX6" s="103" t="s">
        <v>2236</v>
      </c>
      <c r="JY6" s="103" t="s">
        <v>2237</v>
      </c>
      <c r="JZ6" s="103" t="s">
        <v>2238</v>
      </c>
      <c r="KA6" s="103" t="s">
        <v>2239</v>
      </c>
      <c r="KB6" s="103" t="s">
        <v>2240</v>
      </c>
      <c r="KC6" s="103" t="s">
        <v>2241</v>
      </c>
      <c r="KD6" s="103" t="s">
        <v>2242</v>
      </c>
      <c r="KE6" s="103" t="s">
        <v>2243</v>
      </c>
      <c r="KF6" s="103" t="s">
        <v>2244</v>
      </c>
      <c r="KG6" s="103" t="s">
        <v>2245</v>
      </c>
      <c r="KH6" s="103" t="s">
        <v>2246</v>
      </c>
      <c r="KI6" s="103" t="s">
        <v>2247</v>
      </c>
      <c r="KJ6" s="103" t="s">
        <v>2248</v>
      </c>
      <c r="KK6" s="103" t="s">
        <v>2249</v>
      </c>
      <c r="KL6" s="103" t="s">
        <v>2250</v>
      </c>
      <c r="KM6" s="103" t="s">
        <v>2251</v>
      </c>
      <c r="KN6" s="103" t="s">
        <v>2252</v>
      </c>
      <c r="KO6" s="103" t="s">
        <v>2253</v>
      </c>
      <c r="KP6" s="103" t="s">
        <v>2254</v>
      </c>
      <c r="KQ6" s="103" t="s">
        <v>2255</v>
      </c>
      <c r="KR6" s="103" t="s">
        <v>2256</v>
      </c>
      <c r="KS6" s="103" t="s">
        <v>2257</v>
      </c>
      <c r="KT6" s="103" t="s">
        <v>2258</v>
      </c>
      <c r="KU6" s="103" t="s">
        <v>2259</v>
      </c>
      <c r="KV6" s="103" t="s">
        <v>2260</v>
      </c>
      <c r="KW6" s="103" t="s">
        <v>2261</v>
      </c>
      <c r="KX6" s="103" t="s">
        <v>2262</v>
      </c>
      <c r="KY6" s="103" t="s">
        <v>2263</v>
      </c>
      <c r="KZ6" s="103" t="s">
        <v>2264</v>
      </c>
      <c r="LA6" s="103" t="s">
        <v>2265</v>
      </c>
      <c r="LB6" s="103" t="s">
        <v>2266</v>
      </c>
      <c r="LC6" s="103" t="s">
        <v>2267</v>
      </c>
      <c r="LD6" s="103" t="s">
        <v>2268</v>
      </c>
      <c r="LE6" s="103" t="s">
        <v>2269</v>
      </c>
      <c r="LF6" s="103" t="s">
        <v>2270</v>
      </c>
      <c r="LG6" s="103" t="s">
        <v>2271</v>
      </c>
      <c r="LH6" s="103" t="s">
        <v>2272</v>
      </c>
      <c r="LI6" s="103" t="s">
        <v>2273</v>
      </c>
      <c r="LJ6" s="103" t="s">
        <v>2274</v>
      </c>
      <c r="LK6" s="103" t="s">
        <v>2275</v>
      </c>
      <c r="LL6" s="103" t="s">
        <v>2276</v>
      </c>
      <c r="LM6" s="103" t="s">
        <v>2277</v>
      </c>
      <c r="LN6" s="103" t="s">
        <v>2278</v>
      </c>
      <c r="LO6" s="103" t="s">
        <v>2279</v>
      </c>
      <c r="LP6" s="103" t="s">
        <v>2280</v>
      </c>
      <c r="LQ6" s="103" t="s">
        <v>2281</v>
      </c>
      <c r="LR6" s="103" t="s">
        <v>2282</v>
      </c>
      <c r="LS6" s="103" t="s">
        <v>2283</v>
      </c>
      <c r="LT6" s="103" t="s">
        <v>2284</v>
      </c>
      <c r="LU6" s="103" t="s">
        <v>2285</v>
      </c>
      <c r="LV6" s="103" t="s">
        <v>2286</v>
      </c>
      <c r="LW6" s="103" t="s">
        <v>2287</v>
      </c>
      <c r="LX6" s="103" t="s">
        <v>2288</v>
      </c>
      <c r="LY6" s="103" t="s">
        <v>2289</v>
      </c>
      <c r="LZ6" s="103" t="s">
        <v>2290</v>
      </c>
      <c r="MA6" s="103" t="s">
        <v>2291</v>
      </c>
      <c r="MB6" s="103" t="s">
        <v>2292</v>
      </c>
      <c r="MC6" s="103" t="s">
        <v>2293</v>
      </c>
      <c r="MD6" s="103" t="s">
        <v>2294</v>
      </c>
      <c r="ME6" s="103" t="s">
        <v>2295</v>
      </c>
      <c r="MF6" s="103" t="s">
        <v>2296</v>
      </c>
      <c r="MG6" s="103" t="s">
        <v>2297</v>
      </c>
      <c r="MH6" s="103" t="s">
        <v>2298</v>
      </c>
      <c r="MI6" s="103" t="s">
        <v>2299</v>
      </c>
      <c r="MJ6" s="103" t="s">
        <v>2300</v>
      </c>
      <c r="MK6" s="103" t="s">
        <v>2301</v>
      </c>
      <c r="ML6" s="103" t="s">
        <v>2302</v>
      </c>
      <c r="MM6" s="103" t="s">
        <v>2303</v>
      </c>
      <c r="MN6" s="103" t="s">
        <v>2304</v>
      </c>
      <c r="MO6" s="103" t="s">
        <v>2305</v>
      </c>
      <c r="MP6" s="103" t="s">
        <v>2306</v>
      </c>
      <c r="MQ6" s="103" t="s">
        <v>2307</v>
      </c>
      <c r="MR6" s="103" t="s">
        <v>2308</v>
      </c>
      <c r="MS6" s="103" t="s">
        <v>2309</v>
      </c>
      <c r="MT6" s="103" t="s">
        <v>2310</v>
      </c>
      <c r="MU6" s="103" t="s">
        <v>2311</v>
      </c>
      <c r="MV6" s="103" t="s">
        <v>2312</v>
      </c>
      <c r="MW6" s="103" t="s">
        <v>2313</v>
      </c>
      <c r="MX6" s="103" t="s">
        <v>2314</v>
      </c>
      <c r="MY6" s="103" t="s">
        <v>2315</v>
      </c>
      <c r="MZ6" s="103" t="s">
        <v>2316</v>
      </c>
      <c r="NA6" s="103" t="s">
        <v>2317</v>
      </c>
      <c r="NB6" s="103" t="s">
        <v>2318</v>
      </c>
      <c r="NC6" s="103" t="s">
        <v>2319</v>
      </c>
      <c r="ND6" s="103" t="s">
        <v>2320</v>
      </c>
      <c r="NE6" s="103" t="s">
        <v>2321</v>
      </c>
      <c r="NF6" s="103" t="s">
        <v>2322</v>
      </c>
      <c r="NG6" s="103" t="s">
        <v>2323</v>
      </c>
      <c r="NH6" s="103" t="s">
        <v>2324</v>
      </c>
      <c r="NI6" s="103" t="s">
        <v>2325</v>
      </c>
      <c r="NJ6" s="103" t="s">
        <v>2326</v>
      </c>
      <c r="NK6" s="103" t="s">
        <v>2327</v>
      </c>
      <c r="NL6" s="103" t="s">
        <v>2328</v>
      </c>
      <c r="NM6" s="103" t="s">
        <v>2329</v>
      </c>
      <c r="NN6" s="103" t="s">
        <v>2330</v>
      </c>
      <c r="NO6" s="103" t="s">
        <v>2331</v>
      </c>
      <c r="NP6" s="103" t="s">
        <v>2332</v>
      </c>
      <c r="NQ6" s="103" t="s">
        <v>2333</v>
      </c>
      <c r="NR6" s="103" t="s">
        <v>2334</v>
      </c>
      <c r="NS6" s="103" t="s">
        <v>2335</v>
      </c>
      <c r="NT6" s="103" t="s">
        <v>2336</v>
      </c>
      <c r="NU6" s="103" t="s">
        <v>2337</v>
      </c>
      <c r="NV6" s="103" t="s">
        <v>2338</v>
      </c>
      <c r="NW6" s="103" t="s">
        <v>2339</v>
      </c>
      <c r="NX6" s="103" t="s">
        <v>2340</v>
      </c>
      <c r="NY6" s="103" t="s">
        <v>2341</v>
      </c>
      <c r="NZ6" s="103" t="s">
        <v>2342</v>
      </c>
      <c r="OA6" s="103" t="s">
        <v>2343</v>
      </c>
      <c r="OB6" s="103" t="s">
        <v>2344</v>
      </c>
      <c r="OC6" s="103" t="s">
        <v>2345</v>
      </c>
      <c r="OD6" s="103" t="s">
        <v>2346</v>
      </c>
      <c r="OE6" s="103" t="s">
        <v>2347</v>
      </c>
      <c r="OF6" s="103" t="s">
        <v>2348</v>
      </c>
      <c r="OG6" s="103" t="s">
        <v>2349</v>
      </c>
      <c r="OH6" s="103" t="s">
        <v>2350</v>
      </c>
      <c r="OI6" s="103" t="s">
        <v>2351</v>
      </c>
      <c r="OJ6" s="103" t="s">
        <v>2352</v>
      </c>
      <c r="OK6" s="103" t="s">
        <v>2353</v>
      </c>
      <c r="OL6" s="103" t="s">
        <v>2354</v>
      </c>
      <c r="OM6" s="103" t="s">
        <v>2355</v>
      </c>
      <c r="ON6" s="103" t="s">
        <v>2356</v>
      </c>
      <c r="OO6" s="103" t="s">
        <v>2357</v>
      </c>
      <c r="OP6" s="103" t="s">
        <v>2358</v>
      </c>
      <c r="OQ6" s="103" t="s">
        <v>2359</v>
      </c>
      <c r="OR6" s="103" t="s">
        <v>2360</v>
      </c>
      <c r="OS6" s="103" t="s">
        <v>2361</v>
      </c>
      <c r="OT6" s="103" t="s">
        <v>2362</v>
      </c>
      <c r="OU6" s="103" t="s">
        <v>2363</v>
      </c>
      <c r="OV6" s="103" t="s">
        <v>2364</v>
      </c>
      <c r="OW6" s="103" t="s">
        <v>2365</v>
      </c>
      <c r="OX6" s="103" t="s">
        <v>2366</v>
      </c>
      <c r="OY6" s="103" t="s">
        <v>2367</v>
      </c>
      <c r="OZ6" s="103" t="s">
        <v>2368</v>
      </c>
      <c r="PA6" s="103" t="s">
        <v>2369</v>
      </c>
      <c r="PB6" s="103" t="s">
        <v>2370</v>
      </c>
      <c r="PC6" s="103" t="s">
        <v>2371</v>
      </c>
      <c r="PD6" s="103" t="s">
        <v>2372</v>
      </c>
      <c r="PE6" s="103" t="s">
        <v>2373</v>
      </c>
      <c r="PF6" s="103" t="s">
        <v>2374</v>
      </c>
      <c r="PG6" s="103" t="s">
        <v>2375</v>
      </c>
      <c r="PH6" s="103" t="s">
        <v>2376</v>
      </c>
      <c r="PI6" s="103" t="s">
        <v>2377</v>
      </c>
      <c r="PJ6" s="103" t="s">
        <v>2378</v>
      </c>
      <c r="PK6" s="103" t="s">
        <v>2379</v>
      </c>
      <c r="PL6" s="103" t="s">
        <v>2380</v>
      </c>
      <c r="PM6" s="103" t="s">
        <v>2381</v>
      </c>
      <c r="PN6" s="103" t="s">
        <v>2382</v>
      </c>
      <c r="PO6" s="103" t="s">
        <v>2383</v>
      </c>
      <c r="PP6" s="103" t="s">
        <v>2384</v>
      </c>
      <c r="PQ6" s="103" t="s">
        <v>2385</v>
      </c>
      <c r="PR6" s="103" t="s">
        <v>2386</v>
      </c>
      <c r="PS6" s="103" t="s">
        <v>2387</v>
      </c>
      <c r="PT6" s="103" t="s">
        <v>2388</v>
      </c>
      <c r="PU6" s="103" t="s">
        <v>2389</v>
      </c>
      <c r="PV6" s="103" t="s">
        <v>2390</v>
      </c>
      <c r="PW6" s="103" t="s">
        <v>2391</v>
      </c>
      <c r="PX6" s="103" t="s">
        <v>2392</v>
      </c>
      <c r="PY6" s="103" t="s">
        <v>2393</v>
      </c>
      <c r="PZ6" s="103" t="s">
        <v>2394</v>
      </c>
      <c r="QA6" s="103" t="s">
        <v>2395</v>
      </c>
      <c r="QB6" s="103" t="s">
        <v>2396</v>
      </c>
      <c r="QC6" s="103" t="s">
        <v>2397</v>
      </c>
      <c r="QD6" s="103" t="s">
        <v>2398</v>
      </c>
      <c r="QE6" s="103" t="s">
        <v>2399</v>
      </c>
      <c r="QF6" s="103" t="s">
        <v>2400</v>
      </c>
      <c r="QG6" s="103" t="s">
        <v>2401</v>
      </c>
      <c r="QH6" s="103" t="s">
        <v>2402</v>
      </c>
      <c r="QI6" s="103" t="s">
        <v>2403</v>
      </c>
      <c r="QJ6" s="103" t="s">
        <v>2404</v>
      </c>
      <c r="QK6" s="103" t="s">
        <v>2405</v>
      </c>
      <c r="QL6" s="103" t="s">
        <v>2406</v>
      </c>
      <c r="QM6" s="103" t="s">
        <v>2407</v>
      </c>
      <c r="QN6" s="103" t="s">
        <v>2408</v>
      </c>
      <c r="QO6" s="103" t="s">
        <v>2409</v>
      </c>
      <c r="QP6" s="103" t="s">
        <v>2410</v>
      </c>
      <c r="QQ6" s="103" t="s">
        <v>2411</v>
      </c>
      <c r="QR6" s="103" t="s">
        <v>2412</v>
      </c>
      <c r="QS6" s="103" t="s">
        <v>2413</v>
      </c>
      <c r="QT6" s="103" t="s">
        <v>2414</v>
      </c>
      <c r="QU6" s="103" t="s">
        <v>2415</v>
      </c>
      <c r="QV6" s="103" t="s">
        <v>2416</v>
      </c>
      <c r="QW6" s="103" t="s">
        <v>2417</v>
      </c>
      <c r="QX6" s="103" t="s">
        <v>2418</v>
      </c>
      <c r="QY6" s="103" t="s">
        <v>2419</v>
      </c>
      <c r="QZ6" s="103" t="s">
        <v>2420</v>
      </c>
      <c r="RA6" s="103" t="s">
        <v>2421</v>
      </c>
      <c r="RB6" s="103" t="s">
        <v>2422</v>
      </c>
      <c r="RC6" s="103" t="s">
        <v>2423</v>
      </c>
      <c r="RD6" s="103" t="s">
        <v>2424</v>
      </c>
      <c r="RE6" s="103" t="s">
        <v>2425</v>
      </c>
      <c r="RF6" s="103" t="s">
        <v>2426</v>
      </c>
      <c r="RG6" s="103" t="s">
        <v>2427</v>
      </c>
      <c r="RH6" s="103" t="s">
        <v>2428</v>
      </c>
      <c r="RI6" s="103" t="s">
        <v>2429</v>
      </c>
      <c r="RJ6" s="103" t="s">
        <v>2430</v>
      </c>
      <c r="RK6" s="103" t="s">
        <v>2431</v>
      </c>
      <c r="RL6" s="103" t="s">
        <v>2432</v>
      </c>
      <c r="RM6" s="103" t="s">
        <v>2433</v>
      </c>
      <c r="RN6" s="103" t="s">
        <v>2434</v>
      </c>
      <c r="RO6" s="103" t="s">
        <v>2435</v>
      </c>
      <c r="RP6" s="103" t="s">
        <v>2436</v>
      </c>
      <c r="RQ6" s="103" t="s">
        <v>2437</v>
      </c>
      <c r="RR6" s="103" t="s">
        <v>2438</v>
      </c>
      <c r="RS6" s="103" t="s">
        <v>2439</v>
      </c>
      <c r="RT6" s="103" t="s">
        <v>2440</v>
      </c>
      <c r="RU6" s="103" t="s">
        <v>2441</v>
      </c>
      <c r="RV6" s="103" t="s">
        <v>2442</v>
      </c>
      <c r="RW6" s="103" t="s">
        <v>2443</v>
      </c>
      <c r="RX6" s="103" t="s">
        <v>2444</v>
      </c>
      <c r="RY6" s="103" t="s">
        <v>2445</v>
      </c>
      <c r="RZ6" s="103" t="s">
        <v>2446</v>
      </c>
      <c r="SA6" s="103" t="s">
        <v>2447</v>
      </c>
      <c r="SB6" s="103" t="s">
        <v>2448</v>
      </c>
      <c r="SC6" s="103" t="s">
        <v>2449</v>
      </c>
      <c r="SD6" s="103" t="s">
        <v>2450</v>
      </c>
      <c r="SE6" s="103" t="s">
        <v>2451</v>
      </c>
      <c r="SF6" s="103" t="s">
        <v>2452</v>
      </c>
      <c r="SG6" s="103" t="s">
        <v>2453</v>
      </c>
      <c r="SH6" s="103" t="s">
        <v>2454</v>
      </c>
      <c r="SI6" s="103" t="s">
        <v>2455</v>
      </c>
      <c r="SJ6" s="103" t="s">
        <v>2456</v>
      </c>
      <c r="SK6" s="103" t="s">
        <v>2457</v>
      </c>
      <c r="SL6" s="103" t="s">
        <v>2458</v>
      </c>
      <c r="SM6" s="103" t="s">
        <v>2459</v>
      </c>
      <c r="SN6" s="103" t="s">
        <v>2460</v>
      </c>
      <c r="SO6" s="103" t="s">
        <v>2461</v>
      </c>
      <c r="SP6" s="103" t="s">
        <v>2462</v>
      </c>
      <c r="SQ6" s="103" t="s">
        <v>2463</v>
      </c>
      <c r="SR6" s="103" t="s">
        <v>2464</v>
      </c>
      <c r="SS6" s="103" t="s">
        <v>2465</v>
      </c>
      <c r="ST6" s="103" t="s">
        <v>2466</v>
      </c>
      <c r="SU6" s="103" t="s">
        <v>2467</v>
      </c>
      <c r="SV6" s="103" t="s">
        <v>2468</v>
      </c>
      <c r="SW6" s="103" t="s">
        <v>2469</v>
      </c>
      <c r="SX6" s="103" t="s">
        <v>2470</v>
      </c>
      <c r="SY6" s="103" t="s">
        <v>2471</v>
      </c>
      <c r="SZ6" s="103" t="s">
        <v>2472</v>
      </c>
      <c r="TA6" s="103" t="s">
        <v>2473</v>
      </c>
      <c r="TB6" s="103" t="s">
        <v>2474</v>
      </c>
      <c r="TC6" s="103" t="s">
        <v>2475</v>
      </c>
      <c r="TD6" s="103" t="s">
        <v>2476</v>
      </c>
      <c r="TE6" s="103" t="s">
        <v>2477</v>
      </c>
      <c r="TF6" s="103" t="s">
        <v>2478</v>
      </c>
      <c r="TG6" s="103" t="s">
        <v>2479</v>
      </c>
      <c r="TH6" s="103" t="s">
        <v>2480</v>
      </c>
      <c r="TI6" s="103" t="s">
        <v>2481</v>
      </c>
      <c r="TJ6" s="103" t="s">
        <v>2482</v>
      </c>
      <c r="TK6" s="103" t="s">
        <v>2483</v>
      </c>
      <c r="TL6" s="103" t="s">
        <v>2484</v>
      </c>
      <c r="TM6" s="103" t="s">
        <v>2485</v>
      </c>
      <c r="TN6" s="103" t="s">
        <v>2486</v>
      </c>
      <c r="TO6" s="103" t="s">
        <v>2487</v>
      </c>
      <c r="TP6" s="103" t="s">
        <v>2488</v>
      </c>
      <c r="TQ6" s="103" t="s">
        <v>2489</v>
      </c>
      <c r="TR6" s="103" t="s">
        <v>2490</v>
      </c>
      <c r="TS6" s="103" t="s">
        <v>2491</v>
      </c>
      <c r="TT6" s="103" t="s">
        <v>1912</v>
      </c>
      <c r="TU6" s="103" t="s">
        <v>2492</v>
      </c>
      <c r="TV6" s="103" t="s">
        <v>2493</v>
      </c>
      <c r="TW6" s="103" t="s">
        <v>2494</v>
      </c>
      <c r="TX6" s="103" t="s">
        <v>2495</v>
      </c>
      <c r="TY6" s="103" t="s">
        <v>2496</v>
      </c>
      <c r="TZ6" s="103" t="s">
        <v>2497</v>
      </c>
      <c r="UA6" s="103" t="s">
        <v>2498</v>
      </c>
      <c r="UB6" s="103" t="s">
        <v>2499</v>
      </c>
      <c r="UC6" s="103" t="s">
        <v>2500</v>
      </c>
      <c r="UD6" s="103" t="s">
        <v>2501</v>
      </c>
      <c r="UE6" s="103" t="s">
        <v>2502</v>
      </c>
      <c r="UF6" s="103" t="s">
        <v>2503</v>
      </c>
      <c r="UG6" s="103" t="s">
        <v>2504</v>
      </c>
      <c r="UH6" s="103" t="s">
        <v>2505</v>
      </c>
      <c r="UI6" s="103" t="s">
        <v>2506</v>
      </c>
    </row>
    <row r="7" customFormat="false" ht="15" hidden="false" customHeight="true" outlineLevel="0" collapsed="false">
      <c r="A7" s="1" t="s">
        <v>1955</v>
      </c>
      <c r="N7" s="113" t="n">
        <f aca="false">F_CardBal</f>
        <v>0</v>
      </c>
      <c r="Q7" s="113" t="n">
        <f aca="false">F_LoanBal</f>
        <v>0</v>
      </c>
      <c r="S7" s="113" t="n">
        <f aca="false">Init_Free0</f>
        <v>0</v>
      </c>
      <c r="AE7" s="113" t="n">
        <f aca="false">Init_Buf0</f>
        <v>0</v>
      </c>
      <c r="HQ7" s="113" t="n">
        <f aca="false">F_MortBal</f>
        <v>0</v>
      </c>
      <c r="HS7" s="113" t="n">
        <v>0</v>
      </c>
      <c r="QJ7" s="113" t="n">
        <f aca="false">Init_Free1</f>
        <v>0</v>
      </c>
      <c r="QK7" s="113" t="n">
        <f aca="false">Init_Buf0</f>
        <v>0</v>
      </c>
      <c r="QL7" s="113" t="n">
        <f aca="false">Slot1_Pot0</f>
        <v>0</v>
      </c>
      <c r="QP7" s="113" t="n">
        <f aca="false">Slot2_Pot0</f>
        <v>0</v>
      </c>
      <c r="QT7" s="113" t="n">
        <f aca="false">Slot3_Pot0</f>
        <v>0</v>
      </c>
      <c r="QX7" s="113" t="n">
        <f aca="false">Slot4_Pot0</f>
        <v>0</v>
      </c>
      <c r="RB7" s="113" t="n">
        <f aca="false">Slot5_Pot0</f>
        <v>0</v>
      </c>
      <c r="RF7" s="113" t="n">
        <f aca="false">Slot6_Pot0</f>
        <v>0</v>
      </c>
      <c r="RJ7" s="113" t="n">
        <f aca="false">Slot7_Pot0</f>
        <v>0</v>
      </c>
      <c r="RN7" s="113" t="n">
        <f aca="false">Slot8_Pot0</f>
        <v>0</v>
      </c>
      <c r="RR7" s="113" t="n">
        <f aca="false">Slot9_Pot0</f>
        <v>0</v>
      </c>
      <c r="RV7" s="113" t="n">
        <f aca="false">Slot10_Pot0</f>
        <v>0</v>
      </c>
      <c r="RZ7" s="113" t="n">
        <f aca="false">Slot11_Pot0</f>
        <v>0</v>
      </c>
      <c r="SD7" s="113" t="n">
        <f aca="false">Slot12_Pot0</f>
        <v>0</v>
      </c>
      <c r="SH7" s="113" t="n">
        <f aca="false">Slot13_Pot0</f>
        <v>0</v>
      </c>
      <c r="SL7" s="113" t="n">
        <f aca="false">Slot14_Pot0</f>
        <v>0</v>
      </c>
      <c r="SP7" s="113" t="n">
        <f aca="false">Slot15_Pot0</f>
        <v>0</v>
      </c>
      <c r="ST7" s="113" t="n">
        <f aca="false">Slot16_Pot0</f>
        <v>0</v>
      </c>
      <c r="SX7" s="113" t="n">
        <f aca="false">Slot17_Pot0</f>
        <v>0</v>
      </c>
      <c r="TB7" s="113" t="n">
        <f aca="false">Slot18_Pot0</f>
        <v>0</v>
      </c>
      <c r="TF7" s="113" t="n">
        <f aca="false">Slot19_Pot0</f>
        <v>0</v>
      </c>
      <c r="TJ7" s="113" t="n">
        <f aca="false">Slot20_Pot0</f>
        <v>0</v>
      </c>
      <c r="UE7" s="113" t="n">
        <v>0</v>
      </c>
    </row>
    <row r="8" customFormat="false" ht="15" hidden="false" customHeight="true" outlineLevel="0" collapsed="false">
      <c r="B8" s="1" t="n">
        <v>0</v>
      </c>
      <c r="C8" s="1" t="n">
        <f aca="false">IF(B8&lt;=F_N,1,0)</f>
        <v>1</v>
      </c>
      <c r="D8" s="1" t="n">
        <f aca="false">'Plan pay &amp; tax'!C234</f>
        <v>0</v>
      </c>
      <c r="E8" s="114"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4"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4"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4"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4"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4"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4"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4"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4"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4"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4"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4"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4"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4"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4"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4"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4"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4"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4"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4"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4"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4"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4"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4"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4"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4"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4"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4"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4"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4"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4"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4"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4"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4"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4"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4"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4"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4"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4"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4"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4"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4"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4"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4"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4"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4"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4"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4"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4"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4"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4"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4"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4"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4"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4"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4"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4"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4"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4"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4"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4"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4"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4"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4"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4"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4"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4"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4"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4"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4"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4"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4"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4"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4"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4"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4"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4"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4"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4"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4"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4"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4"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4"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4"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4"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4"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4"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4"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4"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4"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3" t="s">
        <v>2507</v>
      </c>
    </row>
    <row r="2" customFormat="false" ht="48" hidden="false" customHeight="true" outlineLevel="0" collapsed="false">
      <c r="B2" s="94" t="s">
        <v>2508</v>
      </c>
      <c r="C2" s="94"/>
      <c r="D2" s="94"/>
      <c r="E2" s="94"/>
      <c r="F2" s="94"/>
      <c r="G2" s="94"/>
      <c r="H2" s="94"/>
      <c r="I2" s="94"/>
      <c r="J2" s="94"/>
      <c r="K2" s="94"/>
      <c r="L2" s="94"/>
    </row>
    <row r="4" customFormat="false" ht="15" hidden="false" customHeight="true" outlineLevel="0" collapsed="false">
      <c r="B4" s="116" t="s">
        <v>2509</v>
      </c>
    </row>
    <row r="5" customFormat="false" ht="45.75" hidden="false" customHeight="true" outlineLevel="0" collapsed="false">
      <c r="B5" s="103" t="s">
        <v>2510</v>
      </c>
      <c r="C5" s="103" t="s">
        <v>2511</v>
      </c>
      <c r="D5" s="103" t="s">
        <v>2512</v>
      </c>
      <c r="E5" s="103" t="s">
        <v>2513</v>
      </c>
      <c r="F5" s="103" t="s">
        <v>2514</v>
      </c>
      <c r="G5" s="103" t="s">
        <v>2515</v>
      </c>
    </row>
    <row r="6" customFormat="false" ht="15" hidden="false" customHeight="true" outlineLevel="0" collapsed="false">
      <c r="B6" s="1" t="s">
        <v>2516</v>
      </c>
      <c r="C6" s="1" t="s">
        <v>2517</v>
      </c>
      <c r="D6" s="1" t="n">
        <v>40000</v>
      </c>
      <c r="E6" s="1" t="n">
        <v>4</v>
      </c>
      <c r="F6" s="1" t="s">
        <v>2518</v>
      </c>
      <c r="G6" s="1" t="s">
        <v>2519</v>
      </c>
    </row>
    <row r="7" customFormat="false" ht="15" hidden="false" customHeight="true" outlineLevel="0" collapsed="false">
      <c r="B7" s="1" t="s">
        <v>2520</v>
      </c>
      <c r="C7" s="1" t="s">
        <v>2521</v>
      </c>
      <c r="D7" s="1" t="n">
        <v>40000</v>
      </c>
      <c r="E7" s="1" t="n">
        <v>0</v>
      </c>
      <c r="F7" s="1" t="s">
        <v>2520</v>
      </c>
      <c r="G7" s="1" t="s">
        <v>1446</v>
      </c>
    </row>
    <row r="8" customFormat="false" ht="15" hidden="false" customHeight="true" outlineLevel="0" collapsed="false">
      <c r="B8" s="1" t="s">
        <v>2522</v>
      </c>
      <c r="C8" s="1" t="s">
        <v>2523</v>
      </c>
      <c r="D8" s="1" t="n">
        <v>15000</v>
      </c>
      <c r="E8" s="1" t="n">
        <v>3</v>
      </c>
      <c r="F8" s="1" t="s">
        <v>2518</v>
      </c>
      <c r="G8" s="1" t="s">
        <v>2524</v>
      </c>
    </row>
    <row r="9" customFormat="false" ht="15" hidden="false" customHeight="true" outlineLevel="0" collapsed="false">
      <c r="B9" s="1" t="s">
        <v>2525</v>
      </c>
      <c r="C9" s="1" t="s">
        <v>2526</v>
      </c>
      <c r="D9" s="1" t="n">
        <v>30000</v>
      </c>
      <c r="E9" s="1" t="n">
        <v>10</v>
      </c>
      <c r="F9" s="1" t="s">
        <v>2518</v>
      </c>
      <c r="G9" s="1" t="s">
        <v>2527</v>
      </c>
    </row>
    <row r="10" customFormat="false" ht="15" hidden="false" customHeight="true" outlineLevel="0" collapsed="false">
      <c r="B10" s="1" t="s">
        <v>2528</v>
      </c>
      <c r="C10" s="1" t="s">
        <v>2529</v>
      </c>
      <c r="D10" s="1" t="n">
        <v>8000</v>
      </c>
      <c r="E10" s="1" t="n">
        <v>2</v>
      </c>
      <c r="F10" s="1" t="s">
        <v>2518</v>
      </c>
      <c r="G10" s="1" t="s">
        <v>2527</v>
      </c>
    </row>
    <row r="11" customFormat="false" ht="15" hidden="false" customHeight="true" outlineLevel="0" collapsed="false">
      <c r="B11" s="1" t="s">
        <v>2530</v>
      </c>
      <c r="C11" s="1" t="s">
        <v>2531</v>
      </c>
      <c r="D11" s="1" t="n">
        <v>25000</v>
      </c>
      <c r="E11" s="1" t="n">
        <v>5</v>
      </c>
      <c r="F11" s="1" t="s">
        <v>2518</v>
      </c>
      <c r="G11" s="1" t="s">
        <v>2527</v>
      </c>
    </row>
    <row r="12" customFormat="false" ht="15" hidden="false" customHeight="true" outlineLevel="0" collapsed="false">
      <c r="B12" s="1" t="s">
        <v>2532</v>
      </c>
      <c r="C12" s="1" t="s">
        <v>2533</v>
      </c>
      <c r="D12" s="1" t="n">
        <v>150000</v>
      </c>
      <c r="E12" s="1" t="n">
        <v>15</v>
      </c>
      <c r="F12" s="1" t="s">
        <v>2532</v>
      </c>
      <c r="G12" s="1" t="s">
        <v>2519</v>
      </c>
    </row>
    <row r="13" customFormat="false" ht="15" hidden="false" customHeight="true" outlineLevel="0" collapsed="false">
      <c r="B13" s="1" t="s">
        <v>2534</v>
      </c>
      <c r="C13" s="1" t="s">
        <v>2535</v>
      </c>
      <c r="D13" s="1" t="n">
        <v>15000</v>
      </c>
      <c r="E13" s="1" t="n">
        <v>2</v>
      </c>
      <c r="F13" s="1" t="s">
        <v>2536</v>
      </c>
      <c r="G13" s="1" t="s">
        <v>2527</v>
      </c>
    </row>
    <row r="14" customFormat="false" ht="15" hidden="false" customHeight="true" outlineLevel="0" collapsed="false">
      <c r="B14" s="1" t="s">
        <v>2537</v>
      </c>
      <c r="C14" s="1" t="s">
        <v>2538</v>
      </c>
      <c r="D14" s="1" t="n">
        <v>50000</v>
      </c>
      <c r="E14" s="1" t="n">
        <v>10</v>
      </c>
      <c r="F14" s="1" t="s">
        <v>2536</v>
      </c>
      <c r="G14" s="1" t="s">
        <v>2539</v>
      </c>
    </row>
    <row r="15" customFormat="false" ht="15" hidden="false" customHeight="true" outlineLevel="0" collapsed="false">
      <c r="B15" s="1" t="s">
        <v>2540</v>
      </c>
      <c r="C15" s="1" t="s">
        <v>2541</v>
      </c>
      <c r="D15" s="1" t="n">
        <v>20000</v>
      </c>
      <c r="E15" s="1" t="n">
        <v>8</v>
      </c>
      <c r="F15" s="1" t="s">
        <v>2518</v>
      </c>
      <c r="G15" s="1" t="s">
        <v>2527</v>
      </c>
    </row>
    <row r="16" customFormat="false" ht="15" hidden="false" customHeight="true" outlineLevel="0" collapsed="false">
      <c r="B16" s="1" t="s">
        <v>2542</v>
      </c>
      <c r="C16" s="1" t="s">
        <v>2543</v>
      </c>
      <c r="D16" s="1" t="n">
        <v>100000</v>
      </c>
      <c r="E16" s="1" t="n">
        <v>0</v>
      </c>
      <c r="F16" s="1" t="s">
        <v>2542</v>
      </c>
      <c r="G16" s="1" t="s">
        <v>2527</v>
      </c>
    </row>
    <row r="17" customFormat="false" ht="15" hidden="false" customHeight="true" outlineLevel="0" collapsed="false">
      <c r="B17" s="1" t="s">
        <v>2544</v>
      </c>
      <c r="C17" s="1" t="s">
        <v>2545</v>
      </c>
      <c r="D17" s="1" t="n">
        <v>25000</v>
      </c>
      <c r="E17" s="1" t="n">
        <v>3</v>
      </c>
      <c r="F17" s="1" t="s">
        <v>2518</v>
      </c>
      <c r="G17" s="1" t="s">
        <v>2527</v>
      </c>
    </row>
    <row r="18" customFormat="false" ht="15" hidden="false" customHeight="true" outlineLevel="0" collapsed="false">
      <c r="B18" s="1" t="s">
        <v>2546</v>
      </c>
      <c r="C18" s="1" t="s">
        <v>2547</v>
      </c>
      <c r="D18" s="1" t="n">
        <v>30000</v>
      </c>
      <c r="E18" s="1" t="n">
        <v>3</v>
      </c>
      <c r="F18" s="1" t="s">
        <v>2518</v>
      </c>
      <c r="G18" s="1" t="s">
        <v>2527</v>
      </c>
    </row>
    <row r="19" customFormat="false" ht="15" hidden="false" customHeight="true" outlineLevel="0" collapsed="false">
      <c r="B19" s="1" t="s">
        <v>2548</v>
      </c>
      <c r="C19" s="1" t="s">
        <v>2549</v>
      </c>
      <c r="D19" s="1" t="n">
        <v>10000</v>
      </c>
      <c r="E19" s="1" t="n">
        <v>5</v>
      </c>
      <c r="F19" s="1" t="s">
        <v>2518</v>
      </c>
      <c r="G19" s="1" t="s">
        <v>2524</v>
      </c>
    </row>
    <row r="20" customFormat="false" ht="15" hidden="false" customHeight="true" outlineLevel="0" collapsed="false">
      <c r="B20" s="1" t="s">
        <v>2550</v>
      </c>
      <c r="C20" s="1" t="s">
        <v>2551</v>
      </c>
      <c r="D20" s="1" t="n">
        <v>10000</v>
      </c>
      <c r="E20" s="1" t="n">
        <v>4</v>
      </c>
      <c r="F20" s="1" t="s">
        <v>2518</v>
      </c>
      <c r="G20" s="1" t="s">
        <v>2527</v>
      </c>
    </row>
    <row r="22" customFormat="false" ht="15" hidden="false" customHeight="true" outlineLevel="0" collapsed="false">
      <c r="B22" s="116" t="s">
        <v>2552</v>
      </c>
    </row>
    <row r="23" customFormat="false" ht="45.75" hidden="false" customHeight="true" outlineLevel="0" collapsed="false">
      <c r="B23" s="103" t="s">
        <v>310</v>
      </c>
      <c r="C23" s="103" t="s">
        <v>2553</v>
      </c>
      <c r="D23" s="103" t="s">
        <v>2514</v>
      </c>
      <c r="E23" s="103" t="s">
        <v>2554</v>
      </c>
      <c r="F23" s="103" t="s">
        <v>2555</v>
      </c>
      <c r="G23" s="103" t="s">
        <v>2556</v>
      </c>
      <c r="H23" s="103" t="s">
        <v>2557</v>
      </c>
      <c r="I23" s="103" t="s">
        <v>2558</v>
      </c>
      <c r="J23" s="103" t="s">
        <v>2559</v>
      </c>
      <c r="K23" s="103" t="s">
        <v>402</v>
      </c>
      <c r="L23" s="103" t="s">
        <v>1510</v>
      </c>
      <c r="M23" s="103" t="s">
        <v>2560</v>
      </c>
      <c r="N23" s="103" t="s">
        <v>2561</v>
      </c>
      <c r="O23" s="103" t="s">
        <v>2562</v>
      </c>
      <c r="P23" s="103" t="s">
        <v>2563</v>
      </c>
    </row>
    <row r="24" customFormat="false" ht="15" hidden="false" customHeight="true" outlineLevel="0" collapsed="false">
      <c r="B24" s="1" t="s">
        <v>1521</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1522</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1523</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1524</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1525</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1526</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1527</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1528</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1529</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1530</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1531</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1532</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1533</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1534</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1535</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1536</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1537</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1538</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1539</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1540</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1541</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1542</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2564</v>
      </c>
      <c r="D47" s="106" t="n">
        <f aca="false">IF(COUNT($M$24:$M$45)&gt;0,1,0)</f>
        <v>0</v>
      </c>
      <c r="E47" s="23"/>
    </row>
    <row r="48" customFormat="false" ht="15" hidden="false" customHeight="true" outlineLevel="0" collapsed="false">
      <c r="B48" s="1" t="s">
        <v>2565</v>
      </c>
      <c r="D48" s="106" t="n">
        <f aca="false">IF(COUNTIF(GL_Kind,"retire")&gt;0,1,0)</f>
        <v>0</v>
      </c>
      <c r="E48" s="23"/>
    </row>
    <row r="49" customFormat="false" ht="15" hidden="false" customHeight="true" outlineLevel="0" collapsed="false">
      <c r="B49" s="1" t="s">
        <v>2566</v>
      </c>
      <c r="D49" s="106" t="n">
        <f aca="false">IFERROR(MATCH("retire",GL_Kind,0),0)</f>
        <v>0</v>
      </c>
      <c r="E49" s="23"/>
    </row>
    <row r="50" customFormat="false" ht="15" hidden="false" customHeight="true" outlineLevel="0" collapsed="false">
      <c r="B50" s="1" t="s">
        <v>2567</v>
      </c>
      <c r="D50" s="106" t="n">
        <f aca="false">IF(RG_Row&gt;0,INDEX(GL_Amount,RG_Row),0)</f>
        <v>0</v>
      </c>
      <c r="E50" s="23"/>
    </row>
    <row r="52" customFormat="false" ht="15" hidden="false" customHeight="true" outlineLevel="0" collapsed="false">
      <c r="B52" s="116" t="s">
        <v>2568</v>
      </c>
    </row>
    <row r="53" customFormat="false" ht="45.75" hidden="false" customHeight="true" outlineLevel="0" collapsed="false">
      <c r="B53" s="103" t="s">
        <v>2569</v>
      </c>
      <c r="C53" s="103" t="s">
        <v>2570</v>
      </c>
      <c r="D53" s="103" t="s">
        <v>2571</v>
      </c>
      <c r="E53" s="103" t="s">
        <v>2553</v>
      </c>
      <c r="F53" s="103" t="s">
        <v>2514</v>
      </c>
      <c r="G53" s="103" t="s">
        <v>2572</v>
      </c>
      <c r="H53" s="103" t="s">
        <v>2573</v>
      </c>
      <c r="I53" s="103" t="s">
        <v>402</v>
      </c>
      <c r="J53" s="103" t="s">
        <v>2574</v>
      </c>
      <c r="K53" s="103" t="s">
        <v>2575</v>
      </c>
      <c r="L53" s="103" t="s">
        <v>2576</v>
      </c>
      <c r="M53" s="103" t="s">
        <v>2577</v>
      </c>
      <c r="N53" s="103" t="s">
        <v>2578</v>
      </c>
      <c r="O53" s="103" t="s">
        <v>2579</v>
      </c>
      <c r="P53" s="103" t="s">
        <v>2580</v>
      </c>
      <c r="Q53" s="103" t="s">
        <v>2581</v>
      </c>
      <c r="R53" s="103" t="s">
        <v>2582</v>
      </c>
      <c r="S53" s="103" t="s">
        <v>2583</v>
      </c>
      <c r="T53" s="103" t="s">
        <v>2584</v>
      </c>
      <c r="U53" s="103" t="s">
        <v>2585</v>
      </c>
      <c r="V53" s="103" t="s">
        <v>2586</v>
      </c>
      <c r="W53" s="103" t="s">
        <v>2587</v>
      </c>
      <c r="X53" s="103" t="s">
        <v>2588</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7"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7"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7"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7"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7"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7"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7"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7"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7"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7"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7"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7"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7"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7"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7"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7"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7"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7"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7"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7"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2589</v>
      </c>
      <c r="D75" s="106" t="n">
        <f aca="false">IF(SUM($O$54:$O$73)&gt;0,1,0)</f>
        <v>0</v>
      </c>
      <c r="E75" s="23"/>
    </row>
    <row r="76" customFormat="false" ht="15" hidden="false" customHeight="true" outlineLevel="0" collapsed="false">
      <c r="B76" s="1" t="s">
        <v>2590</v>
      </c>
      <c r="D76" s="106" t="n">
        <f aca="false">IF(HasSafety=1,0,MIN($T$73,AS_Months*F_EssM))</f>
        <v>0</v>
      </c>
      <c r="E76" s="23"/>
    </row>
    <row r="77" customFormat="false" ht="15" hidden="false" customHeight="true" outlineLevel="0" collapsed="false">
      <c r="B77" s="1" t="s">
        <v>2591</v>
      </c>
      <c r="D77" s="106" t="n">
        <f aca="false">$T$73-Init_Buf0+F_Invest</f>
        <v>0</v>
      </c>
      <c r="E77" s="23"/>
    </row>
    <row r="78" customFormat="false" ht="15" hidden="false" customHeight="true" outlineLevel="0" collapsed="false">
      <c r="B78" s="1" t="s">
        <v>2592</v>
      </c>
      <c r="D78" s="106" t="n">
        <f aca="false">$W$73</f>
        <v>0</v>
      </c>
      <c r="E78" s="23"/>
    </row>
    <row r="79" customFormat="false" ht="15" hidden="false" customHeight="true" outlineLevel="0" collapsed="false">
      <c r="B79" s="1" t="s">
        <v>2593</v>
      </c>
      <c r="D79" s="106" t="n">
        <f aca="false">(1-AS_InvShare)*AS_Cash+AS_InvShare*AS_Inv</f>
        <v>0.0164</v>
      </c>
      <c r="E79" s="23"/>
    </row>
    <row r="80" customFormat="false" ht="15" hidden="false" customHeight="true" outlineLevel="0" collapsed="false">
      <c r="B80" s="1" t="s">
        <v>2594</v>
      </c>
      <c r="D80" s="106" t="n">
        <f aca="false">SUM($G$24:$G$45)</f>
        <v>0</v>
      </c>
      <c r="E80" s="23"/>
    </row>
    <row r="81" customFormat="false" ht="15" hidden="false" customHeight="true" outlineLevel="0" collapsed="false">
      <c r="B81" s="1" t="s">
        <v>2595</v>
      </c>
      <c r="D81" s="106" t="n">
        <f aca="false">IF(Slots_Funded&gt;20,1,0)</f>
        <v>0</v>
      </c>
      <c r="E81" s="23"/>
    </row>
    <row r="82" customFormat="false" ht="15" hidden="false" customHeight="true" outlineLevel="0" collapsed="false">
      <c r="B82" s="1" t="s">
        <v>2596</v>
      </c>
      <c r="D82" s="106" t="n">
        <f aca="false">COUNTIF(GL_Key,"?*")</f>
        <v>0</v>
      </c>
      <c r="E82" s="23"/>
    </row>
    <row r="83" customFormat="false" ht="15" hidden="false" customHeight="true" outlineLevel="0" collapsed="false">
      <c r="B83" s="1" t="s">
        <v>2597</v>
      </c>
      <c r="D83" s="106"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6" t="s">
        <v>2598</v>
      </c>
    </row>
    <row r="86" customFormat="false" ht="45.75" hidden="false" customHeight="true" outlineLevel="0" collapsed="false">
      <c r="B86" s="103" t="s">
        <v>2569</v>
      </c>
      <c r="C86" s="103" t="s">
        <v>2599</v>
      </c>
      <c r="D86" s="103" t="s">
        <v>2600</v>
      </c>
      <c r="E86" s="103" t="s">
        <v>2601</v>
      </c>
      <c r="F86" s="103" t="s">
        <v>2602</v>
      </c>
      <c r="G86" s="103" t="s">
        <v>2603</v>
      </c>
      <c r="H86" s="103" t="s">
        <v>2604</v>
      </c>
      <c r="I86" s="103" t="s">
        <v>2605</v>
      </c>
      <c r="J86" s="103" t="s">
        <v>2606</v>
      </c>
      <c r="K86" s="103" t="s">
        <v>2607</v>
      </c>
      <c r="L86" s="103" t="s">
        <v>2608</v>
      </c>
      <c r="M86" s="103" t="s">
        <v>2609</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6" t="s">
        <v>2610</v>
      </c>
    </row>
    <row r="109" customFormat="false" ht="90" hidden="false" customHeight="true" outlineLevel="0" collapsed="false">
      <c r="B109" s="103" t="s">
        <v>310</v>
      </c>
      <c r="C109" s="103" t="s">
        <v>2554</v>
      </c>
      <c r="D109" s="103" t="s">
        <v>2514</v>
      </c>
      <c r="E109" s="103" t="s">
        <v>2611</v>
      </c>
      <c r="F109" s="103" t="s">
        <v>2612</v>
      </c>
      <c r="G109" s="103" t="s">
        <v>2601</v>
      </c>
      <c r="H109" s="103" t="s">
        <v>2613</v>
      </c>
      <c r="I109" s="103" t="s">
        <v>2563</v>
      </c>
      <c r="J109" s="103" t="s">
        <v>2614</v>
      </c>
      <c r="K109" s="103" t="s">
        <v>2615</v>
      </c>
      <c r="L109" s="103" t="s">
        <v>2616</v>
      </c>
      <c r="M109" s="103" t="s">
        <v>2617</v>
      </c>
      <c r="N109" s="103" t="s">
        <v>2558</v>
      </c>
      <c r="O109" s="103" t="s">
        <v>2618</v>
      </c>
      <c r="P109" s="103" t="s">
        <v>2619</v>
      </c>
      <c r="Q109" s="103" t="s">
        <v>2553</v>
      </c>
      <c r="R109" s="103" t="s">
        <v>2620</v>
      </c>
      <c r="S109" s="103" t="s">
        <v>2515</v>
      </c>
      <c r="T109" s="103" t="s">
        <v>2621</v>
      </c>
      <c r="U109" s="103" t="s">
        <v>2622</v>
      </c>
      <c r="V109" s="103" t="s">
        <v>2623</v>
      </c>
      <c r="W109" s="103" t="s">
        <v>2624</v>
      </c>
      <c r="X109" s="103" t="s">
        <v>2625</v>
      </c>
      <c r="Y109" s="103" t="s">
        <v>2626</v>
      </c>
      <c r="Z109" s="103" t="s">
        <v>2627</v>
      </c>
      <c r="AA109" s="103" t="s">
        <v>2628</v>
      </c>
      <c r="AB109" s="103" t="s">
        <v>2629</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7"/>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7"/>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7"/>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7"/>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7"/>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7"/>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7"/>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7"/>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7"/>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7"/>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7"/>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7"/>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7"/>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7"/>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7"/>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7"/>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7"/>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7"/>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7"/>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7"/>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7"/>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7"/>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7"/>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7"/>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7"/>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7"/>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7"/>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7"/>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7"/>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7"/>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7"/>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7"/>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7"/>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7"/>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7"/>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7"/>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7"/>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7"/>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7"/>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7"/>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7"/>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7"/>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7"/>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7"/>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3" t="s">
        <v>2630</v>
      </c>
    </row>
    <row r="2" customFormat="false" ht="48" hidden="false" customHeight="true" outlineLevel="0" collapsed="false">
      <c r="B2" s="94" t="s">
        <v>2631</v>
      </c>
      <c r="C2" s="94"/>
      <c r="D2" s="94"/>
      <c r="E2" s="94"/>
      <c r="F2" s="94"/>
      <c r="G2" s="94"/>
      <c r="H2" s="94"/>
    </row>
    <row r="3" customFormat="false" ht="30" hidden="false" customHeight="true" outlineLevel="0" collapsed="false">
      <c r="B3" s="95" t="str">
        <f aca="false">Warn_Goals</f>
        <v/>
      </c>
      <c r="C3" s="95"/>
      <c r="D3" s="95"/>
      <c r="E3" s="95"/>
      <c r="F3" s="95"/>
      <c r="G3" s="95"/>
      <c r="H3" s="95"/>
    </row>
    <row r="4" customFormat="false" ht="15" hidden="false" customHeight="true" outlineLevel="0" collapsed="false">
      <c r="B4" s="96" t="s">
        <v>2632</v>
      </c>
      <c r="C4" s="96" t="s">
        <v>1545</v>
      </c>
    </row>
    <row r="5" customFormat="false" ht="15" hidden="false" customHeight="true" outlineLevel="0" collapsed="false">
      <c r="B5" s="1" t="s">
        <v>2633</v>
      </c>
      <c r="C5" s="106" t="n">
        <f aca="false">ROUND(IF(F_Age&lt;F_R,('Plan cashflow'!$QH$8+'Plan cashflow'!$QI$8)/12,0),0)</f>
        <v>0</v>
      </c>
    </row>
    <row r="6" customFormat="false" ht="15" hidden="false" customHeight="true" outlineLevel="0" collapsed="false">
      <c r="B6" s="1" t="s">
        <v>2634</v>
      </c>
      <c r="C6" s="106" t="n">
        <f aca="false">ROUND('Plan cashflow'!$QH$8/12,0)</f>
        <v>0</v>
      </c>
    </row>
    <row r="7" customFormat="false" ht="15" hidden="false" customHeight="true" outlineLevel="0" collapsed="false">
      <c r="B7" s="1" t="s">
        <v>2635</v>
      </c>
      <c r="C7" s="106" t="n">
        <f aca="false">'Plan cashflow'!$HS$8</f>
        <v>0</v>
      </c>
    </row>
    <row r="8" customFormat="false" ht="15" hidden="false" customHeight="true" outlineLevel="0" collapsed="false">
      <c r="B8" s="1" t="s">
        <v>2636</v>
      </c>
      <c r="C8" s="106" t="n">
        <f aca="false">SUM('Plan cashflow'!$UI$8:$UI$97)</f>
        <v>0</v>
      </c>
    </row>
    <row r="9" customFormat="false" ht="15" hidden="false" customHeight="true" outlineLevel="0" collapsed="false">
      <c r="B9" s="1" t="s">
        <v>2637</v>
      </c>
      <c r="C9" s="106" t="n">
        <f aca="false">SUM('Plan cashflow'!$TU$8:$TU$97)</f>
        <v>0</v>
      </c>
    </row>
    <row r="11" customFormat="false" ht="15" hidden="false" customHeight="true" outlineLevel="0" collapsed="false">
      <c r="B11" s="96" t="s">
        <v>2638</v>
      </c>
      <c r="C11" s="96" t="s">
        <v>1545</v>
      </c>
    </row>
    <row r="12" customFormat="false" ht="15" hidden="false" customHeight="true" outlineLevel="0" collapsed="false">
      <c r="B12" s="116" t="s">
        <v>127</v>
      </c>
      <c r="C12" s="116" t="s">
        <v>2639</v>
      </c>
      <c r="D12" s="116" t="s">
        <v>2510</v>
      </c>
      <c r="E12" s="116" t="s">
        <v>2640</v>
      </c>
      <c r="F12" s="116" t="s">
        <v>2641</v>
      </c>
      <c r="G12" s="116" t="s">
        <v>2642</v>
      </c>
    </row>
    <row r="13" customFormat="false" ht="15" hidden="false" customHeight="true" outlineLevel="0" collapsed="false">
      <c r="B13" s="1" t="s">
        <v>2643</v>
      </c>
      <c r="C13" s="106" t="n">
        <f aca="false">IF(Has_age=0,1,0)</f>
        <v>1</v>
      </c>
      <c r="D13" s="1" t="s">
        <v>739</v>
      </c>
      <c r="E13" s="1" t="s">
        <v>2644</v>
      </c>
      <c r="F13" s="1" t="str">
        <f aca="false">""&amp;IF(C13=1,IF(""="","",",")&amp;D13,"")</f>
        <v>age</v>
      </c>
      <c r="G13" s="1" t="str">
        <f aca="false">""&amp;IF(C13=1,IF(""="","",", ")&amp;E13,"")</f>
        <v>Your date of birth</v>
      </c>
    </row>
    <row r="14" customFormat="false" ht="15" hidden="false" customHeight="true" outlineLevel="0" collapsed="false">
      <c r="B14" s="1" t="s">
        <v>2645</v>
      </c>
      <c r="C14" s="106" t="n">
        <f aca="false">IF(AND(F_Partner=1,NOT(ISBLANK('Plan inputs'!C31)),Has_pAge=0),1,0)</f>
        <v>0</v>
      </c>
      <c r="D14" s="1" t="s">
        <v>2646</v>
      </c>
      <c r="E14" s="1" t="s">
        <v>2647</v>
      </c>
      <c r="F14" s="1" t="str">
        <f aca="false">F13&amp;IF(C14=1,IF(F13="","",",")&amp;D14,"")</f>
        <v>age</v>
      </c>
      <c r="G14" s="1" t="str">
        <f aca="false">G13&amp;IF(C14=1,IF(G13="","",", ")&amp;E14,"")</f>
        <v>Your date of birth</v>
      </c>
    </row>
    <row r="15" customFormat="false" ht="15" hidden="false" customHeight="true" outlineLevel="0" collapsed="false">
      <c r="B15" s="1" t="s">
        <v>2648</v>
      </c>
      <c r="C15" s="106" t="n">
        <f aca="false">IF(Has_retireAge=0,1,0)</f>
        <v>1</v>
      </c>
      <c r="D15" s="1" t="s">
        <v>2649</v>
      </c>
      <c r="E15" s="1" t="s">
        <v>808</v>
      </c>
      <c r="F15" s="1" t="str">
        <f aca="false">F14&amp;IF(C15=1,IF(F14="","",",")&amp;D15,"")</f>
        <v>age,retireAge</v>
      </c>
      <c r="G15" s="1" t="str">
        <f aca="false">G14&amp;IF(C15=1,IF(G14="","",", ")&amp;E15,"")</f>
        <v>Your date of birth, Retirement age</v>
      </c>
    </row>
    <row r="16" customFormat="false" ht="15" hidden="false" customHeight="true" outlineLevel="0" collapsed="false">
      <c r="B16" s="1" t="s">
        <v>2650</v>
      </c>
      <c r="C16" s="106" t="n">
        <f aca="false">IF(Has_a_planEnd=0,1,0)</f>
        <v>1</v>
      </c>
      <c r="D16" s="1" t="s">
        <v>2651</v>
      </c>
      <c r="E16" s="1" t="s">
        <v>1803</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2652</v>
      </c>
      <c r="C17" s="106" t="n">
        <f aca="false">IF(Has_infl=0,1,0)</f>
        <v>1</v>
      </c>
      <c r="D17" s="1" t="s">
        <v>2653</v>
      </c>
      <c r="E17" s="1" t="s">
        <v>2654</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2655</v>
      </c>
      <c r="C18" s="106" t="n">
        <f aca="false">IF(AND(F_Partner=1,In_pIncome&gt;0,Has_pRet=0),1,0)</f>
        <v>0</v>
      </c>
      <c r="D18" s="1" t="s">
        <v>2656</v>
      </c>
      <c r="E18" s="1" t="s">
        <v>2657</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2658</v>
      </c>
      <c r="C19" s="106" t="n">
        <f aca="false">SUM($C$13:$C$18)</f>
        <v>4</v>
      </c>
    </row>
    <row r="20" customFormat="false" ht="15" hidden="false" customHeight="true" outlineLevel="0" collapsed="false">
      <c r="B20" s="1" t="s">
        <v>2659</v>
      </c>
      <c r="C20" s="106" t="str">
        <f aca="false">F18</f>
        <v>age,retireAge,planEnd,infl</v>
      </c>
    </row>
    <row r="21" customFormat="false" ht="15" hidden="false" customHeight="true" outlineLevel="0" collapsed="false">
      <c r="B21" s="1" t="s">
        <v>2660</v>
      </c>
      <c r="C21" s="106" t="str">
        <f aca="false">G18</f>
        <v>Your date of birth, Retirement age, Plan until age, Inflation</v>
      </c>
    </row>
    <row r="22" customFormat="false" ht="15" hidden="false" customHeight="true" outlineLevel="0" collapsed="false">
      <c r="B22" s="1" t="s">
        <v>2661</v>
      </c>
      <c r="C22" s="106" t="str">
        <f aca="false">IF(Gate_Count=0,"","To see your results we need "&amp;Gate_Count&amp;IF(Gate_Count=1," thing"," things"))</f>
        <v>To see your results we need 4 things</v>
      </c>
    </row>
    <row r="23" customFormat="false" ht="15" hidden="false" customHeight="true" outlineLevel="0" collapsed="false">
      <c r="B23" s="1" t="s">
        <v>2662</v>
      </c>
      <c r="C23" s="106" t="str">
        <f aca="false">IF(Gate_Count=0,"",IFERROR(INDEX($B$13:$B$18,MATCH(1,$C$13:$C$18,0)),""))</f>
        <v>date of birth (age 18 to 80 today)</v>
      </c>
    </row>
    <row r="24" customFormat="false" ht="15" hidden="false" customHeight="true" outlineLevel="0" collapsed="false">
      <c r="B24" s="1" t="s">
        <v>2663</v>
      </c>
      <c r="C24" s="106" t="str">
        <f aca="false">IF(Gate_Count=0,"","Choose your "&amp;Gate_FirstLabel&amp;" to see this")</f>
        <v>Choose your date of birth (age 18 to 80 today) to see this</v>
      </c>
    </row>
    <row r="25" customFormat="false" ht="15" hidden="false" customHeight="true" outlineLevel="0" collapsed="false">
      <c r="B25" s="1" t="s">
        <v>2664</v>
      </c>
      <c r="C25" s="106" t="n">
        <f aca="false">IF(Gate_Count=0,1,0)</f>
        <v>0</v>
      </c>
    </row>
    <row r="26" customFormat="false" ht="15" hidden="false" customHeight="true" outlineLevel="0" collapsed="false">
      <c r="B26" s="1" t="s">
        <v>2665</v>
      </c>
      <c r="C26" s="106" t="n">
        <f aca="false">3+IF(AND(F_Partner=1,In_pIncome&gt;0),1,0)</f>
        <v>3</v>
      </c>
    </row>
    <row r="27" customFormat="false" ht="15" hidden="false" customHeight="true" outlineLevel="0" collapsed="false">
      <c r="B27" s="1" t="s">
        <v>2666</v>
      </c>
      <c r="C27" s="106" t="str">
        <f aca="false">IF(Req_Got=Req_Count,"All "&amp;Req_Count&amp;" chosen","Choose "&amp;Req_Count&amp;" things")</f>
        <v>Choose 3 things</v>
      </c>
    </row>
    <row r="28" customFormat="false" ht="15" hidden="false" customHeight="true" outlineLevel="0" collapsed="false">
      <c r="B28" s="1" t="s">
        <v>2667</v>
      </c>
      <c r="C28" s="106" t="n">
        <f aca="false">Req_Count-(C17+C15+C16+C18)</f>
        <v>0</v>
      </c>
    </row>
    <row r="30" customFormat="false" ht="15" hidden="false" customHeight="true" outlineLevel="0" collapsed="false">
      <c r="B30" s="96" t="s">
        <v>2668</v>
      </c>
      <c r="C30" s="96" t="s">
        <v>1545</v>
      </c>
    </row>
    <row r="31" customFormat="false" ht="15" hidden="false" customHeight="true" outlineLevel="0" collapsed="false">
      <c r="B31" s="1" t="s">
        <v>2669</v>
      </c>
      <c r="C31" s="106" t="n">
        <f aca="false">IF(SUM('Plan cashflow'!$UF$8:$UF$97)&gt;0,1,0)</f>
        <v>0</v>
      </c>
    </row>
    <row r="32" customFormat="false" ht="15" hidden="false" customHeight="true" outlineLevel="0" collapsed="false">
      <c r="B32" s="1" t="s">
        <v>2670</v>
      </c>
      <c r="C32" s="106" t="str">
        <f aca="false">IF(COUNT(GR_Best)&gt;0,MAX(GR_Best),"")</f>
        <v/>
      </c>
    </row>
    <row r="33" customFormat="false" ht="15" hidden="false" customHeight="true" outlineLevel="0" collapsed="false">
      <c r="B33" s="1" t="s">
        <v>2671</v>
      </c>
      <c r="C33" s="106" t="n">
        <f aca="false">IF(Find_BestScore="",0,MATCH(Find_BestScore,GR_Best,0))</f>
        <v>0</v>
      </c>
    </row>
    <row r="34" customFormat="false" ht="15" hidden="false" customHeight="true" outlineLevel="0" collapsed="false">
      <c r="B34" s="1" t="s">
        <v>2672</v>
      </c>
      <c r="C34" s="106" t="n">
        <f aca="false">IF(COUNT(GR_Worst)&gt;0,MATCH(MIN(GR_Worst),GR_Worst,0),0)</f>
        <v>0</v>
      </c>
    </row>
    <row r="35" customFormat="false" ht="15" hidden="false" customHeight="true" outlineLevel="0" collapsed="false">
      <c r="B35" s="1" t="s">
        <v>2673</v>
      </c>
      <c r="C35" s="106" t="str">
        <f aca="false">IF(Find_WorstIdx&gt;0,INDEX(GR_Pct,Find_WorstIdx),"")</f>
        <v/>
      </c>
    </row>
    <row r="36" customFormat="false" ht="15" hidden="false" customHeight="true" outlineLevel="0" collapsed="false">
      <c r="B36" s="1" t="s">
        <v>2674</v>
      </c>
      <c r="C36" s="106" t="str">
        <f aca="false">IF(Find_WorstIdx&gt;0,INDEX(GR_Name,Find_WorstIdx),"")</f>
        <v/>
      </c>
    </row>
    <row r="37" customFormat="false" ht="15" hidden="false" customHeight="true" outlineLevel="0" collapsed="false">
      <c r="B37" s="1" t="s">
        <v>2675</v>
      </c>
      <c r="C37" s="97"/>
    </row>
    <row r="38" customFormat="false" ht="15" hidden="false" customHeight="true" outlineLevel="0" collapsed="false">
      <c r="B38" s="1" t="s">
        <v>2676</v>
      </c>
      <c r="C38" s="106" t="str">
        <f aca="false">IF(ISBLANK(Find_ExtraFor),IF(Fill_Example="Yes","none",""),Find_ExtraFor)</f>
        <v/>
      </c>
    </row>
    <row r="39" customFormat="false" ht="15" hidden="false" customHeight="true" outlineLevel="0" collapsed="false">
      <c r="B39" s="1" t="s">
        <v>2677</v>
      </c>
      <c r="C39" s="106"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2678</v>
      </c>
      <c r="C40" s="106" t="str">
        <f aca="false">IF(Find_WorstIdx=0,"",IF(Find_WorstPct&gt;=PR_Good,"No big gaps right now",Find_WorstName&amp;" is "&amp;Find_WorstPct&amp;"% covered"))</f>
        <v/>
      </c>
    </row>
    <row r="41" customFormat="false" ht="15" hidden="false" customHeight="true" outlineLevel="0" collapsed="false">
      <c r="B41" s="1" t="s">
        <v>2679</v>
      </c>
      <c r="C41" s="106"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6" t="s">
        <v>2680</v>
      </c>
      <c r="C43" s="96" t="s">
        <v>1545</v>
      </c>
    </row>
    <row r="44" customFormat="false" ht="15" hidden="false" customHeight="true" outlineLevel="0" collapsed="false">
      <c r="B44" s="1" t="s">
        <v>2681</v>
      </c>
      <c r="C44" s="106" t="n">
        <f aca="false">F_R-F_Age</f>
        <v>66</v>
      </c>
    </row>
    <row r="45" customFormat="false" ht="15" hidden="false" customHeight="true" outlineLevel="0" collapsed="false">
      <c r="B45" s="1" t="s">
        <v>2682</v>
      </c>
      <c r="C45" s="106" t="n">
        <f aca="false">IF(AND(Ret_Year&gt;=0,Ret_Year&lt;=F_N),INDEX('Plan pay &amp; tax'!$S$234:$S$323,Ret_Year+1),"")</f>
        <v>0</v>
      </c>
    </row>
    <row r="46" customFormat="false" ht="15" hidden="false" customHeight="true" outlineLevel="0" collapsed="false">
      <c r="B46" s="1" t="s">
        <v>2683</v>
      </c>
      <c r="C46" s="106" t="n">
        <f aca="false">IF(AND(Ret_Year&gt;=0,Ret_Year&lt;=F_N),INDEX('Plan cashflow'!$G$8:$G$97,Ret_Year+1)/INDEX('Plan cashflow'!$E$8:$E$97,Ret_Year+1)/12,"")</f>
        <v>1037.57333333333</v>
      </c>
    </row>
    <row r="47" customFormat="false" ht="15" hidden="false" customHeight="true" outlineLevel="0" collapsed="false">
      <c r="B47" s="1" t="s">
        <v>2684</v>
      </c>
      <c r="C47" s="106" t="n">
        <f aca="false">IF(AND(Ret_Year&gt;=0,Ret_Year&lt;=F_N),INDEX('Plan pay &amp; tax'!$Y$234:$Y$323,F_V-F_Age+1),0)</f>
        <v>0</v>
      </c>
    </row>
    <row r="49" customFormat="false" ht="15" hidden="false" customHeight="true" outlineLevel="0" collapsed="false">
      <c r="B49" s="96" t="s">
        <v>2685</v>
      </c>
      <c r="C49" s="96" t="s">
        <v>1545</v>
      </c>
    </row>
    <row r="50" customFormat="false" ht="15" hidden="false" customHeight="true" outlineLevel="0" collapsed="false">
      <c r="B50" s="1" t="s">
        <v>2686</v>
      </c>
      <c r="C50" s="106"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2687</v>
      </c>
      <c r="C51" s="106"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2688</v>
      </c>
      <c r="C52" s="106" t="str">
        <f aca="false">IF(AND(Has_cash=1,Has_costsM=1,F_EssM&gt;0),IF(F_Cash/F_EssM&gt;=AS_Months,"ok",IF(F_Cash/F_EssM&gt;=3,"mid","bad")),"na")</f>
        <v>na</v>
      </c>
    </row>
    <row r="53" customFormat="false" ht="15" hidden="false" customHeight="true" outlineLevel="0" collapsed="false">
      <c r="B53" s="1" t="s">
        <v>2689</v>
      </c>
      <c r="C53" s="106"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2690</v>
      </c>
      <c r="C54" s="106" t="n">
        <f aca="false">IF(OR(F_CardPayM&lt;=F_CardBal*D_iC,F_CardPayM&lt;=0),1E+099,CEILING(ROUND(IF(D_iC&lt;&gt;0,-LN(1-F_CardBal*D_iC/F_CardPayM)/LN(1+D_iC),F_CardBal/F_CardPayM)*1000000,0)/1000000,1))</f>
        <v>1E+099</v>
      </c>
    </row>
    <row r="55" customFormat="false" ht="15" hidden="false" customHeight="true" outlineLevel="0" collapsed="false">
      <c r="B55" s="1" t="s">
        <v>2691</v>
      </c>
      <c r="C55" s="106" t="n">
        <f aca="false">IF(OR(F_LoanPayM&lt;=F_LoanBal*D_iL,F_LoanPayM&lt;=0),1E+099,CEILING(ROUND(IF(D_iL&lt;&gt;0,-LN(1-F_LoanBal*D_iL/F_LoanPayM)/LN(1+D_iL),F_LoanBal/F_LoanPayM)*1000000,0)/1000000,1))</f>
        <v>1E+099</v>
      </c>
    </row>
    <row r="56" customFormat="false" ht="15" hidden="false" customHeight="true" outlineLevel="0" collapsed="false">
      <c r="B56" s="1" t="s">
        <v>2692</v>
      </c>
      <c r="C56" s="106" t="n">
        <f aca="false">IF(OR(Has_cardBal=1,Has_loanBal=1,Has_debt=1),1,0)</f>
        <v>0</v>
      </c>
    </row>
    <row r="57" customFormat="false" ht="15" hidden="false" customHeight="true" outlineLevel="0" collapsed="false">
      <c r="B57" s="1" t="s">
        <v>2693</v>
      </c>
      <c r="C57" s="106" t="str">
        <f aca="false">IF(AND(L3_Debt=1,F_CardBal&gt;1),IF(L3_CardM&lt;=12,"mid","bad"),"")</f>
        <v/>
      </c>
    </row>
    <row r="58" customFormat="false" ht="15" hidden="false" customHeight="true" outlineLevel="0" collapsed="false">
      <c r="B58" s="1" t="s">
        <v>2694</v>
      </c>
      <c r="C58" s="106"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2695</v>
      </c>
      <c r="C59" s="106" t="str">
        <f aca="false">IF(AND(L3_Debt=1,F_LoanBal&gt;1),IF(L3_LoanM&lt;=24,"mid","bad"),"")</f>
        <v/>
      </c>
    </row>
    <row r="60" customFormat="false" ht="15" hidden="false" customHeight="true" outlineLevel="0" collapsed="false">
      <c r="B60" s="1" t="s">
        <v>2696</v>
      </c>
      <c r="C60" s="106"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2697</v>
      </c>
      <c r="C61" s="106" t="str">
        <f aca="false">IF(AND(L3_Debt=1,F_Debt&lt;=1),"ok","")</f>
        <v/>
      </c>
    </row>
    <row r="62" customFormat="false" ht="15" hidden="false" customHeight="true" outlineLevel="0" collapsed="false">
      <c r="B62" s="1" t="s">
        <v>2698</v>
      </c>
      <c r="C62" s="106" t="str">
        <f aca="false">IF(L3_NoDebtSt="","","No costly debt")</f>
        <v/>
      </c>
    </row>
    <row r="63" customFormat="false" ht="15" hidden="false" customHeight="true" outlineLevel="0" collapsed="false">
      <c r="B63" s="1" t="s">
        <v>2699</v>
      </c>
      <c r="C63" s="106" t="n">
        <f aca="false">IF(In_workCover="Yes",Cover_Work_Total,0)</f>
        <v>0</v>
      </c>
    </row>
    <row r="64" customFormat="false" ht="15" hidden="false" customHeight="true" outlineLevel="0" collapsed="false">
      <c r="B64" s="1" t="s">
        <v>2700</v>
      </c>
      <c r="C64" s="106" t="n">
        <f aca="false">IF(In_life="Yes",Cover_Life_Total,0)</f>
        <v>0</v>
      </c>
    </row>
    <row r="65" customFormat="false" ht="15" hidden="false" customHeight="true" outlineLevel="0" collapsed="false">
      <c r="B65" s="1" t="s">
        <v>2701</v>
      </c>
      <c r="C65" s="106" t="n">
        <f aca="false">IF(OR(F_Partner=1,In_deps&gt;0),1,0)</f>
        <v>0</v>
      </c>
    </row>
    <row r="66" customFormat="false" ht="15" hidden="false" customHeight="true" outlineLevel="0" collapsed="false">
      <c r="B66" s="1" t="s">
        <v>2702</v>
      </c>
      <c r="C66" s="106" t="str">
        <f aca="false">IF(L3_NeedLife=0,"",IF(Has_life=0,"na",IF(OR(In_life="Yes",L3_CoverWork&gt;0),"ok",IF(In_life="No","bad","mid"))))</f>
        <v/>
      </c>
    </row>
    <row r="67" customFormat="false" ht="15" hidden="false" customHeight="true" outlineLevel="0" collapsed="false">
      <c r="B67" s="1" t="s">
        <v>2703</v>
      </c>
      <c r="C67" s="106"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2704</v>
      </c>
      <c r="C68" s="106" t="str">
        <f aca="false">IF(AND(In_work&lt;&gt;"",In_work&lt;&gt;"Not working"),IF(Has_ip=0,"na",IF(In_ip="Yes","ok","mid")),"")</f>
        <v/>
      </c>
    </row>
    <row r="69" customFormat="false" ht="15" hidden="false" customHeight="true" outlineLevel="0" collapsed="false">
      <c r="B69" s="1" t="s">
        <v>2705</v>
      </c>
      <c r="C69" s="106"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2706</v>
      </c>
      <c r="C70" s="106"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2707</v>
      </c>
      <c r="C71" s="106"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2708</v>
      </c>
      <c r="C72" s="106"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2709</v>
      </c>
      <c r="C73" s="106" t="n">
        <f aca="false">SUMPRODUCT((GR_Key&lt;&gt;"")*(GR_Kind&lt;&gt;"legacy"))</f>
        <v>0</v>
      </c>
    </row>
    <row r="74" customFormat="false" ht="15" hidden="false" customHeight="true" outlineLevel="0" collapsed="false">
      <c r="B74" s="1" t="s">
        <v>2710</v>
      </c>
      <c r="C74" s="106" t="n">
        <f aca="false">SUMPRODUCT((GR_Key&lt;&gt;"")*(GR_Kind&lt;&gt;"legacy")*(GR_PctN&gt;=PR_Good))</f>
        <v>0</v>
      </c>
    </row>
    <row r="75" customFormat="false" ht="15" hidden="false" customHeight="true" outlineLevel="0" collapsed="false">
      <c r="B75" s="1" t="s">
        <v>2711</v>
      </c>
      <c r="C75" s="106" t="n">
        <f aca="false">SUMPRODUCT((GR_Key&lt;&gt;"")*(GR_Kind&lt;&gt;"legacy")*(GR_PctN&lt;PR_LowPct))</f>
        <v>0</v>
      </c>
    </row>
    <row r="76" customFormat="false" ht="15" hidden="false" customHeight="true" outlineLevel="0" collapsed="false">
      <c r="B76" s="1" t="s">
        <v>2712</v>
      </c>
      <c r="C76" s="106" t="n">
        <f aca="false">IF(OR(F_PenM&gt;0,IF(RG_Exists=1,INDEX(GR_PctN,RG_Row)&gt;=PR_Good,FALSE())),1,0)</f>
        <v>0</v>
      </c>
    </row>
    <row r="77" customFormat="false" ht="15" hidden="false" customHeight="true" outlineLevel="0" collapsed="false">
      <c r="B77" s="1" t="s">
        <v>2713</v>
      </c>
      <c r="C77" s="106" t="str">
        <f aca="false">IF(L4_N=0,"na",IF(L4_Low&gt;L4_N/2,"bad",IF(AND(L4_On=L4_N,L4_PenOn=1),"ok","mid")))</f>
        <v>na</v>
      </c>
    </row>
    <row r="78" customFormat="false" ht="15" hidden="false" customHeight="true" outlineLevel="0" collapsed="false">
      <c r="B78" s="1" t="s">
        <v>2714</v>
      </c>
      <c r="C78" s="106"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2715</v>
      </c>
      <c r="C79" s="106" t="n">
        <f aca="false">SUMPRODUCT((GR_Key&lt;&gt;"")*((GR_Key="wealth")+(GR_Kind="legacy")&gt;0))</f>
        <v>0</v>
      </c>
    </row>
    <row r="80" customFormat="false" ht="15" hidden="false" customHeight="true" outlineLevel="0" collapsed="false">
      <c r="B80" s="1" t="s">
        <v>2716</v>
      </c>
      <c r="C80" s="106" t="n">
        <f aca="false">IFERROR(MATCH(1,INDEX((GR_Key&lt;&gt;"")*((GR_Key="wealth")+(GR_Kind="legacy")&gt;0)*(GR_PctN&gt;=PR_Good),0),0),0)</f>
        <v>0</v>
      </c>
    </row>
    <row r="81" customFormat="false" ht="15" hidden="false" customHeight="true" outlineLevel="0" collapsed="false">
      <c r="B81" s="1" t="s">
        <v>2717</v>
      </c>
      <c r="C81" s="106" t="n">
        <f aca="false">IFERROR(MATCH(1,INDEX((GR_Key&lt;&gt;"")*((GR_Key="wealth")+(GR_Kind="legacy")&gt;0),0),0),0)</f>
        <v>0</v>
      </c>
    </row>
    <row r="82" customFormat="false" ht="15" hidden="false" customHeight="true" outlineLevel="0" collapsed="false">
      <c r="B82" s="1" t="s">
        <v>2718</v>
      </c>
      <c r="C82" s="106" t="n">
        <f aca="false">IF(AND(Has_invest=1,F_Invest&gt;0),1,0)</f>
        <v>0</v>
      </c>
    </row>
    <row r="83" customFormat="false" ht="15" hidden="false" customHeight="true" outlineLevel="0" collapsed="false">
      <c r="B83" s="1" t="s">
        <v>2719</v>
      </c>
      <c r="C83" s="106" t="str">
        <f aca="false">IF(OR(L5_Inv=1,L5_OnIdx&gt;0),"ok",IF(L5_N&gt;0,"mid","na"))</f>
        <v>na</v>
      </c>
    </row>
    <row r="84" customFormat="false" ht="15" hidden="false" customHeight="true" outlineLevel="0" collapsed="false">
      <c r="B84" s="1" t="s">
        <v>2720</v>
      </c>
      <c r="C84" s="106"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2721</v>
      </c>
      <c r="C85" s="106" t="str">
        <f aca="false">IF(AND(Fnd2_St="ok",OR(Fnd1_St="bad",Fnd1_St="mid")),"held",Fnd2_St)</f>
        <v>na</v>
      </c>
    </row>
    <row r="86" customFormat="false" ht="15" hidden="false" customHeight="true" outlineLevel="0" collapsed="false">
      <c r="B86" s="1" t="s">
        <v>2722</v>
      </c>
      <c r="C86" s="106" t="str">
        <f aca="false">IF(AND(Fnd3_St="ok",OR(Fnd1_St="bad",Fnd1_St="mid",Fnd2_St="bad",Fnd2_St="mid")),"held",Fnd3_St)</f>
        <v>na</v>
      </c>
    </row>
    <row r="87" customFormat="false" ht="15" hidden="false" customHeight="true" outlineLevel="0" collapsed="false">
      <c r="B87" s="1" t="s">
        <v>2723</v>
      </c>
      <c r="C87" s="106" t="str">
        <f aca="false">IF(AND(Fnd4_St="ok",OR(Fnd1_St="bad",Fnd1_St="mid",Fnd2_St="bad",Fnd2_St="mid",Fnd3_St="bad",Fnd3_St="mid")),"held",Fnd4_St)</f>
        <v>na</v>
      </c>
    </row>
    <row r="88" customFormat="false" ht="15" hidden="false" customHeight="true" outlineLevel="0" collapsed="false">
      <c r="B88" s="1" t="s">
        <v>2724</v>
      </c>
      <c r="C88" s="106" t="str">
        <f aca="false">IF(AND(Fnd5_St="ok",OR(Fnd1_St="bad",Fnd1_St="mid",Fnd2_St="bad",Fnd2_St="mid",Fnd3_St="bad",Fnd3_St="mid",Fnd4_St="bad",Fnd4_St="mid")),"held",Fnd5_St)</f>
        <v>na</v>
      </c>
    </row>
    <row r="89" customFormat="false" ht="15" hidden="false" customHeight="true" outlineLevel="0" collapsed="false">
      <c r="B89" s="1" t="s">
        <v>2725</v>
      </c>
      <c r="C89" s="106" t="str">
        <f aca="false">Fnd1_St</f>
        <v>na</v>
      </c>
    </row>
    <row r="91" customFormat="false" ht="15" hidden="false" customHeight="true" outlineLevel="0" collapsed="false">
      <c r="B91" s="96" t="s">
        <v>2726</v>
      </c>
      <c r="C91" s="96" t="s">
        <v>1545</v>
      </c>
    </row>
    <row r="92" customFormat="false" ht="15" hidden="false" customHeight="true" outlineLevel="0" collapsed="false">
      <c r="B92" s="1" t="s">
        <v>2727</v>
      </c>
      <c r="C92" s="106" t="n">
        <f aca="false">IF(Fnd1_Fin&lt;&gt;"ok",1,IF(Fnd2_Fin&lt;&gt;"ok",2,IF(Fnd3_Fin&lt;&gt;"ok",3,IF(Fnd4_Fin&lt;&gt;"ok",4,IF(Fnd5_Fin&lt;&gt;"ok",5,0)))))</f>
        <v>1</v>
      </c>
    </row>
    <row r="93" customFormat="false" ht="15" hidden="false" customHeight="true" outlineLevel="0" collapsed="false">
      <c r="B93" s="1" t="s">
        <v>2728</v>
      </c>
      <c r="C93" s="106"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2729</v>
      </c>
      <c r="C94" s="106"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2730</v>
      </c>
      <c r="C95" s="106"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2731</v>
      </c>
      <c r="C96" s="106" t="n">
        <f aca="false">SUMPRODUCT((GR_Key&lt;&gt;"")*(GR_PctN&lt;PR_Good))</f>
        <v>0</v>
      </c>
    </row>
    <row r="97" customFormat="false" ht="15" hidden="false" customHeight="true" outlineLevel="0" collapsed="false">
      <c r="B97" s="1" t="s">
        <v>2732</v>
      </c>
      <c r="C97" s="106"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6" t="s">
        <v>2733</v>
      </c>
      <c r="C99" s="96" t="s">
        <v>1545</v>
      </c>
    </row>
    <row r="100" customFormat="false" ht="61.5" hidden="false" customHeight="true" outlineLevel="0" collapsed="false">
      <c r="B100" s="103" t="s">
        <v>2734</v>
      </c>
      <c r="C100" s="103" t="s">
        <v>2735</v>
      </c>
      <c r="D100" s="103" t="s">
        <v>2736</v>
      </c>
      <c r="E100" s="103" t="s">
        <v>2737</v>
      </c>
      <c r="F100" s="103" t="s">
        <v>2738</v>
      </c>
      <c r="G100" s="103" t="s">
        <v>2739</v>
      </c>
      <c r="H100" s="103" t="s">
        <v>2740</v>
      </c>
      <c r="I100" s="103" t="s">
        <v>2741</v>
      </c>
      <c r="J100" s="103" t="s">
        <v>2742</v>
      </c>
      <c r="K100" s="103" t="s">
        <v>2743</v>
      </c>
      <c r="L100" s="103" t="s">
        <v>2744</v>
      </c>
      <c r="M100" s="103" t="s">
        <v>2745</v>
      </c>
      <c r="N100" s="103" t="s">
        <v>2746</v>
      </c>
      <c r="O100" s="103" t="s">
        <v>2747</v>
      </c>
      <c r="P100" s="103" t="s">
        <v>2748</v>
      </c>
      <c r="Q100" s="103" t="s">
        <v>2510</v>
      </c>
    </row>
    <row r="101" customFormat="false" ht="15" hidden="false" customHeight="true" outlineLevel="0" collapsed="false">
      <c r="B101" s="1" t="s">
        <v>2749</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2750</v>
      </c>
    </row>
    <row r="102" customFormat="false" ht="15" hidden="false" customHeight="true" outlineLevel="0" collapsed="false">
      <c r="B102" s="1" t="s">
        <v>2644</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739</v>
      </c>
    </row>
    <row r="103" customFormat="false" ht="15" hidden="false" customHeight="true" outlineLevel="0" collapsed="false">
      <c r="B103" s="1" t="s">
        <v>808</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2649</v>
      </c>
    </row>
    <row r="104" customFormat="false" ht="15" hidden="false" customHeight="true" outlineLevel="0" collapsed="false">
      <c r="B104" s="1" t="s">
        <v>2647</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2646</v>
      </c>
    </row>
    <row r="105" customFormat="false" ht="15" hidden="false" customHeight="true" outlineLevel="0" collapsed="false">
      <c r="B105" s="1" t="s">
        <v>2751</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2752</v>
      </c>
    </row>
    <row r="106" customFormat="false" ht="15" hidden="false" customHeight="true" outlineLevel="0" collapsed="false">
      <c r="B106" s="1" t="s">
        <v>247</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2753</v>
      </c>
    </row>
    <row r="107" customFormat="false" ht="15" hidden="false" customHeight="true" outlineLevel="0" collapsed="false">
      <c r="B107" s="1" t="s">
        <v>250</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2754</v>
      </c>
    </row>
    <row r="108" customFormat="false" ht="15" hidden="false" customHeight="true" outlineLevel="0" collapsed="false">
      <c r="B108" s="1" t="s">
        <v>1831</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2755</v>
      </c>
    </row>
    <row r="109" customFormat="false" ht="15" hidden="false" customHeight="true" outlineLevel="0" collapsed="false">
      <c r="B109" s="1" t="s">
        <v>2756</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2757</v>
      </c>
    </row>
    <row r="110" customFormat="false" ht="15" hidden="false" customHeight="true" outlineLevel="0" collapsed="false">
      <c r="B110" s="1" t="s">
        <v>1358</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2758</v>
      </c>
    </row>
    <row r="111" customFormat="false" ht="15" hidden="false" customHeight="true" outlineLevel="0" collapsed="false">
      <c r="B111" s="1" t="s">
        <v>2759</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2516</v>
      </c>
    </row>
    <row r="112" customFormat="false" ht="15" hidden="false" customHeight="true" outlineLevel="0" collapsed="false">
      <c r="B112" s="1" t="s">
        <v>551</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2760</v>
      </c>
    </row>
    <row r="113" customFormat="false" ht="15" hidden="false" customHeight="true" outlineLevel="0" collapsed="false">
      <c r="B113" s="1" t="s">
        <v>1368</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2761</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2762</v>
      </c>
    </row>
    <row r="115" customFormat="false" ht="15" hidden="false" customHeight="true" outlineLevel="0" collapsed="false">
      <c r="B115" s="1" t="s">
        <v>2763</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2764</v>
      </c>
    </row>
    <row r="116" customFormat="false" ht="15" hidden="false" customHeight="true" outlineLevel="0" collapsed="false">
      <c r="B116" s="1" t="s">
        <v>2765</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2766</v>
      </c>
    </row>
    <row r="117" customFormat="false" ht="15" hidden="false" customHeight="true" outlineLevel="0" collapsed="false">
      <c r="B117" s="1" t="s">
        <v>2767</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2768</v>
      </c>
    </row>
    <row r="118" customFormat="false" ht="15" hidden="false" customHeight="true" outlineLevel="0" collapsed="false">
      <c r="B118" s="1" t="s">
        <v>1371</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2769</v>
      </c>
    </row>
    <row r="119" customFormat="false" ht="15" hidden="false" customHeight="true" outlineLevel="0" collapsed="false">
      <c r="B119" s="1" t="s">
        <v>340</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2770</v>
      </c>
    </row>
    <row r="120" customFormat="false" ht="15" hidden="false" customHeight="true" outlineLevel="0" collapsed="false">
      <c r="B120" s="1" t="s">
        <v>438</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2771</v>
      </c>
    </row>
    <row r="121" customFormat="false" ht="15" hidden="false" customHeight="true" outlineLevel="0" collapsed="false">
      <c r="B121" s="1" t="s">
        <v>336</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2772</v>
      </c>
    </row>
    <row r="122" customFormat="false" ht="15" hidden="false" customHeight="true" outlineLevel="0" collapsed="false">
      <c r="B122" s="1" t="s">
        <v>2773</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2774</v>
      </c>
    </row>
    <row r="123" customFormat="false" ht="15" hidden="false" customHeight="true" outlineLevel="0" collapsed="false">
      <c r="B123" s="1" t="s">
        <v>1381</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2775</v>
      </c>
    </row>
    <row r="124" customFormat="false" ht="15" hidden="false" customHeight="true" outlineLevel="0" collapsed="false">
      <c r="B124" s="1" t="s">
        <v>2776</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2777</v>
      </c>
    </row>
    <row r="125" customFormat="false" ht="15" hidden="false" customHeight="true" outlineLevel="0" collapsed="false">
      <c r="B125" s="1" t="s">
        <v>1385</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2778</v>
      </c>
    </row>
    <row r="126" customFormat="false" ht="15" hidden="false" customHeight="true" outlineLevel="0" collapsed="false">
      <c r="B126" s="1" t="s">
        <v>1387</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2779</v>
      </c>
    </row>
    <row r="127" customFormat="false" ht="15" hidden="false" customHeight="true" outlineLevel="0" collapsed="false">
      <c r="B127" s="1" t="s">
        <v>2780</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2781</v>
      </c>
    </row>
    <row r="128" customFormat="false" ht="15" hidden="false" customHeight="true" outlineLevel="0" collapsed="false">
      <c r="B128" s="1" t="s">
        <v>2782</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2783</v>
      </c>
    </row>
    <row r="129" customFormat="false" ht="15" hidden="false" customHeight="true" outlineLevel="0" collapsed="false">
      <c r="B129" s="1" t="s">
        <v>2784</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2785</v>
      </c>
    </row>
    <row r="130" customFormat="false" ht="15" hidden="false" customHeight="true" outlineLevel="0" collapsed="false">
      <c r="B130" s="1" t="s">
        <v>2786</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2787</v>
      </c>
    </row>
    <row r="131" customFormat="false" ht="15" hidden="false" customHeight="true" outlineLevel="0" collapsed="false">
      <c r="B131" s="1" t="s">
        <v>2788</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2789</v>
      </c>
    </row>
    <row r="132" customFormat="false" ht="15" hidden="false" customHeight="true" outlineLevel="0" collapsed="false">
      <c r="B132" s="1" t="s">
        <v>2790</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2791</v>
      </c>
    </row>
    <row r="133" customFormat="false" ht="15" hidden="false" customHeight="true" outlineLevel="0" collapsed="false">
      <c r="B133" s="1" t="s">
        <v>2792</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2548</v>
      </c>
    </row>
    <row r="134" customFormat="false" ht="15" hidden="false" customHeight="true" outlineLevel="0" collapsed="false">
      <c r="B134" s="1" t="s">
        <v>748</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1446</v>
      </c>
    </row>
    <row r="135" customFormat="false" ht="15" hidden="false" customHeight="true" outlineLevel="0" collapsed="false">
      <c r="B135" s="1" t="s">
        <v>2793</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2794</v>
      </c>
    </row>
    <row r="136" customFormat="false" ht="15" hidden="false" customHeight="true" outlineLevel="0" collapsed="false">
      <c r="B136" s="1" t="s">
        <v>1866</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2795</v>
      </c>
    </row>
    <row r="137" customFormat="false" ht="15" hidden="false" customHeight="true" outlineLevel="0" collapsed="false">
      <c r="B137" s="1" t="s">
        <v>2796</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2797</v>
      </c>
    </row>
    <row r="138" customFormat="false" ht="15" hidden="false" customHeight="true" outlineLevel="0" collapsed="false">
      <c r="B138" s="1" t="s">
        <v>2798</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2799</v>
      </c>
    </row>
    <row r="139" customFormat="false" ht="15" hidden="false" customHeight="true" outlineLevel="0" collapsed="false">
      <c r="B139" s="1" t="s">
        <v>1917</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2800</v>
      </c>
    </row>
    <row r="140" customFormat="false" ht="15" hidden="false" customHeight="true" outlineLevel="0" collapsed="false">
      <c r="B140" s="1" t="s">
        <v>2801</v>
      </c>
      <c r="C140" s="106" t="n">
        <f aca="false">SUM($O$101:$O$139)</f>
        <v>19</v>
      </c>
    </row>
    <row r="141" customFormat="false" ht="15" hidden="false" customHeight="true" outlineLevel="0" collapsed="false">
      <c r="B141" s="1" t="s">
        <v>2802</v>
      </c>
      <c r="C141" s="106" t="n">
        <f aca="false">SUMPRODUCT($K$101:$K$139*($Q$101:$Q$139&lt;&gt;"retireAge"))</f>
        <v>0</v>
      </c>
    </row>
    <row r="142" customFormat="false" ht="15" hidden="false" customHeight="true" outlineLevel="0" collapsed="false">
      <c r="B142" s="1" t="s">
        <v>2803</v>
      </c>
      <c r="C142" s="106" t="n">
        <f aca="false">SUM($P$101:$P$139)</f>
        <v>1</v>
      </c>
    </row>
    <row r="143" customFormat="false" ht="15" hidden="false" customHeight="true" outlineLevel="0" collapsed="false">
      <c r="B143" s="1" t="s">
        <v>2804</v>
      </c>
      <c r="C143" s="106" t="str">
        <f aca="false">IF(SUMIFS($K$101:$K$139,$N$101:$N$139,1)&gt;0,"look",IF(OR(SUMIFS($J$101:$J$139,$N$101:$N$139,1)=SUMIFS($I$101:$I$139,$N$101:$N$139,1),In_saved1="Yes"),"done",IF(SUMIFS($L$101:$L$139,$N$101:$N$139,1)&gt;0,"part","none")))</f>
        <v>none</v>
      </c>
    </row>
    <row r="144" customFormat="false" ht="15" hidden="false" customHeight="true" outlineLevel="0" collapsed="false">
      <c r="B144" s="1" t="s">
        <v>2805</v>
      </c>
      <c r="C144" s="106" t="str">
        <f aca="false">IF(SUMIFS($K$101:$K$139,$N$101:$N$139,2)&gt;0,"look",IF(OR(SUMIFS($J$101:$J$139,$N$101:$N$139,2)=SUMIFS($I$101:$I$139,$N$101:$N$139,2),In_saved2="Yes"),"done",IF(SUMIFS($L$101:$L$139,$N$101:$N$139,2)&gt;0,"part","none")))</f>
        <v>none</v>
      </c>
    </row>
    <row r="145" customFormat="false" ht="15" hidden="false" customHeight="true" outlineLevel="0" collapsed="false">
      <c r="B145" s="1" t="s">
        <v>2806</v>
      </c>
      <c r="C145" s="106" t="str">
        <f aca="false">IF(SUMIFS($K$101:$K$139,$N$101:$N$139,3)&gt;0,"look",IF(OR(SUMIFS($J$101:$J$139,$N$101:$N$139,3)=SUMIFS($I$101:$I$139,$N$101:$N$139,3),In_saved3="Yes"),"done",IF(SUMIFS($L$101:$L$139,$N$101:$N$139,3)&gt;0,"part","none")))</f>
        <v>none</v>
      </c>
    </row>
    <row r="146" customFormat="false" ht="15" hidden="false" customHeight="true" outlineLevel="0" collapsed="false">
      <c r="B146" s="1" t="s">
        <v>2807</v>
      </c>
      <c r="C146" s="106" t="str">
        <f aca="false">IF(SUMIFS($K$101:$K$139,$N$101:$N$139,4)&gt;0,"look",IF(OR(SUMIFS($J$101:$J$139,$N$101:$N$139,4)=SUMIFS($I$101:$I$139,$N$101:$N$139,4),In_saved4="Yes"),"done",IF(SUMIFS($L$101:$L$139,$N$101:$N$139,4)&gt;0,"part","none")))</f>
        <v>none</v>
      </c>
    </row>
    <row r="147" customFormat="false" ht="15" hidden="false" customHeight="true" outlineLevel="0" collapsed="false">
      <c r="B147" s="1" t="s">
        <v>2808</v>
      </c>
      <c r="C147" s="106" t="str">
        <f aca="false">IF(SUMIFS($K$101:$K$139,$N$101:$N$139,5)&gt;0,"look",IF(OR(SUMIFS($J$101:$J$139,$N$101:$N$139,5)=SUMIFS($I$101:$I$139,$N$101:$N$139,5),In_saved5="Yes"),"done",IF(SUMIFS($L$101:$L$139,$N$101:$N$139,5)&gt;0,"part","none")))</f>
        <v>none</v>
      </c>
    </row>
    <row r="148" customFormat="false" ht="15" hidden="false" customHeight="true" outlineLevel="0" collapsed="false">
      <c r="B148" s="1" t="s">
        <v>2809</v>
      </c>
      <c r="C148" s="106" t="str">
        <f aca="false">IF(SUMIFS($K$101:$K$139,$N$101:$N$139,6)&gt;0,"look",IF(OR(SUMIFS($J$101:$J$139,$N$101:$N$139,6)=SUMIFS($I$101:$I$139,$N$101:$N$139,6),In_saved6="Yes"),"done",IF(SUMIFS($L$101:$L$139,$N$101:$N$139,6)&gt;0,"part","none")))</f>
        <v>none</v>
      </c>
    </row>
    <row r="149" customFormat="false" ht="15" hidden="false" customHeight="true" outlineLevel="0" collapsed="false">
      <c r="B149" s="1" t="s">
        <v>2810</v>
      </c>
      <c r="C149" s="106" t="n">
        <f aca="false">IF(Fin1_St="done",1,0)+IF(Fin2_St="done",1,0)+IF(Fin3_St="done",1,0)+IF(Fin4_St="done",1,0)+IF(Fin5_St="done",1,0)+IF(Fin6_St="done",1,0)</f>
        <v>0</v>
      </c>
    </row>
    <row r="150" customFormat="false" ht="15" hidden="false" customHeight="true" outlineLevel="0" collapsed="false">
      <c r="B150" s="1" t="s">
        <v>2811</v>
      </c>
      <c r="C150" s="106" t="n">
        <f aca="false">IF(AND(OR(Fin1_St="done",Fin1_St="look"),OR(Fin2_St="done",Fin2_St="look"),OR(Fin3_St="done",Fin3_St="look",Fin6_St="done",Fin6_St="look")),1,0)</f>
        <v>0</v>
      </c>
    </row>
    <row r="151" customFormat="false" ht="15" hidden="false" customHeight="true" outlineLevel="0" collapsed="false">
      <c r="B151" s="1" t="s">
        <v>2812</v>
      </c>
      <c r="C151" s="106" t="n">
        <f aca="false">SUM($I$101:$I$139)-SUM($J$101:$J$139)</f>
        <v>20</v>
      </c>
    </row>
    <row r="152" customFormat="false" ht="15" hidden="false" customHeight="true" outlineLevel="0" collapsed="false">
      <c r="B152" s="1" t="s">
        <v>2813</v>
      </c>
      <c r="C152" s="106"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2814</v>
      </c>
      <c r="C153" s="106" t="n">
        <f aca="false">IF(OR(Fin_Skipped&gt;0,Fin_Quality&gt;2),1,0)</f>
        <v>1</v>
      </c>
    </row>
    <row r="154" customFormat="false" ht="15" hidden="false" customHeight="true" outlineLevel="0" collapsed="false">
      <c r="B154" s="1" t="s">
        <v>2815</v>
      </c>
      <c r="C154" s="106" t="n">
        <f aca="false">IF(AND(Home_Rough=1,Missing_Count=0),1,0)</f>
        <v>0</v>
      </c>
    </row>
    <row r="156" customFormat="false" ht="15" hidden="false" customHeight="true" outlineLevel="0" collapsed="false">
      <c r="B156" s="96" t="s">
        <v>2816</v>
      </c>
      <c r="C156" s="96" t="s">
        <v>1545</v>
      </c>
    </row>
    <row r="157" customFormat="false" ht="15" hidden="false" customHeight="true" outlineLevel="0" collapsed="false">
      <c r="B157" s="1" t="s">
        <v>2817</v>
      </c>
      <c r="C157" s="106" t="n">
        <f aca="false">F_Age+1</f>
        <v>1</v>
      </c>
    </row>
    <row r="158" customFormat="false" ht="15" hidden="false" customHeight="true" outlineLevel="0" collapsed="false">
      <c r="B158" s="1" t="s">
        <v>2818</v>
      </c>
      <c r="C158" s="106" t="n">
        <f aca="false">MAX(Retire_Min,AS_End-1)</f>
        <v>89</v>
      </c>
    </row>
    <row r="159" customFormat="false" ht="15" hidden="false" customHeight="true" outlineLevel="0" collapsed="false">
      <c r="B159" s="1" t="s">
        <v>2819</v>
      </c>
      <c r="C159" s="106"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2820</v>
      </c>
      <c r="C160" s="106"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2821</v>
      </c>
      <c r="C161" s="106"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2822</v>
      </c>
      <c r="C162" s="106"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2823</v>
      </c>
      <c r="C163" s="106" t="str">
        <f aca="true">IF(Has_age=1,DATEDIF(IF(ISNUMBER('Plan inputs'!C6),'Plan inputs'!C6,'Plan inputs'!F6),TODAY(),"Y"),"")</f>
        <v/>
      </c>
    </row>
    <row r="164" customFormat="false" ht="15" hidden="false" customHeight="true" outlineLevel="0" collapsed="false">
      <c r="B164" s="1" t="s">
        <v>2824</v>
      </c>
      <c r="C164" s="110"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2825</v>
      </c>
      <c r="C165" s="106"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2826</v>
      </c>
      <c r="C166" s="106" t="str">
        <f aca="true">IF(AND(F_Partner=1,Has_pAge=1),DATEDIF(IF(ISNUMBER('Plan inputs'!C31),'Plan inputs'!C31,'Plan inputs'!F31),TODAY(),"Y"),"")</f>
        <v/>
      </c>
    </row>
    <row r="167" customFormat="false" ht="15" hidden="false" customHeight="true" outlineLevel="0" collapsed="false">
      <c r="B167" s="1" t="s">
        <v>2827</v>
      </c>
      <c r="C167" s="106"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2828</v>
      </c>
      <c r="C168" s="106" t="str">
        <f aca="false">IF(AND(O120=1,G120=0),"Assumed: add yours · we use "&amp;PR_FbMortYears&amp;" years","")</f>
        <v/>
      </c>
    </row>
    <row r="169" customFormat="false" ht="15" hidden="false" customHeight="true" outlineLevel="0" collapsed="false">
      <c r="B169" s="1" t="s">
        <v>2829</v>
      </c>
      <c r="C169" s="106" t="str">
        <f aca="false">IF(AND(O128=1,G128=0),"Assumed: add yours · we use "&amp;PR_FbMortYears&amp;" years","")</f>
        <v/>
      </c>
    </row>
    <row r="170" customFormat="false" ht="15" hidden="false" customHeight="true" outlineLevel="0" collapsed="false">
      <c r="B170" s="1" t="s">
        <v>2830</v>
      </c>
      <c r="C170" s="106" t="str">
        <f aca="false">IF(AND(O104=1,G104=0),"Assumed: add yours · we use your age","")</f>
        <v/>
      </c>
    </row>
    <row r="171" customFormat="false" ht="15" hidden="false" customHeight="true" outlineLevel="0" collapsed="false">
      <c r="B171" s="1" t="s">
        <v>2831</v>
      </c>
      <c r="C171" s="106" t="str">
        <f aca="false">IF(AND(O105=1,G105=0),"Assumed: add yours · we use Employed","")</f>
        <v>Assumed: add yours · we use Employed</v>
      </c>
    </row>
    <row r="172" customFormat="false" ht="15" hidden="false" customHeight="true" outlineLevel="0" collapsed="false">
      <c r="B172" s="1" t="s">
        <v>2832</v>
      </c>
      <c r="C172" s="106" t="str">
        <f aca="false">IF(AND(O121=1,G121=0),"Assumed: add yours · we use the Central Bank average rate","")</f>
        <v/>
      </c>
    </row>
    <row r="173" customFormat="false" ht="15" hidden="false" customHeight="true" outlineLevel="0" collapsed="false">
      <c r="B173" s="1" t="s">
        <v>2833</v>
      </c>
      <c r="C173" s="106" t="str">
        <f aca="false">IF(AND(O127=1,G127=0),"Assumed: add yours · we use the Central Bank average rate","")</f>
        <v/>
      </c>
    </row>
    <row r="174" customFormat="false" ht="15" hidden="false" customHeight="true" outlineLevel="0" collapsed="false">
      <c r="B174" s="1" t="s">
        <v>2834</v>
      </c>
      <c r="C174" s="106" t="str">
        <f aca="false">IF(AND(O124=1,G124=0),"Assumed: add yours · we use a planning rate of "&amp;ROUND(AS_CardRate*100,2)&amp;"%","")</f>
        <v/>
      </c>
    </row>
    <row r="176" customFormat="false" ht="15" hidden="false" customHeight="true" outlineLevel="0" collapsed="false">
      <c r="B176" s="96" t="s">
        <v>2835</v>
      </c>
      <c r="C176" s="96" t="s">
        <v>1545</v>
      </c>
    </row>
    <row r="177" customFormat="false" ht="15" hidden="false" customHeight="true" outlineLevel="0" collapsed="false">
      <c r="B177" s="1" t="s">
        <v>2836</v>
      </c>
      <c r="C177" s="106" t="n">
        <f aca="false">SUMPRODUCT((GR_Key&lt;&gt;"")*1)</f>
        <v>0</v>
      </c>
    </row>
    <row r="178" customFormat="false" ht="15" hidden="false" customHeight="true" outlineLevel="0" collapsed="false">
      <c r="B178" s="1" t="s">
        <v>2837</v>
      </c>
      <c r="C178" s="106" t="n">
        <f aca="false">IF(Home_N&gt;0,ROUND(SUM(GR_PctN)/Home_N,0),0)</f>
        <v>0</v>
      </c>
    </row>
    <row r="179" customFormat="false" ht="15" hidden="false" customHeight="true" outlineLevel="0" collapsed="false">
      <c r="B179" s="1" t="s">
        <v>2838</v>
      </c>
      <c r="C179" s="106" t="n">
        <f aca="false">SUMPRODUCT((GR_Key&lt;&gt;"")*(GR_PctN&gt;=PR_Good))</f>
        <v>0</v>
      </c>
    </row>
    <row r="180" customFormat="false" ht="15" hidden="false" customHeight="true" outlineLevel="0" collapsed="false">
      <c r="B180" s="1" t="s">
        <v>2839</v>
      </c>
      <c r="C180" s="106" t="str">
        <f aca="false">IF(Home_Avg&gt;=PR_Good,"good",IF(Home_Avg&gt;=PR_Nudge,"nudge","alert"))</f>
        <v>alert</v>
      </c>
    </row>
    <row r="181" customFormat="false" ht="15" hidden="false" customHeight="true" outlineLevel="0" collapsed="false">
      <c r="B181" s="1" t="s">
        <v>2840</v>
      </c>
      <c r="C181" s="106"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2841</v>
      </c>
      <c r="C182" s="106" t="str">
        <f aca="false">IF(LEN(Tools_All)-LEN(SUBSTITUTE(Tools_All,",",""))&gt;=6,LEFT(Tools_All,FIND("|",SUBSTITUTE(Tools_All,",","|",6))-1),Tools_All)</f>
        <v>goalplanner,emergency,surplus,lifecover,compound</v>
      </c>
    </row>
    <row r="183" customFormat="false" ht="15" hidden="false" customHeight="true" outlineLevel="0" collapsed="false">
      <c r="B183" s="1" t="s">
        <v>2842</v>
      </c>
      <c r="C183" s="106" t="n">
        <f aca="false">IF(Home_N&gt;0,MATCH(MIN(GR_PctB),GR_PctB,0),0)</f>
        <v>0</v>
      </c>
    </row>
    <row r="184" customFormat="false" ht="15" hidden="false" customHeight="true" outlineLevel="0" collapsed="false">
      <c r="B184" s="1" t="s">
        <v>2843</v>
      </c>
      <c r="C184" s="106" t="str">
        <f aca="false">IF(Expert_Idx=0,"planner",INDEX(GR_Spec,Expert_Idx))</f>
        <v>planner</v>
      </c>
    </row>
    <row r="185" customFormat="false" ht="15" hidden="false" customHeight="true" outlineLevel="0" collapsed="false">
      <c r="B185" s="1" t="s">
        <v>2844</v>
      </c>
      <c r="C185" s="106"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2845</v>
      </c>
      <c r="C186" s="106" t="n">
        <f aca="false">ROUND(IF('Plan cashflow'!$HT$8=1,IF('Plan cashflow'!$F$8=1,MIN(MAX(0,'Plan cashflow'!$HY$8),'Plan cashflow'!$HR$8),'Plan cashflow'!$HR$8),0)/12,0)</f>
        <v>0</v>
      </c>
    </row>
    <row r="187" customFormat="false" ht="15" hidden="false" customHeight="true" outlineLevel="0" collapsed="false">
      <c r="B187" s="1" t="s">
        <v>2846</v>
      </c>
      <c r="C187" s="106" t="n">
        <f aca="false">INT(AS_SaveShare*Save_SurplusM/25)*25</f>
        <v>0</v>
      </c>
    </row>
    <row r="188" customFormat="false" ht="15" hidden="false" customHeight="true" outlineLevel="0" collapsed="false">
      <c r="B188" s="1" t="s">
        <v>2847</v>
      </c>
      <c r="C188" s="106" t="n">
        <f aca="false">IF(AND(Nudge_X&gt;=Save_SaveM_Base+PR_NudgeStep,Nudge_X&gt;=IF(Has_saveM=1,In_saveM,Save_SaveM_Base)+PR_NudgeStep),1,0)</f>
        <v>0</v>
      </c>
    </row>
    <row r="189" customFormat="false" ht="15" hidden="false" customHeight="true" outlineLevel="0" collapsed="false">
      <c r="B189" s="1" t="s">
        <v>2848</v>
      </c>
      <c r="C189" s="106" t="n">
        <f aca="false">MAX(0,Save_SaveM_Base+WI_M)</f>
        <v>0</v>
      </c>
    </row>
    <row r="190" customFormat="false" ht="15" hidden="false" customHeight="true" outlineLevel="0" collapsed="false">
      <c r="B190" s="1" t="s">
        <v>2849</v>
      </c>
      <c r="C190" s="106" t="n">
        <f aca="false">IF(AND(WI_M&lt;&gt;0,Wi_Total&gt;MAX(0,Save_SurplusM)+PR_MinShort),1,0)</f>
        <v>0</v>
      </c>
    </row>
    <row r="192" customFormat="false" ht="15" hidden="false" customHeight="true" outlineLevel="0" collapsed="false">
      <c r="B192" s="96" t="s">
        <v>2850</v>
      </c>
      <c r="C192" s="96" t="s">
        <v>1545</v>
      </c>
    </row>
    <row r="193" customFormat="false" ht="15" hidden="false" customHeight="true" outlineLevel="0" collapsed="false">
      <c r="B193" s="1" t="s">
        <v>2851</v>
      </c>
      <c r="C193" s="106" t="n">
        <f aca="false">SUM('Plan cashflow'!$TY$8:$TY$97)</f>
        <v>0</v>
      </c>
    </row>
    <row r="194" customFormat="false" ht="15" hidden="false" customHeight="true" outlineLevel="0" collapsed="false">
      <c r="B194" s="1" t="s">
        <v>2852</v>
      </c>
      <c r="C194" s="106" t="n">
        <f aca="false">SUM('Plan cashflow'!$TZ$8:$TZ$97)</f>
        <v>0</v>
      </c>
    </row>
    <row r="195" customFormat="false" ht="15" hidden="false" customHeight="true" outlineLevel="0" collapsed="false">
      <c r="B195" s="1" t="s">
        <v>2853</v>
      </c>
      <c r="C195" s="106" t="n">
        <f aca="false">IFERROR(MATCH(1,'Plan cashflow'!$TY$8:$TY$97,0),0)</f>
        <v>0</v>
      </c>
    </row>
    <row r="196" customFormat="false" ht="15" hidden="false" customHeight="true" outlineLevel="0" collapsed="false">
      <c r="B196" s="1" t="s">
        <v>2854</v>
      </c>
      <c r="C196" s="106" t="str">
        <f aca="false">IF(Chart_FirstShortIdx&gt;0,F_Age+Chart_FirstShortIdx-1,"")</f>
        <v/>
      </c>
    </row>
    <row r="197" customFormat="false" ht="15" hidden="false" customHeight="true" outlineLevel="0" collapsed="false">
      <c r="B197" s="1" t="s">
        <v>2855</v>
      </c>
      <c r="C197" s="106" t="str">
        <f aca="false">IF(Chart_FirstShortIdx&gt;0,INDEX('Plan cashflow'!$TX$8:$TX$97,Chart_FirstShortIdx),"")</f>
        <v/>
      </c>
    </row>
    <row r="198" customFormat="false" ht="15" hidden="false" customHeight="true" outlineLevel="0" collapsed="false">
      <c r="B198" s="1" t="s">
        <v>2856</v>
      </c>
      <c r="C198" s="106" t="n">
        <f aca="false">SUMPRODUCT('Plan cashflow'!$TY$8:$TY$97*'Plan cashflow'!$TX$8:$TX$97)</f>
        <v>0</v>
      </c>
    </row>
    <row r="199" customFormat="false" ht="15" hidden="false" customHeight="true" outlineLevel="0" collapsed="false">
      <c r="B199" s="1" t="s">
        <v>2857</v>
      </c>
      <c r="C199" s="106" t="n">
        <f aca="false">SUM('Plan cashflow'!$UA$8:$UA$97)</f>
        <v>0</v>
      </c>
    </row>
    <row r="200" customFormat="false" ht="15" hidden="false" customHeight="true" outlineLevel="0" collapsed="false">
      <c r="B200" s="1" t="s">
        <v>2858</v>
      </c>
      <c r="C200" s="106" t="str">
        <f aca="false">IFERROR(F_Age+MATCH(1,'Plan cashflow'!$UA$8:$UA$97,0)-1,"")</f>
        <v/>
      </c>
    </row>
    <row r="201" customFormat="false" ht="15" hidden="false" customHeight="true" outlineLevel="0" collapsed="false">
      <c r="B201" s="1" t="s">
        <v>2859</v>
      </c>
      <c r="C201" s="106" t="str">
        <f aca="false">IFERROR(F_Age+MATCH(1,'Plan cashflow'!$UI$8:$UI$97,0)-1,"")</f>
        <v/>
      </c>
    </row>
    <row r="202" customFormat="false" ht="15" hidden="false" customHeight="true" outlineLevel="0" collapsed="false">
      <c r="B202" s="1" t="s">
        <v>2860</v>
      </c>
      <c r="C202" s="106" t="n">
        <f aca="false">SUM('Plan cashflow'!$UI$8:$UI$97)</f>
        <v>0</v>
      </c>
    </row>
    <row r="203" customFormat="false" ht="15" hidden="false" customHeight="true" outlineLevel="0" collapsed="false">
      <c r="B203" s="116" t="s">
        <v>2861</v>
      </c>
      <c r="C203" s="116" t="s">
        <v>2862</v>
      </c>
      <c r="D203" s="116" t="s">
        <v>2863</v>
      </c>
      <c r="E203" s="116" t="s">
        <v>2864</v>
      </c>
      <c r="F203" s="116" t="s">
        <v>630</v>
      </c>
      <c r="G203" s="116" t="s">
        <v>2865</v>
      </c>
      <c r="H203" s="116" t="s">
        <v>2866</v>
      </c>
      <c r="I203" s="116" t="s">
        <v>2867</v>
      </c>
      <c r="J203" s="116" t="s">
        <v>2868</v>
      </c>
      <c r="K203" s="116" t="s">
        <v>2869</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6" t="s">
        <v>2870</v>
      </c>
      <c r="C215" s="96" t="s">
        <v>1545</v>
      </c>
    </row>
    <row r="216" customFormat="false" ht="15" hidden="false" customHeight="true" outlineLevel="0" collapsed="false">
      <c r="B216" s="1" t="s">
        <v>2871</v>
      </c>
      <c r="C216" s="106" t="n">
        <f aca="false">IF(COUNT(GR_NextKey)&gt;0,MATCH(MIN(GR_NextKey),GR_NextKey,0),0)</f>
        <v>0</v>
      </c>
    </row>
    <row r="217" customFormat="false" ht="15" hidden="false" customHeight="true" outlineLevel="0" collapsed="false">
      <c r="B217" s="1" t="s">
        <v>2872</v>
      </c>
      <c r="C217" s="106" t="str">
        <f aca="false">IF(Next_WIdx&gt;0,INDEX(GR_PctN,Next_WIdx),"")</f>
        <v/>
      </c>
    </row>
    <row r="218" customFormat="false" ht="15" hidden="false" customHeight="true" outlineLevel="0" collapsed="false">
      <c r="B218" s="1" t="s">
        <v>2873</v>
      </c>
      <c r="C218" s="106" t="str">
        <f aca="false">IF(Next_WIdx&gt;0,INDEX(GR_Name,Next_WIdx),"")</f>
        <v/>
      </c>
    </row>
    <row r="219" customFormat="false" ht="15" hidden="false" customHeight="true" outlineLevel="0" collapsed="false">
      <c r="B219" s="1" t="s">
        <v>2874</v>
      </c>
      <c r="C219" s="106" t="n">
        <f aca="false">IF(OR(Prof_UmCount&lt;13,In_rechecked&lt;&gt;"Yes"),1,0)</f>
        <v>1</v>
      </c>
    </row>
    <row r="220" customFormat="false" ht="15" hidden="false" customHeight="true" outlineLevel="0" collapsed="false">
      <c r="B220" s="1" t="s">
        <v>2875</v>
      </c>
      <c r="C220" s="106"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2729</v>
      </c>
      <c r="C221" s="106"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2730</v>
      </c>
      <c r="C222" s="106"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2876</v>
      </c>
      <c r="C223" s="106" t="str">
        <f aca="false">CHOOSE(Next_N,"Check it","See why","Check my profile","Try it","Start","Book a meeting","See my meeting")</f>
        <v>See why</v>
      </c>
    </row>
    <row r="225" customFormat="false" ht="15" hidden="false" customHeight="true" outlineLevel="0" collapsed="false">
      <c r="B225" s="96" t="s">
        <v>2877</v>
      </c>
      <c r="C225" s="96" t="s">
        <v>1545</v>
      </c>
    </row>
    <row r="226" customFormat="false" ht="15" hidden="false" customHeight="true" outlineLevel="0" collapsed="false">
      <c r="B226" s="1" t="s">
        <v>2878</v>
      </c>
      <c r="C226" s="106"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6" t="s">
        <v>2879</v>
      </c>
      <c r="C228" s="96" t="s">
        <v>1545</v>
      </c>
    </row>
    <row r="229" customFormat="false" ht="15" hidden="false" customHeight="true" outlineLevel="0" collapsed="false">
      <c r="B229" s="1" t="s">
        <v>2880</v>
      </c>
      <c r="C229" s="106" t="n">
        <f aca="false">IFERROR(MATCH(1,INDEX((GR_Spec="mortgage")*(GR_Kind&lt;&gt;"retire")*(GR_Key&lt;&gt;""),0),0),0)</f>
        <v>0</v>
      </c>
    </row>
    <row r="230" customFormat="false" ht="15" hidden="false" customHeight="true" outlineLevel="0" collapsed="false">
      <c r="B230" s="1" t="s">
        <v>2881</v>
      </c>
      <c r="C230" s="106" t="str">
        <f aca="false">IF(Vid_mortgage_Idx&gt;0,INDEX(GR_PctN,Vid_mortgage_Idx),"")</f>
        <v/>
      </c>
    </row>
    <row r="231" customFormat="false" ht="15" hidden="false" customHeight="true" outlineLevel="0" collapsed="false">
      <c r="B231" s="1" t="s">
        <v>2882</v>
      </c>
      <c r="C231" s="106"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2883</v>
      </c>
      <c r="C232" s="106" t="str">
        <f aca="false">IF(Vid_pension_Idx&gt;0,INDEX(GR_PctN,Vid_pension_Idx),"")</f>
        <v/>
      </c>
    </row>
    <row r="233" customFormat="false" ht="15" hidden="false" customHeight="true" outlineLevel="0" collapsed="false">
      <c r="B233" s="1" t="s">
        <v>2884</v>
      </c>
      <c r="C233" s="106" t="n">
        <f aca="false">IFERROR(MATCH(1,INDEX((GR_Spec="protection")*(GR_Kind&lt;&gt;"retire")*(GR_Key&lt;&gt;""),0),0),0)</f>
        <v>0</v>
      </c>
    </row>
    <row r="234" customFormat="false" ht="15" hidden="false" customHeight="true" outlineLevel="0" collapsed="false">
      <c r="B234" s="1" t="s">
        <v>2885</v>
      </c>
      <c r="C234" s="106" t="str">
        <f aca="false">IF(Vid_protection_Idx&gt;0,INDEX(GR_PctN,Vid_protection_Idx),"")</f>
        <v/>
      </c>
    </row>
    <row r="235" customFormat="false" ht="15" hidden="false" customHeight="true" outlineLevel="0" collapsed="false">
      <c r="B235" s="1" t="s">
        <v>2886</v>
      </c>
      <c r="C235" s="106" t="n">
        <f aca="false">IFERROR(MATCH(1,INDEX((GR_Spec="investment")*(GR_Kind&lt;&gt;"retire")*(GR_Key&lt;&gt;""),0),0),0)</f>
        <v>0</v>
      </c>
    </row>
    <row r="236" customFormat="false" ht="15" hidden="false" customHeight="true" outlineLevel="0" collapsed="false">
      <c r="B236" s="1" t="s">
        <v>2887</v>
      </c>
      <c r="C236" s="106" t="str">
        <f aca="false">IF(Vid_investment_Idx&gt;0,INDEX(GR_PctN,Vid_investment_Idx),"")</f>
        <v/>
      </c>
    </row>
    <row r="237" customFormat="false" ht="15" hidden="false" customHeight="true" outlineLevel="0" collapsed="false">
      <c r="B237" s="1" t="s">
        <v>2888</v>
      </c>
      <c r="C237" s="106" t="n">
        <f aca="false">IFERROR(MATCH(1,INDEX((GR_Spec="planner")*(GR_Kind&lt;&gt;"retire")*(GR_Key&lt;&gt;""),0),0),0)</f>
        <v>0</v>
      </c>
    </row>
    <row r="238" customFormat="false" ht="15" hidden="false" customHeight="true" outlineLevel="0" collapsed="false">
      <c r="B238" s="1" t="s">
        <v>2889</v>
      </c>
      <c r="C238" s="106" t="str">
        <f aca="false">IF(Vid_planner_Idx&gt;0,INDEX(GR_PctN,Vid_planner_Idx),"")</f>
        <v/>
      </c>
    </row>
    <row r="239" customFormat="false" ht="15" hidden="false" customHeight="true" outlineLevel="0" collapsed="false">
      <c r="B239" s="1" t="s">
        <v>2890</v>
      </c>
      <c r="C239" s="106" t="n">
        <f aca="false">COUNTIF(README!$E$32:$E$59,"Home &amp; Mortgage")</f>
        <v>7</v>
      </c>
    </row>
    <row r="240" customFormat="false" ht="15" hidden="false" customHeight="true" outlineLevel="0" collapsed="false">
      <c r="B240" s="1" t="s">
        <v>2891</v>
      </c>
      <c r="C240" s="106" t="n">
        <f aca="false">COUNTIF(README!$E$32:$E$59,"Savings &amp; Goals")</f>
        <v>3</v>
      </c>
    </row>
    <row r="241" customFormat="false" ht="15" hidden="false" customHeight="true" outlineLevel="0" collapsed="false">
      <c r="B241" s="1" t="s">
        <v>2892</v>
      </c>
      <c r="C241" s="106" t="n">
        <f aca="false">COUNTIF(README!$E$32:$E$59,"Pensions &amp; Retirement")</f>
        <v>5</v>
      </c>
    </row>
    <row r="242" customFormat="false" ht="15" hidden="false" customHeight="true" outlineLevel="0" collapsed="false">
      <c r="B242" s="1" t="s">
        <v>2893</v>
      </c>
      <c r="C242" s="106" t="n">
        <f aca="false">COUNTIF(README!$E$32:$E$59,"Investments")</f>
        <v>5</v>
      </c>
    </row>
    <row r="243" customFormat="false" ht="15" hidden="false" customHeight="true" outlineLevel="0" collapsed="false">
      <c r="B243" s="1" t="s">
        <v>2894</v>
      </c>
      <c r="C243" s="106" t="n">
        <f aca="false">COUNTIF(README!$E$32:$E$59,"Protection")</f>
        <v>3</v>
      </c>
    </row>
    <row r="244" customFormat="false" ht="15" hidden="false" customHeight="true" outlineLevel="0" collapsed="false">
      <c r="B244" s="1" t="s">
        <v>2895</v>
      </c>
      <c r="C244" s="106"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3" t="s">
        <v>2896</v>
      </c>
    </row>
    <row r="2" customFormat="false" ht="51.75" hidden="false" customHeight="true" outlineLevel="0" collapsed="false">
      <c r="B2" s="94" t="s">
        <v>2897</v>
      </c>
      <c r="C2" s="94"/>
      <c r="D2" s="94"/>
      <c r="E2" s="94"/>
      <c r="F2" s="94"/>
      <c r="G2" s="94"/>
      <c r="H2" s="94"/>
    </row>
    <row r="4" customFormat="false" ht="15" hidden="false" customHeight="true" outlineLevel="0" collapsed="false">
      <c r="B4" s="96" t="s">
        <v>2898</v>
      </c>
      <c r="C4" s="96" t="s">
        <v>2899</v>
      </c>
    </row>
    <row r="5" customFormat="false" ht="15" hidden="false" customHeight="true" outlineLevel="0" collapsed="false">
      <c r="B5" s="1" t="s">
        <v>2900</v>
      </c>
      <c r="C5" s="97"/>
      <c r="D5" s="98" t="n">
        <f aca="false">IF(ISBLANK(C5),0,IF(IF(ISNUMBER(C5),AND(C5&gt;=1,C5&lt;=4,C5=INT(C5)),FALSE()),C5,0))</f>
        <v>0</v>
      </c>
    </row>
    <row r="6" customFormat="false" ht="15" hidden="false" customHeight="true" outlineLevel="0" collapsed="false">
      <c r="B6" s="1" t="s">
        <v>2901</v>
      </c>
      <c r="C6" s="97"/>
      <c r="D6" s="98" t="n">
        <f aca="false">IF(ISBLANK(C6),0,IF(IF(ISNUMBER(C6),AND(C6&gt;=1,C6&lt;=4,C6=INT(C6)),FALSE()),C6,0))</f>
        <v>0</v>
      </c>
    </row>
    <row r="7" customFormat="false" ht="15" hidden="false" customHeight="true" outlineLevel="0" collapsed="false">
      <c r="B7" s="1" t="s">
        <v>2902</v>
      </c>
      <c r="C7" s="118" t="s">
        <v>2903</v>
      </c>
      <c r="D7" s="98" t="n">
        <f aca="false">IF(Has_q6=1,In_q6+1,0)</f>
        <v>0</v>
      </c>
    </row>
    <row r="8" customFormat="false" ht="15" hidden="false" customHeight="true" outlineLevel="0" collapsed="false">
      <c r="B8" s="1" t="s">
        <v>2904</v>
      </c>
      <c r="C8" s="97"/>
      <c r="D8" s="98" t="n">
        <f aca="false">IF(ISBLANK(C8),0,IF(IF(ISNUMBER(C8),AND(C8&gt;=1,C8&lt;=4,C8=INT(C8)),FALSE()),C8,0))</f>
        <v>0</v>
      </c>
    </row>
    <row r="9" customFormat="false" ht="15" hidden="false" customHeight="true" outlineLevel="0" collapsed="false">
      <c r="B9" s="1" t="s">
        <v>2905</v>
      </c>
      <c r="C9" s="97"/>
      <c r="D9" s="98" t="n">
        <f aca="false">IF(ISBLANK(C9),0,IF(IF(ISNUMBER(C9),AND(C9&gt;=1,C9&lt;=4,C9=INT(C9)),FALSE()),C9,0))</f>
        <v>0</v>
      </c>
    </row>
    <row r="10" customFormat="false" ht="15" hidden="false" customHeight="true" outlineLevel="0" collapsed="false">
      <c r="B10" s="1" t="s">
        <v>2906</v>
      </c>
      <c r="C10" s="97"/>
      <c r="D10" s="98" t="n">
        <f aca="false">IF(ISBLANK(C10),0,IF(IF(ISNUMBER(C10),AND(C10&gt;=1,C10&lt;=4,C10=INT(C10)),FALSE()),C10,0))</f>
        <v>0</v>
      </c>
    </row>
    <row r="11" customFormat="false" ht="15" hidden="false" customHeight="true" outlineLevel="0" collapsed="false">
      <c r="B11" s="1" t="s">
        <v>2907</v>
      </c>
      <c r="C11" s="97"/>
      <c r="D11" s="98" t="n">
        <f aca="false">IF(ISBLANK(C11),0,IF(IF(ISNUMBER(C11),AND(C11&gt;=1,C11&lt;=4,C11=INT(C11)),FALSE()),C11,0))</f>
        <v>0</v>
      </c>
    </row>
    <row r="12" customFormat="false" ht="15" hidden="false" customHeight="true" outlineLevel="0" collapsed="false">
      <c r="B12" s="1" t="s">
        <v>2908</v>
      </c>
      <c r="C12" s="97"/>
      <c r="D12" s="98" t="n">
        <f aca="false">IF(ISBLANK(C12),0,IF(IF(ISNUMBER(C12),AND(C12&gt;=1,C12&lt;=4,C12=INT(C12)),FALSE()),C12,0))</f>
        <v>0</v>
      </c>
    </row>
    <row r="13" customFormat="false" ht="15" hidden="false" customHeight="true" outlineLevel="0" collapsed="false">
      <c r="B13" s="1" t="s">
        <v>2909</v>
      </c>
      <c r="C13" s="97"/>
      <c r="D13" s="98" t="n">
        <f aca="false">IF(ISBLANK(C13),0,IF(IF(ISNUMBER(C13),AND(C13&gt;=1,C13&lt;=4,C13=INT(C13)),FALSE()),C13,0))</f>
        <v>0</v>
      </c>
    </row>
    <row r="14" customFormat="false" ht="15" hidden="false" customHeight="true" outlineLevel="0" collapsed="false">
      <c r="B14" s="1" t="s">
        <v>2910</v>
      </c>
      <c r="C14" s="97"/>
      <c r="D14" s="98" t="n">
        <f aca="false">IF(ISBLANK(C14),0,IF(IF(ISNUMBER(C14),AND(C14&gt;=1,C14&lt;=4,C14=INT(C14)),FALSE()),C14,0))</f>
        <v>0</v>
      </c>
    </row>
    <row r="15" customFormat="false" ht="15" hidden="false" customHeight="true" outlineLevel="0" collapsed="false">
      <c r="B15" s="1" t="s">
        <v>2911</v>
      </c>
      <c r="C15" s="97"/>
      <c r="D15" s="98" t="n">
        <f aca="false">IF(ISBLANK(C15),0,IF(IF(ISNUMBER(C15),AND(C15&gt;=1,C15&lt;=4,C15=INT(C15)),FALSE()),C15,0))</f>
        <v>0</v>
      </c>
    </row>
    <row r="16" customFormat="false" ht="15" hidden="false" customHeight="true" outlineLevel="0" collapsed="false">
      <c r="B16" s="1" t="s">
        <v>2912</v>
      </c>
      <c r="C16" s="97"/>
      <c r="D16" s="98" t="n">
        <f aca="false">IF(ISBLANK(C16),0,IF(IF(ISNUMBER(C16),AND(C16&gt;=1,C16&lt;=4,C16=INT(C16)),FALSE()),C16,0))</f>
        <v>0</v>
      </c>
    </row>
    <row r="17" customFormat="false" ht="15" hidden="false" customHeight="true" outlineLevel="0" collapsed="false">
      <c r="B17" s="1" t="s">
        <v>2913</v>
      </c>
      <c r="C17" s="97"/>
      <c r="D17" s="98" t="n">
        <f aca="false">IF(ISBLANK(C17),0,IF(IF(ISNUMBER(C17),AND(C17&gt;=1,C17&lt;=4,C17=INT(C17)),FALSE()),C17,0))</f>
        <v>0</v>
      </c>
    </row>
    <row r="18" customFormat="false" ht="15" hidden="false" customHeight="true" outlineLevel="0" collapsed="false">
      <c r="B18" s="1" t="s">
        <v>2914</v>
      </c>
      <c r="C18" s="97"/>
      <c r="D18" s="98" t="n">
        <f aca="false">IF(ISBLANK(C18),0,IF(IF(ISNUMBER(C18),AND(C18&gt;=0,C18&lt;=7,C18=INT(C18)),FALSE()),C18,0))</f>
        <v>0</v>
      </c>
    </row>
    <row r="19" customFormat="false" ht="15" hidden="false" customHeight="true" outlineLevel="0" collapsed="false">
      <c r="B19" s="1" t="s">
        <v>2915</v>
      </c>
      <c r="C19" s="97"/>
      <c r="D19" s="98" t="n">
        <f aca="false">IF(C19="Yes",1,0)</f>
        <v>0</v>
      </c>
    </row>
    <row r="20" customFormat="false" ht="15" hidden="false" customHeight="true" outlineLevel="0" collapsed="false">
      <c r="B20" s="1" t="s">
        <v>2916</v>
      </c>
      <c r="C20" s="97"/>
      <c r="D20" s="98" t="n">
        <f aca="false">IF(C20="Yes",1,0)</f>
        <v>0</v>
      </c>
    </row>
    <row r="22" customFormat="false" ht="15" hidden="false" customHeight="true" outlineLevel="0" collapsed="false">
      <c r="B22" s="96" t="s">
        <v>2917</v>
      </c>
      <c r="C22" s="96" t="s">
        <v>2918</v>
      </c>
      <c r="D22" s="96" t="s">
        <v>2919</v>
      </c>
      <c r="E22" s="96" t="s">
        <v>2920</v>
      </c>
      <c r="F22" s="96" t="s">
        <v>2921</v>
      </c>
      <c r="G22" s="96" t="s">
        <v>2922</v>
      </c>
      <c r="H22" s="96" t="s">
        <v>2923</v>
      </c>
      <c r="I22" s="119"/>
      <c r="J22" s="119"/>
      <c r="K22" s="119"/>
    </row>
    <row r="23" customFormat="false" ht="15" hidden="false" customHeight="true" outlineLevel="0" collapsed="false">
      <c r="B23" s="1" t="s">
        <v>2924</v>
      </c>
      <c r="D23" s="1" t="n">
        <v>2</v>
      </c>
      <c r="E23" s="1" t="n">
        <v>0</v>
      </c>
      <c r="F23" s="1" t="n">
        <v>0</v>
      </c>
      <c r="G23" s="1" t="n">
        <v>0</v>
      </c>
      <c r="H23" s="1" t="s">
        <v>2925</v>
      </c>
    </row>
    <row r="24" customFormat="false" ht="15" hidden="false" customHeight="true" outlineLevel="0" collapsed="false">
      <c r="B24" s="1" t="s">
        <v>2926</v>
      </c>
      <c r="D24" s="1" t="n">
        <v>0</v>
      </c>
      <c r="E24" s="1" t="n">
        <v>2</v>
      </c>
      <c r="F24" s="1" t="n">
        <v>0</v>
      </c>
      <c r="G24" s="1" t="n">
        <v>0</v>
      </c>
      <c r="H24" s="1" t="s">
        <v>2927</v>
      </c>
    </row>
    <row r="25" customFormat="false" ht="15" hidden="false" customHeight="true" outlineLevel="0" collapsed="false">
      <c r="B25" s="1" t="s">
        <v>2928</v>
      </c>
      <c r="D25" s="1" t="n">
        <v>0</v>
      </c>
      <c r="E25" s="1" t="n">
        <v>0</v>
      </c>
      <c r="F25" s="1" t="n">
        <v>2</v>
      </c>
      <c r="G25" s="1" t="n">
        <v>0</v>
      </c>
      <c r="H25" s="1" t="s">
        <v>2929</v>
      </c>
    </row>
    <row r="26" customFormat="false" ht="15" hidden="false" customHeight="true" outlineLevel="0" collapsed="false">
      <c r="B26" s="1" t="s">
        <v>2930</v>
      </c>
      <c r="D26" s="1" t="n">
        <v>0</v>
      </c>
      <c r="E26" s="1" t="n">
        <v>0</v>
      </c>
      <c r="F26" s="1" t="n">
        <v>0</v>
      </c>
      <c r="G26" s="1" t="n">
        <v>2</v>
      </c>
      <c r="H26" s="1" t="s">
        <v>2931</v>
      </c>
    </row>
    <row r="27" customFormat="false" ht="15" hidden="false" customHeight="true" outlineLevel="0" collapsed="false">
      <c r="B27" s="1" t="s">
        <v>2932</v>
      </c>
      <c r="D27" s="1" t="n">
        <v>0</v>
      </c>
      <c r="E27" s="1" t="n">
        <v>0</v>
      </c>
      <c r="F27" s="1" t="n">
        <v>1</v>
      </c>
      <c r="G27" s="1" t="n">
        <v>0</v>
      </c>
      <c r="H27" s="1" t="s">
        <v>2933</v>
      </c>
    </row>
    <row r="28" customFormat="false" ht="15" hidden="false" customHeight="true" outlineLevel="0" collapsed="false">
      <c r="B28" s="1" t="s">
        <v>2934</v>
      </c>
      <c r="D28" s="1" t="n">
        <v>1</v>
      </c>
      <c r="E28" s="1" t="n">
        <v>0</v>
      </c>
      <c r="F28" s="1" t="n">
        <v>0</v>
      </c>
      <c r="G28" s="1" t="n">
        <v>0</v>
      </c>
      <c r="H28" s="1" t="s">
        <v>2935</v>
      </c>
    </row>
    <row r="29" customFormat="false" ht="15" hidden="false" customHeight="true" outlineLevel="0" collapsed="false">
      <c r="B29" s="1" t="s">
        <v>2936</v>
      </c>
      <c r="D29" s="1" t="n">
        <v>0</v>
      </c>
      <c r="E29" s="1" t="n">
        <v>1</v>
      </c>
      <c r="F29" s="1" t="n">
        <v>0</v>
      </c>
      <c r="G29" s="1" t="n">
        <v>0</v>
      </c>
      <c r="H29" s="1" t="s">
        <v>2937</v>
      </c>
    </row>
    <row r="30" customFormat="false" ht="15" hidden="false" customHeight="true" outlineLevel="0" collapsed="false">
      <c r="B30" s="1" t="s">
        <v>2938</v>
      </c>
      <c r="D30" s="1" t="n">
        <v>0</v>
      </c>
      <c r="E30" s="1" t="n">
        <v>0.5</v>
      </c>
      <c r="F30" s="1" t="n">
        <v>0</v>
      </c>
      <c r="G30" s="1" t="n">
        <v>0.5</v>
      </c>
      <c r="H30" s="1" t="s">
        <v>2939</v>
      </c>
    </row>
    <row r="31" customFormat="false" ht="15" hidden="false" customHeight="true" outlineLevel="0" collapsed="false">
      <c r="B31" s="1" t="s">
        <v>2940</v>
      </c>
      <c r="C31" s="1" t="n">
        <v>1</v>
      </c>
      <c r="D31" s="1" t="n">
        <v>0</v>
      </c>
      <c r="E31" s="1" t="n">
        <v>0</v>
      </c>
      <c r="F31" s="1" t="n">
        <v>0</v>
      </c>
      <c r="G31" s="1" t="n">
        <v>0</v>
      </c>
      <c r="H31" s="1" t="s">
        <v>2941</v>
      </c>
    </row>
    <row r="32" customFormat="false" ht="15" hidden="false" customHeight="true" outlineLevel="0" collapsed="false">
      <c r="B32" s="1" t="s">
        <v>2942</v>
      </c>
      <c r="C32" s="1" t="n">
        <v>2</v>
      </c>
      <c r="D32" s="1" t="n">
        <v>0</v>
      </c>
      <c r="E32" s="1" t="n">
        <v>0</v>
      </c>
      <c r="F32" s="1" t="n">
        <v>0</v>
      </c>
      <c r="G32" s="1" t="n">
        <v>0</v>
      </c>
      <c r="H32" s="1" t="s">
        <v>2943</v>
      </c>
    </row>
    <row r="33" customFormat="false" ht="15" hidden="false" customHeight="true" outlineLevel="0" collapsed="false">
      <c r="B33" s="1" t="s">
        <v>2944</v>
      </c>
      <c r="C33" s="1" t="n">
        <v>3</v>
      </c>
      <c r="D33" s="1" t="n">
        <v>0</v>
      </c>
      <c r="E33" s="1" t="n">
        <v>0</v>
      </c>
      <c r="F33" s="1" t="n">
        <v>0</v>
      </c>
      <c r="G33" s="1" t="n">
        <v>0</v>
      </c>
      <c r="H33" s="1" t="s">
        <v>2945</v>
      </c>
    </row>
    <row r="34" customFormat="false" ht="15" hidden="false" customHeight="true" outlineLevel="0" collapsed="false">
      <c r="B34" s="1" t="s">
        <v>2946</v>
      </c>
      <c r="C34" s="1" t="n">
        <v>4</v>
      </c>
      <c r="D34" s="1" t="n">
        <v>0</v>
      </c>
      <c r="E34" s="1" t="n">
        <v>0</v>
      </c>
      <c r="F34" s="1" t="n">
        <v>0</v>
      </c>
      <c r="G34" s="1" t="n">
        <v>0</v>
      </c>
      <c r="H34" s="1" t="s">
        <v>2947</v>
      </c>
    </row>
    <row r="35" customFormat="false" ht="15" hidden="false" customHeight="true" outlineLevel="0" collapsed="false">
      <c r="B35" s="1" t="s">
        <v>2948</v>
      </c>
      <c r="C35" s="1" t="n">
        <v>2</v>
      </c>
      <c r="D35" s="1" t="n">
        <v>0</v>
      </c>
      <c r="E35" s="1" t="n">
        <v>0</v>
      </c>
      <c r="F35" s="1" t="n">
        <v>0</v>
      </c>
      <c r="G35" s="1" t="n">
        <v>0</v>
      </c>
      <c r="H35" s="1" t="s">
        <v>2949</v>
      </c>
    </row>
    <row r="36" customFormat="false" ht="15" hidden="false" customHeight="true" outlineLevel="0" collapsed="false">
      <c r="B36" s="1" t="s">
        <v>2950</v>
      </c>
      <c r="C36" s="1" t="n">
        <v>4</v>
      </c>
      <c r="D36" s="1" t="n">
        <v>0.5</v>
      </c>
      <c r="E36" s="1" t="n">
        <v>0</v>
      </c>
      <c r="F36" s="1" t="n">
        <v>0</v>
      </c>
      <c r="G36" s="1" t="n">
        <v>0</v>
      </c>
      <c r="H36" s="1" t="s">
        <v>2535</v>
      </c>
    </row>
    <row r="37" customFormat="false" ht="15" hidden="false" customHeight="true" outlineLevel="0" collapsed="false">
      <c r="B37" s="1" t="s">
        <v>2951</v>
      </c>
      <c r="C37" s="1" t="n">
        <v>2</v>
      </c>
      <c r="D37" s="1" t="n">
        <v>0</v>
      </c>
      <c r="E37" s="1" t="n">
        <v>0</v>
      </c>
      <c r="F37" s="1" t="n">
        <v>0</v>
      </c>
      <c r="G37" s="1" t="n">
        <v>0</v>
      </c>
      <c r="H37" s="1" t="s">
        <v>2952</v>
      </c>
    </row>
    <row r="38" customFormat="false" ht="15" hidden="false" customHeight="true" outlineLevel="0" collapsed="false">
      <c r="B38" s="1" t="s">
        <v>2953</v>
      </c>
      <c r="C38" s="1" t="n">
        <v>1</v>
      </c>
      <c r="D38" s="1" t="n">
        <v>0</v>
      </c>
      <c r="E38" s="1" t="n">
        <v>0</v>
      </c>
      <c r="F38" s="1" t="n">
        <v>0</v>
      </c>
      <c r="G38" s="1" t="n">
        <v>0</v>
      </c>
      <c r="H38" s="1" t="s">
        <v>2954</v>
      </c>
    </row>
    <row r="39" customFormat="false" ht="15" hidden="false" customHeight="true" outlineLevel="0" collapsed="false">
      <c r="B39" s="1" t="s">
        <v>2955</v>
      </c>
      <c r="C39" s="1" t="n">
        <v>1</v>
      </c>
      <c r="D39" s="1" t="n">
        <v>0</v>
      </c>
      <c r="E39" s="1" t="n">
        <v>0</v>
      </c>
      <c r="F39" s="1" t="n">
        <v>0</v>
      </c>
      <c r="G39" s="1" t="n">
        <v>0.5</v>
      </c>
      <c r="H39" s="1" t="s">
        <v>2956</v>
      </c>
    </row>
    <row r="40" customFormat="false" ht="15" hidden="false" customHeight="true" outlineLevel="0" collapsed="false">
      <c r="B40" s="1" t="s">
        <v>2957</v>
      </c>
      <c r="C40" s="1" t="n">
        <v>1</v>
      </c>
      <c r="D40" s="1" t="n">
        <v>0</v>
      </c>
      <c r="E40" s="1" t="n">
        <v>0.5</v>
      </c>
      <c r="F40" s="1" t="n">
        <v>0</v>
      </c>
      <c r="G40" s="1" t="n">
        <v>0.5</v>
      </c>
      <c r="H40" s="1" t="s">
        <v>2958</v>
      </c>
    </row>
    <row r="41" customFormat="false" ht="15" hidden="false" customHeight="true" outlineLevel="0" collapsed="false">
      <c r="B41" s="1" t="s">
        <v>2959</v>
      </c>
      <c r="C41" s="1" t="n">
        <v>2</v>
      </c>
      <c r="D41" s="1" t="n">
        <v>0.5</v>
      </c>
      <c r="E41" s="1" t="n">
        <v>0.5</v>
      </c>
      <c r="F41" s="1" t="n">
        <v>0</v>
      </c>
      <c r="G41" s="1" t="n">
        <v>0</v>
      </c>
      <c r="H41" s="1" t="s">
        <v>2960</v>
      </c>
    </row>
    <row r="42" customFormat="false" ht="15" hidden="false" customHeight="true" outlineLevel="0" collapsed="false">
      <c r="B42" s="1" t="s">
        <v>2961</v>
      </c>
      <c r="C42" s="1" t="n">
        <v>3</v>
      </c>
      <c r="D42" s="1" t="n">
        <v>0.5</v>
      </c>
      <c r="E42" s="1" t="n">
        <v>0</v>
      </c>
      <c r="F42" s="1" t="n">
        <v>0.5</v>
      </c>
      <c r="G42" s="1" t="n">
        <v>0</v>
      </c>
      <c r="H42" s="1" t="s">
        <v>2962</v>
      </c>
    </row>
    <row r="43" customFormat="false" ht="15" hidden="false" customHeight="true" outlineLevel="0" collapsed="false">
      <c r="B43" s="1" t="s">
        <v>2963</v>
      </c>
      <c r="C43" s="1" t="n">
        <v>4</v>
      </c>
      <c r="D43" s="1" t="n">
        <v>0</v>
      </c>
      <c r="E43" s="1" t="n">
        <v>0</v>
      </c>
      <c r="F43" s="1" t="n">
        <v>1</v>
      </c>
      <c r="G43" s="1" t="n">
        <v>0</v>
      </c>
      <c r="H43" s="1" t="s">
        <v>2964</v>
      </c>
    </row>
    <row r="44" customFormat="false" ht="15" hidden="false" customHeight="true" outlineLevel="0" collapsed="false">
      <c r="B44" s="1" t="s">
        <v>2965</v>
      </c>
      <c r="C44" s="1" t="n">
        <v>1</v>
      </c>
      <c r="D44" s="1" t="n">
        <v>0</v>
      </c>
      <c r="E44" s="1" t="n">
        <v>1</v>
      </c>
      <c r="F44" s="1" t="n">
        <v>0</v>
      </c>
      <c r="G44" s="1" t="n">
        <v>0</v>
      </c>
      <c r="H44" s="1" t="s">
        <v>2966</v>
      </c>
    </row>
    <row r="45" customFormat="false" ht="15" hidden="false" customHeight="true" outlineLevel="0" collapsed="false">
      <c r="B45" s="1" t="s">
        <v>2967</v>
      </c>
      <c r="C45" s="1" t="n">
        <v>2</v>
      </c>
      <c r="D45" s="1" t="n">
        <v>0</v>
      </c>
      <c r="E45" s="1" t="n">
        <v>0.5</v>
      </c>
      <c r="F45" s="1" t="n">
        <v>0</v>
      </c>
      <c r="G45" s="1" t="n">
        <v>0</v>
      </c>
      <c r="H45" s="1" t="s">
        <v>2968</v>
      </c>
    </row>
    <row r="46" customFormat="false" ht="15" hidden="false" customHeight="true" outlineLevel="0" collapsed="false">
      <c r="B46" s="1" t="s">
        <v>2969</v>
      </c>
      <c r="C46" s="1" t="n">
        <v>3</v>
      </c>
      <c r="D46" s="1" t="n">
        <v>0.5</v>
      </c>
      <c r="E46" s="1" t="n">
        <v>0</v>
      </c>
      <c r="F46" s="1" t="n">
        <v>0</v>
      </c>
      <c r="G46" s="1" t="n">
        <v>0.5</v>
      </c>
      <c r="H46" s="1" t="s">
        <v>2970</v>
      </c>
    </row>
    <row r="47" customFormat="false" ht="15" hidden="false" customHeight="true" outlineLevel="0" collapsed="false">
      <c r="B47" s="1" t="s">
        <v>2971</v>
      </c>
      <c r="C47" s="1" t="n">
        <v>4</v>
      </c>
      <c r="D47" s="1" t="n">
        <v>0</v>
      </c>
      <c r="E47" s="1" t="n">
        <v>0</v>
      </c>
      <c r="F47" s="1" t="n">
        <v>1</v>
      </c>
      <c r="G47" s="1" t="n">
        <v>0</v>
      </c>
      <c r="H47" s="1" t="s">
        <v>2972</v>
      </c>
    </row>
    <row r="48" customFormat="false" ht="15" hidden="false" customHeight="true" outlineLevel="0" collapsed="false">
      <c r="B48" s="1" t="s">
        <v>2973</v>
      </c>
      <c r="C48" s="1" t="n">
        <v>1</v>
      </c>
      <c r="D48" s="1" t="n">
        <v>0</v>
      </c>
      <c r="E48" s="1" t="n">
        <v>1</v>
      </c>
      <c r="F48" s="1" t="n">
        <v>0</v>
      </c>
      <c r="G48" s="1" t="n">
        <v>0</v>
      </c>
      <c r="H48" s="1" t="s">
        <v>2974</v>
      </c>
    </row>
    <row r="49" customFormat="false" ht="15" hidden="false" customHeight="true" outlineLevel="0" collapsed="false">
      <c r="B49" s="1" t="s">
        <v>2975</v>
      </c>
      <c r="C49" s="1" t="n">
        <v>2</v>
      </c>
      <c r="D49" s="1" t="n">
        <v>0</v>
      </c>
      <c r="E49" s="1" t="n">
        <v>0</v>
      </c>
      <c r="F49" s="1" t="n">
        <v>0.5</v>
      </c>
      <c r="G49" s="1" t="n">
        <v>0</v>
      </c>
      <c r="H49" s="1" t="s">
        <v>2976</v>
      </c>
    </row>
    <row r="50" customFormat="false" ht="15" hidden="false" customHeight="true" outlineLevel="0" collapsed="false">
      <c r="B50" s="1" t="s">
        <v>2977</v>
      </c>
      <c r="C50" s="1" t="n">
        <v>4</v>
      </c>
      <c r="D50" s="1" t="n">
        <v>1</v>
      </c>
      <c r="E50" s="1" t="n">
        <v>0</v>
      </c>
      <c r="F50" s="1" t="n">
        <v>0</v>
      </c>
      <c r="G50" s="1" t="n">
        <v>0</v>
      </c>
      <c r="H50" s="1" t="s">
        <v>2978</v>
      </c>
    </row>
    <row r="51" customFormat="false" ht="15" hidden="false" customHeight="true" outlineLevel="0" collapsed="false">
      <c r="B51" s="1" t="s">
        <v>2979</v>
      </c>
      <c r="C51" s="1" t="n">
        <v>1</v>
      </c>
      <c r="D51" s="1" t="n">
        <v>0</v>
      </c>
      <c r="E51" s="1" t="n">
        <v>0</v>
      </c>
      <c r="F51" s="1" t="n">
        <v>0</v>
      </c>
      <c r="G51" s="1" t="n">
        <v>1</v>
      </c>
      <c r="H51" s="1" t="s">
        <v>2980</v>
      </c>
    </row>
    <row r="52" customFormat="false" ht="15" hidden="false" customHeight="true" outlineLevel="0" collapsed="false">
      <c r="B52" s="1" t="s">
        <v>2981</v>
      </c>
      <c r="C52" s="1" t="n">
        <v>1</v>
      </c>
      <c r="D52" s="1" t="n">
        <v>0</v>
      </c>
      <c r="E52" s="1" t="n">
        <v>0</v>
      </c>
      <c r="F52" s="1" t="n">
        <v>0</v>
      </c>
      <c r="G52" s="1" t="n">
        <v>0</v>
      </c>
    </row>
    <row r="53" customFormat="false" ht="15" hidden="false" customHeight="true" outlineLevel="0" collapsed="false">
      <c r="B53" s="1" t="s">
        <v>2982</v>
      </c>
      <c r="C53" s="1" t="n">
        <v>2</v>
      </c>
      <c r="D53" s="1" t="n">
        <v>0</v>
      </c>
      <c r="E53" s="1" t="n">
        <v>0</v>
      </c>
      <c r="F53" s="1" t="n">
        <v>0</v>
      </c>
      <c r="G53" s="1" t="n">
        <v>0</v>
      </c>
    </row>
    <row r="54" customFormat="false" ht="15" hidden="false" customHeight="true" outlineLevel="0" collapsed="false">
      <c r="B54" s="1" t="s">
        <v>2983</v>
      </c>
      <c r="C54" s="1" t="n">
        <v>3</v>
      </c>
      <c r="D54" s="1" t="n">
        <v>0</v>
      </c>
      <c r="E54" s="1" t="n">
        <v>0</v>
      </c>
      <c r="F54" s="1" t="n">
        <v>0</v>
      </c>
      <c r="G54" s="1" t="n">
        <v>0</v>
      </c>
    </row>
    <row r="55" customFormat="false" ht="15" hidden="false" customHeight="true" outlineLevel="0" collapsed="false">
      <c r="B55" s="1" t="s">
        <v>2984</v>
      </c>
      <c r="C55" s="1" t="n">
        <v>4</v>
      </c>
      <c r="D55" s="1" t="n">
        <v>0</v>
      </c>
      <c r="E55" s="1" t="n">
        <v>0</v>
      </c>
      <c r="F55" s="1" t="n">
        <v>0</v>
      </c>
      <c r="G55" s="1" t="n">
        <v>0</v>
      </c>
    </row>
    <row r="56" customFormat="false" ht="15" hidden="false" customHeight="true" outlineLevel="0" collapsed="false">
      <c r="B56" s="1" t="s">
        <v>2985</v>
      </c>
      <c r="C56" s="1" t="n">
        <v>1</v>
      </c>
      <c r="D56" s="1" t="n">
        <v>0</v>
      </c>
      <c r="E56" s="1" t="n">
        <v>0</v>
      </c>
      <c r="F56" s="1" t="n">
        <v>0</v>
      </c>
      <c r="G56" s="1" t="n">
        <v>0</v>
      </c>
    </row>
    <row r="57" customFormat="false" ht="15" hidden="false" customHeight="true" outlineLevel="0" collapsed="false">
      <c r="B57" s="1" t="s">
        <v>2986</v>
      </c>
      <c r="C57" s="1" t="n">
        <v>2</v>
      </c>
      <c r="D57" s="1" t="n">
        <v>0</v>
      </c>
      <c r="E57" s="1" t="n">
        <v>0</v>
      </c>
      <c r="F57" s="1" t="n">
        <v>0</v>
      </c>
      <c r="G57" s="1" t="n">
        <v>0</v>
      </c>
    </row>
    <row r="58" customFormat="false" ht="15" hidden="false" customHeight="true" outlineLevel="0" collapsed="false">
      <c r="B58" s="1" t="s">
        <v>2987</v>
      </c>
      <c r="C58" s="1" t="n">
        <v>3</v>
      </c>
      <c r="D58" s="1" t="n">
        <v>0</v>
      </c>
      <c r="E58" s="1" t="n">
        <v>0</v>
      </c>
      <c r="F58" s="1" t="n">
        <v>0</v>
      </c>
      <c r="G58" s="1" t="n">
        <v>0</v>
      </c>
    </row>
    <row r="59" customFormat="false" ht="15" hidden="false" customHeight="true" outlineLevel="0" collapsed="false">
      <c r="B59" s="1" t="s">
        <v>2988</v>
      </c>
      <c r="C59" s="1" t="n">
        <v>4</v>
      </c>
      <c r="D59" s="1" t="n">
        <v>0</v>
      </c>
      <c r="E59" s="1" t="n">
        <v>0</v>
      </c>
      <c r="F59" s="1" t="n">
        <v>0</v>
      </c>
      <c r="G59" s="1" t="n">
        <v>0</v>
      </c>
    </row>
    <row r="60" customFormat="false" ht="15" hidden="false" customHeight="true" outlineLevel="0" collapsed="false">
      <c r="B60" s="1" t="s">
        <v>2989</v>
      </c>
      <c r="C60" s="1" t="n">
        <v>1</v>
      </c>
      <c r="D60" s="1" t="n">
        <v>0</v>
      </c>
      <c r="E60" s="1" t="n">
        <v>0</v>
      </c>
      <c r="F60" s="1" t="n">
        <v>0</v>
      </c>
      <c r="G60" s="1" t="n">
        <v>0</v>
      </c>
    </row>
    <row r="61" customFormat="false" ht="15" hidden="false" customHeight="true" outlineLevel="0" collapsed="false">
      <c r="B61" s="1" t="s">
        <v>2990</v>
      </c>
      <c r="C61" s="1" t="n">
        <v>2</v>
      </c>
      <c r="D61" s="1" t="n">
        <v>0</v>
      </c>
      <c r="E61" s="1" t="n">
        <v>0</v>
      </c>
      <c r="F61" s="1" t="n">
        <v>0</v>
      </c>
      <c r="G61" s="1" t="n">
        <v>0</v>
      </c>
    </row>
    <row r="62" customFormat="false" ht="15" hidden="false" customHeight="true" outlineLevel="0" collapsed="false">
      <c r="B62" s="1" t="s">
        <v>2991</v>
      </c>
      <c r="C62" s="1" t="n">
        <v>3</v>
      </c>
      <c r="D62" s="1" t="n">
        <v>0</v>
      </c>
      <c r="E62" s="1" t="n">
        <v>0</v>
      </c>
      <c r="F62" s="1" t="n">
        <v>0</v>
      </c>
      <c r="G62" s="1" t="n">
        <v>0</v>
      </c>
    </row>
    <row r="63" customFormat="false" ht="15" hidden="false" customHeight="true" outlineLevel="0" collapsed="false">
      <c r="B63" s="1" t="s">
        <v>2992</v>
      </c>
      <c r="C63" s="1" t="n">
        <v>4</v>
      </c>
      <c r="D63" s="1" t="n">
        <v>0</v>
      </c>
      <c r="E63" s="1" t="n">
        <v>0</v>
      </c>
      <c r="F63" s="1" t="n">
        <v>0</v>
      </c>
      <c r="G63" s="1" t="n">
        <v>0</v>
      </c>
    </row>
    <row r="64" customFormat="false" ht="15" hidden="false" customHeight="true" outlineLevel="0" collapsed="false">
      <c r="B64" s="1" t="s">
        <v>2993</v>
      </c>
      <c r="C64" s="1" t="n">
        <v>1</v>
      </c>
      <c r="D64" s="1" t="n">
        <v>0</v>
      </c>
      <c r="E64" s="1" t="n">
        <v>0</v>
      </c>
      <c r="F64" s="1" t="n">
        <v>0</v>
      </c>
      <c r="G64" s="1" t="n">
        <v>0</v>
      </c>
    </row>
    <row r="65" customFormat="false" ht="15" hidden="false" customHeight="true" outlineLevel="0" collapsed="false">
      <c r="B65" s="1" t="s">
        <v>2994</v>
      </c>
      <c r="C65" s="1" t="n">
        <v>2</v>
      </c>
      <c r="D65" s="1" t="n">
        <v>0</v>
      </c>
      <c r="E65" s="1" t="n">
        <v>0</v>
      </c>
      <c r="F65" s="1" t="n">
        <v>0</v>
      </c>
      <c r="G65" s="1" t="n">
        <v>0</v>
      </c>
    </row>
    <row r="66" customFormat="false" ht="15" hidden="false" customHeight="true" outlineLevel="0" collapsed="false">
      <c r="B66" s="1" t="s">
        <v>2995</v>
      </c>
      <c r="C66" s="1" t="n">
        <v>3</v>
      </c>
      <c r="D66" s="1" t="n">
        <v>0</v>
      </c>
      <c r="E66" s="1" t="n">
        <v>0</v>
      </c>
      <c r="F66" s="1" t="n">
        <v>0</v>
      </c>
      <c r="G66" s="1" t="n">
        <v>0</v>
      </c>
    </row>
    <row r="67" customFormat="false" ht="15" hidden="false" customHeight="true" outlineLevel="0" collapsed="false">
      <c r="B67" s="1" t="s">
        <v>2996</v>
      </c>
      <c r="C67" s="1" t="n">
        <v>4</v>
      </c>
      <c r="D67" s="1" t="n">
        <v>0</v>
      </c>
      <c r="E67" s="1" t="n">
        <v>0</v>
      </c>
      <c r="F67" s="1" t="n">
        <v>0</v>
      </c>
      <c r="G67" s="1" t="n">
        <v>0</v>
      </c>
    </row>
    <row r="68" customFormat="false" ht="15" hidden="false" customHeight="true" outlineLevel="0" collapsed="false">
      <c r="B68" s="1" t="s">
        <v>2997</v>
      </c>
      <c r="D68" s="1" t="n">
        <v>0.5</v>
      </c>
      <c r="E68" s="1" t="n">
        <v>0</v>
      </c>
      <c r="F68" s="1" t="n">
        <v>0.5</v>
      </c>
      <c r="G68" s="1" t="n">
        <v>0</v>
      </c>
    </row>
    <row r="69" customFormat="false" ht="15" hidden="false" customHeight="true" outlineLevel="0" collapsed="false">
      <c r="B69" s="1" t="s">
        <v>2998</v>
      </c>
      <c r="D69" s="1" t="n">
        <v>0.5</v>
      </c>
      <c r="E69" s="1" t="n">
        <v>0.5</v>
      </c>
      <c r="F69" s="1" t="n">
        <v>0</v>
      </c>
      <c r="G69" s="1" t="n">
        <v>0</v>
      </c>
    </row>
    <row r="70" customFormat="false" ht="15" hidden="false" customHeight="true" outlineLevel="0" collapsed="false">
      <c r="B70" s="1" t="s">
        <v>2999</v>
      </c>
      <c r="D70" s="1" t="n">
        <v>0</v>
      </c>
      <c r="E70" s="1" t="n">
        <v>1</v>
      </c>
      <c r="F70" s="1" t="n">
        <v>0</v>
      </c>
      <c r="G70" s="1" t="n">
        <v>0</v>
      </c>
    </row>
    <row r="71" customFormat="false" ht="15" hidden="false" customHeight="true" outlineLevel="0" collapsed="false">
      <c r="B71" s="1" t="s">
        <v>3000</v>
      </c>
      <c r="D71" s="1" t="n">
        <v>0</v>
      </c>
      <c r="E71" s="1" t="n">
        <v>0</v>
      </c>
      <c r="F71" s="1" t="n">
        <v>0</v>
      </c>
      <c r="G71" s="1" t="n">
        <v>1</v>
      </c>
      <c r="H71" s="1" t="s">
        <v>3001</v>
      </c>
    </row>
    <row r="72" customFormat="false" ht="15" hidden="false" customHeight="true" outlineLevel="0" collapsed="false">
      <c r="B72" s="1" t="s">
        <v>3002</v>
      </c>
      <c r="C72" s="1" t="n">
        <v>1</v>
      </c>
      <c r="D72" s="1" t="n">
        <v>0</v>
      </c>
      <c r="E72" s="1" t="n">
        <v>0</v>
      </c>
      <c r="F72" s="1" t="n">
        <v>0</v>
      </c>
      <c r="G72" s="1" t="n">
        <v>0</v>
      </c>
    </row>
    <row r="73" customFormat="false" ht="15" hidden="false" customHeight="true" outlineLevel="0" collapsed="false">
      <c r="B73" s="1" t="s">
        <v>3003</v>
      </c>
      <c r="C73" s="1" t="n">
        <v>2</v>
      </c>
      <c r="D73" s="1" t="n">
        <v>0</v>
      </c>
      <c r="E73" s="1" t="n">
        <v>0</v>
      </c>
      <c r="F73" s="1" t="n">
        <v>0</v>
      </c>
      <c r="G73" s="1" t="n">
        <v>0</v>
      </c>
    </row>
    <row r="74" customFormat="false" ht="15" hidden="false" customHeight="true" outlineLevel="0" collapsed="false">
      <c r="B74" s="1" t="s">
        <v>3004</v>
      </c>
      <c r="C74" s="1" t="n">
        <v>3</v>
      </c>
      <c r="D74" s="1" t="n">
        <v>0</v>
      </c>
      <c r="E74" s="1" t="n">
        <v>0</v>
      </c>
      <c r="F74" s="1" t="n">
        <v>0</v>
      </c>
      <c r="G74" s="1" t="n">
        <v>0</v>
      </c>
    </row>
    <row r="75" customFormat="false" ht="15" hidden="false" customHeight="true" outlineLevel="0" collapsed="false">
      <c r="B75" s="1" t="s">
        <v>3005</v>
      </c>
      <c r="C75" s="1" t="n">
        <v>4</v>
      </c>
      <c r="D75" s="1" t="n">
        <v>0</v>
      </c>
      <c r="E75" s="1" t="n">
        <v>0</v>
      </c>
      <c r="F75" s="1" t="n">
        <v>0</v>
      </c>
      <c r="G75" s="1" t="n">
        <v>0</v>
      </c>
      <c r="H75" s="1" t="s">
        <v>3006</v>
      </c>
    </row>
    <row r="77" customFormat="false" ht="15" hidden="false" customHeight="true" outlineLevel="0" collapsed="false">
      <c r="B77" s="96" t="s">
        <v>268</v>
      </c>
      <c r="C77" s="96" t="s">
        <v>1545</v>
      </c>
    </row>
    <row r="78" customFormat="false" ht="15" hidden="false" customHeight="true" outlineLevel="0" collapsed="false">
      <c r="B78" s="1" t="s">
        <v>3007</v>
      </c>
      <c r="C78" s="106" t="n">
        <f aca="false">(PA_2&gt;0)+(PA_4&gt;0)+(PA_7&gt;0)+(PA_8&gt;0)+(PA_9&gt;0)+(PA_12&gt;0)</f>
        <v>0</v>
      </c>
    </row>
    <row r="79" customFormat="false" ht="15" hidden="false" customHeight="true" outlineLevel="0" collapsed="false">
      <c r="B79" s="1" t="s">
        <v>3008</v>
      </c>
      <c r="C79" s="106" t="n">
        <f aca="false">(PA_2&gt;0)+(PA_4&gt;0)+(PA_6&gt;0)+(PA_7&gt;0)+(PA_8&gt;0)+(PA_9&gt;0)+(PA_12&gt;0)+(PA_u4&gt;0)+(PA_u9&gt;0)+(PA_u10&gt;0)+(PA_u11&gt;0)+(PA_u12&gt;0)+(PA_u14&gt;0)</f>
        <v>0</v>
      </c>
    </row>
    <row r="80" customFormat="false" ht="15" hidden="false" customHeight="true" outlineLevel="0" collapsed="false">
      <c r="B80" s="1" t="s">
        <v>3009</v>
      </c>
      <c r="C80" s="106" t="n">
        <f aca="false">(PA_8&gt;0)+(PA_9&gt;0)+(PA_u9&gt;0)</f>
        <v>0</v>
      </c>
    </row>
    <row r="81" customFormat="false" ht="15" hidden="false" customHeight="true" outlineLevel="0" collapsed="false">
      <c r="B81" s="1" t="s">
        <v>3010</v>
      </c>
      <c r="C81" s="106" t="n">
        <f aca="false">(PA_6&gt;0)+(PA_7&gt;0)+(PA_u10&gt;0)+(PA_u12&gt;0)+(PA_u14&gt;0)</f>
        <v>0</v>
      </c>
    </row>
    <row r="82" customFormat="false" ht="15" hidden="false" customHeight="true" outlineLevel="0" collapsed="false">
      <c r="B82" s="1" t="s">
        <v>3011</v>
      </c>
      <c r="C82" s="106" t="n">
        <f aca="false">(PA_2&gt;0)+(PA_12&gt;0)+(PA_4&gt;0)+(PA_u4&gt;0)+(PA_u11&gt;0)</f>
        <v>0</v>
      </c>
    </row>
    <row r="83" customFormat="false" ht="15" hidden="false" customHeight="true" outlineLevel="0" collapsed="false">
      <c r="B83" s="1" t="s">
        <v>3012</v>
      </c>
      <c r="C83" s="106" t="n">
        <f aca="false">7-((PA_6&gt;0)+(PA_u9&gt;0)+(PA_u10&gt;0)+(PA_u12&gt;0)+(PA_u14&gt;0)+(PA_u4&gt;0)+(PA_u11&gt;0))</f>
        <v>7</v>
      </c>
    </row>
    <row r="84" customFormat="false" ht="15" hidden="false" customHeight="true" outlineLevel="0" collapsed="false">
      <c r="B84" s="1" t="s">
        <v>3013</v>
      </c>
      <c r="C84" s="106"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3014</v>
      </c>
      <c r="C85" s="106" t="n">
        <f aca="false">IF(Prof_DiscCount&gt;=4,1,0)</f>
        <v>0</v>
      </c>
    </row>
    <row r="86" customFormat="false" ht="15" hidden="false" customHeight="true" outlineLevel="0" collapsed="false">
      <c r="B86" s="1" t="s">
        <v>3015</v>
      </c>
      <c r="C86" s="106"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3016</v>
      </c>
      <c r="C87" s="106"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3017</v>
      </c>
      <c r="C88" s="106"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3018</v>
      </c>
      <c r="C89" s="106"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3019</v>
      </c>
      <c r="C90" s="106" t="n">
        <f aca="false">MAX(Prof_SA,Prof_SB,Prof_SE,Prof_SC)</f>
        <v>0</v>
      </c>
    </row>
    <row r="91" customFormat="false" ht="15" hidden="false" customHeight="true" outlineLevel="0" collapsed="false">
      <c r="B91" s="1" t="s">
        <v>3020</v>
      </c>
      <c r="C91" s="106" t="n">
        <f aca="false">IF(Prof_SA=Prof_Top,1,0)</f>
        <v>1</v>
      </c>
    </row>
    <row r="92" customFormat="false" ht="15" hidden="false" customHeight="true" outlineLevel="0" collapsed="false">
      <c r="B92" s="1" t="s">
        <v>3021</v>
      </c>
      <c r="C92" s="106" t="n">
        <f aca="false">IF(Prof_SB=Prof_Top,1,0)</f>
        <v>1</v>
      </c>
    </row>
    <row r="93" customFormat="false" ht="15" hidden="false" customHeight="true" outlineLevel="0" collapsed="false">
      <c r="B93" s="1" t="s">
        <v>3022</v>
      </c>
      <c r="C93" s="106" t="n">
        <f aca="false">IF(Prof_SE=Prof_Top,1,0)</f>
        <v>1</v>
      </c>
    </row>
    <row r="94" customFormat="false" ht="15" hidden="false" customHeight="true" outlineLevel="0" collapsed="false">
      <c r="B94" s="1" t="s">
        <v>3023</v>
      </c>
      <c r="C94" s="106" t="n">
        <f aca="false">IF(Prof_SC=Prof_Top,1,0)</f>
        <v>1</v>
      </c>
    </row>
    <row r="95" customFormat="false" ht="15" hidden="false" customHeight="true" outlineLevel="0" collapsed="false">
      <c r="B95" s="1" t="s">
        <v>3024</v>
      </c>
      <c r="C95" s="106" t="n">
        <f aca="false">Prof_TA+Prof_TB+Prof_TE+Prof_TC</f>
        <v>4</v>
      </c>
    </row>
    <row r="96" customFormat="false" ht="15" hidden="false" customHeight="true" outlineLevel="0" collapsed="false">
      <c r="B96" s="1" t="s">
        <v>3025</v>
      </c>
      <c r="C96" s="106" t="str">
        <f aca="false">IF(PA_2&gt;0,CHOOSE(PA_2,IF(Prof_TA=1,"A",""),IF(Prof_TB=1,"B",""),IF(Prof_TE=1,"E",""),IF(Prof_TC=1,"C","")),"")</f>
        <v/>
      </c>
    </row>
    <row r="97" customFormat="false" ht="15" hidden="false" customHeight="true" outlineLevel="0" collapsed="false">
      <c r="B97" s="1" t="s">
        <v>3026</v>
      </c>
      <c r="C97" s="106" t="n">
        <f aca="false">IF(PA_4&gt;0,CHOOSE(PA_4,Prof_TE,Prof_TA,Prof_TB,Prof_TB+Prof_TC),0)</f>
        <v>0</v>
      </c>
    </row>
    <row r="98" customFormat="false" ht="15" hidden="false" customHeight="true" outlineLevel="0" collapsed="false">
      <c r="B98" s="1" t="s">
        <v>3027</v>
      </c>
      <c r="C98" s="106" t="str">
        <f aca="false">IF(Prof_Q4N=1,CHOOSE(PA_4,"E","A","B",IF(Prof_TB=1,"B","C")),"")</f>
        <v/>
      </c>
    </row>
    <row r="99" customFormat="false" ht="15" hidden="false" customHeight="true" outlineLevel="0" collapsed="false">
      <c r="B99" s="1" t="s">
        <v>3028</v>
      </c>
      <c r="C99" s="106" t="str">
        <f aca="false">IF(Prof_TB=1,"B",IF(Prof_TA=1,"A",IF(Prof_TC=1,"C","E")))</f>
        <v>B</v>
      </c>
    </row>
    <row r="100" customFormat="false" ht="15" hidden="false" customHeight="true" outlineLevel="0" collapsed="false">
      <c r="B100" s="1" t="s">
        <v>3029</v>
      </c>
      <c r="C100" s="106" t="str">
        <f aca="false">IF(Prof_DiscCount&lt;4,"",IF(Prof_TiedN=1,IF(Prof_TA=1,"A",IF(Prof_TB=1,"B",IF(Prof_TE=1,"E","C"))),IF(Prof_L2&lt;&gt;"",Prof_L2,IF(Prof_Q4L&lt;&gt;"",Prof_Q4L,Prof_First))))</f>
        <v/>
      </c>
    </row>
    <row r="101" customFormat="false" ht="15" hidden="false" customHeight="true" outlineLevel="0" collapsed="false">
      <c r="B101" s="1" t="s">
        <v>3030</v>
      </c>
      <c r="C101" s="106" t="str">
        <f aca="false">IF(Prof_TypeKey="","",IF(Prof_TypeKey="A","Achiever",IF(Prof_TypeKey="B","Balancer",IF(Prof_TypeKey="E","Explorer","Contented"))))</f>
        <v/>
      </c>
    </row>
    <row r="102" customFormat="false" ht="15" hidden="false" customHeight="true" outlineLevel="0" collapsed="false">
      <c r="B102" s="1" t="s">
        <v>3031</v>
      </c>
      <c r="C102" s="106" t="n">
        <f aca="false">IF(PA_6&gt;0,SUMIFS('Plan profile'!$C$23:$C$75,Prof_Key,"6|"&amp;PA_6),-1)</f>
        <v>-1</v>
      </c>
    </row>
    <row r="103" customFormat="false" ht="15" hidden="false" customHeight="true" outlineLevel="0" collapsed="false">
      <c r="B103" s="1" t="s">
        <v>3032</v>
      </c>
      <c r="C103" s="106" t="n">
        <f aca="false">IF(PA_7&gt;0,SUMIFS('Plan profile'!$C$23:$C$75,Prof_Key,"7|"&amp;PA_7),-1)</f>
        <v>-1</v>
      </c>
    </row>
    <row r="104" customFormat="false" ht="15" hidden="false" customHeight="true" outlineLevel="0" collapsed="false">
      <c r="B104" s="1" t="s">
        <v>3033</v>
      </c>
      <c r="C104" s="106" t="n">
        <f aca="false">IF(PA_8&gt;0,SUMIFS('Plan profile'!$C$23:$C$75,Prof_Key,"8|"&amp;PA_8),-1)</f>
        <v>-1</v>
      </c>
    </row>
    <row r="105" customFormat="false" ht="15" hidden="false" customHeight="true" outlineLevel="0" collapsed="false">
      <c r="B105" s="1" t="s">
        <v>3034</v>
      </c>
      <c r="C105" s="106" t="n">
        <f aca="false">IF(PA_9&gt;0,SUMIFS('Plan profile'!$C$23:$C$75,Prof_Key,"9|"&amp;PA_9),-1)</f>
        <v>-1</v>
      </c>
    </row>
    <row r="106" customFormat="false" ht="15" hidden="false" customHeight="true" outlineLevel="0" collapsed="false">
      <c r="B106" s="1" t="s">
        <v>3035</v>
      </c>
      <c r="C106" s="106" t="n">
        <f aca="false">IF(Prof_UmCount=13,1,0)</f>
        <v>0</v>
      </c>
    </row>
    <row r="107" customFormat="false" ht="15" hidden="false" customHeight="true" outlineLevel="0" collapsed="false">
      <c r="B107" s="1" t="s">
        <v>3036</v>
      </c>
      <c r="C107" s="106" t="n">
        <f aca="false">IF(COUNTIFS(GL_Kind,"pot",GL_AgeRaw,"&gt;"&amp;(F_Age+2))=0,9999,_xlfn.MINIFS(GL_AgeRaw,GL_Kind,"pot",GL_AgeRaw,"&gt;"&amp;(F_Age+2)))</f>
        <v>9999</v>
      </c>
    </row>
    <row r="108" customFormat="false" ht="15" hidden="false" customHeight="true" outlineLevel="0" collapsed="false">
      <c r="B108" s="1" t="s">
        <v>3037</v>
      </c>
      <c r="C108" s="106"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3038</v>
      </c>
      <c r="C109" s="106"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3039</v>
      </c>
      <c r="C110" s="106" t="n">
        <f aca="false">IF(PA_u9&gt;0,PA_u9-1,Prof_SuggestU9)</f>
        <v>3</v>
      </c>
    </row>
    <row r="111" customFormat="false" ht="15" hidden="false" customHeight="true" outlineLevel="0" collapsed="false">
      <c r="B111" s="1" t="s">
        <v>3040</v>
      </c>
      <c r="C111" s="106" t="str">
        <f aca="false">IF(OR(Prof_q8&lt;0,Prof_q9&lt;0),"",MIN(Prof_q8+IF(AND(Prof_q9=4,Prof_q8&gt;=3),1,0),IF(Prof_q9=1,2,IF(Prof_q9=2,3,5))))</f>
        <v/>
      </c>
    </row>
    <row r="112" customFormat="false" ht="15" hidden="false" customHeight="true" outlineLevel="0" collapsed="false">
      <c r="B112" s="1" t="s">
        <v>3041</v>
      </c>
      <c r="C112" s="106"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3042</v>
      </c>
      <c r="C113" s="106" t="str">
        <f aca="false">IF(Prof_T="","",CHOOSE(Prof_Wait+1,1,2,4,5))</f>
        <v/>
      </c>
    </row>
    <row r="114" customFormat="false" ht="15" hidden="false" customHeight="true" outlineLevel="0" collapsed="false">
      <c r="B114" s="1" t="s">
        <v>3043</v>
      </c>
      <c r="C114" s="106" t="str">
        <f aca="false">IF(Prof_T="","",IF(OR(Prof_Full=0,PA_u11=0),3,MIN(CHOOSE(PA_u11,3,4,5,IF(PA_chipShares=1,5,4)),IF(AND(PA_u11&gt;=3,PA_chipsN&gt;0,PA_chipsSafe=1),4,9))))</f>
        <v/>
      </c>
    </row>
    <row r="115" customFormat="false" ht="15" hidden="false" customHeight="true" outlineLevel="0" collapsed="false">
      <c r="B115" s="1" t="s">
        <v>3044</v>
      </c>
      <c r="C115" s="106" t="str">
        <f aca="false">IF(Prof_T="","",MIN(Prof_T,Prof_C,Prof_H,Prof_KE))</f>
        <v/>
      </c>
    </row>
    <row r="116" customFormat="false" ht="15" hidden="false" customHeight="true" outlineLevel="0" collapsed="false">
      <c r="B116" s="1" t="s">
        <v>3045</v>
      </c>
      <c r="C116" s="106" t="str">
        <f aca="false">IF(Prof_Level="","",CHOOSE(Prof_Level,"Cautious","Cautious–balanced","Balanced","Balanced–growth","Growth"))</f>
        <v/>
      </c>
    </row>
    <row r="117" customFormat="false" ht="15" hidden="false" customHeight="true" outlineLevel="0" collapsed="false">
      <c r="B117" s="1" t="s">
        <v>3046</v>
      </c>
      <c r="C117" s="106" t="str">
        <f aca="false">IF(Prof_Level="","",IF(Prof_Level=Prof_T,"want",IF(Prof_Level=Prof_C,"can",IF(Prof_Level=Prof_H,"time","experience"))))</f>
        <v/>
      </c>
    </row>
    <row r="118" customFormat="false" ht="15" hidden="false" customHeight="true" outlineLevel="0" collapsed="false">
      <c r="B118" s="1" t="s">
        <v>3047</v>
      </c>
      <c r="C118" s="106" t="str">
        <f aca="false">IF(Prof_q8&lt;=0,"",CHOOSE(Prof_q8,"Steady","Mostly steady","Balanced","Adventurous"))</f>
        <v/>
      </c>
    </row>
    <row r="119" customFormat="false" ht="15" hidden="false" customHeight="true" outlineLevel="0" collapsed="false">
      <c r="B119" s="1" t="s">
        <v>3048</v>
      </c>
      <c r="C119" s="106" t="str">
        <f aca="false">IF(Prof_q7&lt;0,"",IF(Prof_q7=4,"Strong","Thin"))</f>
        <v/>
      </c>
    </row>
    <row r="120" customFormat="false" ht="15" hidden="false" customHeight="true" outlineLevel="0" collapsed="false">
      <c r="B120" s="1" t="s">
        <v>3049</v>
      </c>
      <c r="C120" s="106" t="n">
        <f aca="false">IF(Prof_Full=1,0,1)</f>
        <v>1</v>
      </c>
    </row>
    <row r="121" customFormat="false" ht="15" hidden="false" customHeight="true" outlineLevel="0" collapsed="false">
      <c r="B121" s="1" t="s">
        <v>3050</v>
      </c>
      <c r="C121" s="106" t="n">
        <f aca="false">IF(Prof_q8&gt;=3,1,0)</f>
        <v>0</v>
      </c>
    </row>
    <row r="122" customFormat="false" ht="15" hidden="false" customHeight="true" outlineLevel="0" collapsed="false">
      <c r="B122" s="1" t="s">
        <v>3051</v>
      </c>
      <c r="C122" s="106" t="n">
        <f aca="false">IF(AND(Prof_q8&gt;=1,Prof_q8&lt;=2),1,0)</f>
        <v>0</v>
      </c>
    </row>
    <row r="123" customFormat="false" ht="15" hidden="false" customHeight="true" outlineLevel="0" collapsed="false">
      <c r="B123" s="1" t="s">
        <v>3052</v>
      </c>
      <c r="C123" s="106" t="n">
        <f aca="false">IF(Prof_q9&gt;=3,1,0)</f>
        <v>0</v>
      </c>
    </row>
    <row r="124" customFormat="false" ht="15" hidden="false" customHeight="true" outlineLevel="0" collapsed="false">
      <c r="B124" s="1" t="s">
        <v>3053</v>
      </c>
      <c r="C124" s="106" t="n">
        <f aca="false">IF(AND(Prof_q9&gt;=1,Prof_q9&lt;=2),1,0)</f>
        <v>0</v>
      </c>
    </row>
    <row r="125" customFormat="false" ht="15" hidden="false" customHeight="true" outlineLevel="0" collapsed="false">
      <c r="B125" s="1" t="s">
        <v>3054</v>
      </c>
      <c r="C125" s="106" t="n">
        <f aca="false">IF(OR(AND(Prof_q7&gt;=0,Prof_q7&lt;=2),AND(Prof_Full=1,PA_u14&gt;0,PA_u14&lt;=2)),1,0)</f>
        <v>0</v>
      </c>
    </row>
    <row r="126" customFormat="false" ht="15" hidden="false" customHeight="true" outlineLevel="0" collapsed="false">
      <c r="B126" s="1" t="s">
        <v>3055</v>
      </c>
      <c r="C126" s="106" t="n">
        <f aca="false">IF(AND(Prof_Full=1,Prof_H&lt;&gt;"",Prof_H&lt;=2),1,0)</f>
        <v>0</v>
      </c>
    </row>
    <row r="127" customFormat="false" ht="15" hidden="false" customHeight="true" outlineLevel="0" collapsed="false">
      <c r="B127" s="1" t="s">
        <v>3056</v>
      </c>
      <c r="C127" s="106" t="n">
        <f aca="false">IF(AND(Prof_Full=1,Prof_C&lt;&gt;"",Prof_C&lt;=2),1,0)</f>
        <v>0</v>
      </c>
    </row>
    <row r="128" customFormat="false" ht="15" hidden="false" customHeight="true" outlineLevel="0" collapsed="false">
      <c r="B128" s="1" t="s">
        <v>3057</v>
      </c>
      <c r="C128" s="106" t="n">
        <f aca="false">IF(OR(Prof_Thin=1,Prof_LossLo=1,Prof_ShortT=1),1,0)</f>
        <v>0</v>
      </c>
    </row>
    <row r="129" customFormat="false" ht="15" hidden="false" customHeight="true" outlineLevel="0" collapsed="false">
      <c r="B129" s="1" t="s">
        <v>3058</v>
      </c>
      <c r="C129" s="106" t="n">
        <f aca="false">IF(Prof_Level="",0,IF(Prof_Full=1,IF(AND(Prof_C&gt;=4,Prof_H&gt;=4),1,0),IF(AND(Prof_q7=4,Prof_q6&gt;=3),1,0)))</f>
        <v>0</v>
      </c>
    </row>
    <row r="130" customFormat="false" ht="15" hidden="false" customHeight="true" outlineLevel="0" collapsed="false">
      <c r="B130" s="1" t="s">
        <v>3059</v>
      </c>
      <c r="C130" s="106"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3060</v>
      </c>
      <c r="C131" s="106"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3061</v>
      </c>
      <c r="C132" s="106"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3062</v>
      </c>
      <c r="C133" s="106"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3063</v>
      </c>
      <c r="C134" s="106" t="str">
        <f aca="false">MID(IF(IF(PA_8&gt;0,INDEX('Plan profile'!$H$23:$H$75,MATCH("8|"&amp;PA_8,Prof_Key,0)),"")="","","|"&amp;IF(PA_8&gt;0,INDEX('Plan profile'!$H$23:$H$75,MATCH("8|"&amp;PA_8,Prof_Key,0)),"")),2,500)</f>
        <v/>
      </c>
    </row>
    <row r="135" customFormat="false" ht="15" hidden="false" customHeight="true" outlineLevel="0" collapsed="false">
      <c r="B135" s="1" t="s">
        <v>3064</v>
      </c>
      <c r="C135" s="106"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3" t="s">
        <v>3065</v>
      </c>
    </row>
    <row r="2" customFormat="false" ht="39.75" hidden="false" customHeight="true" outlineLevel="0" collapsed="false">
      <c r="B2" s="94" t="s">
        <v>3066</v>
      </c>
      <c r="C2" s="94"/>
      <c r="D2" s="94"/>
      <c r="E2" s="94"/>
      <c r="F2" s="94"/>
      <c r="G2" s="94"/>
      <c r="H2" s="94"/>
      <c r="I2" s="94"/>
      <c r="J2" s="94"/>
      <c r="K2" s="94"/>
      <c r="L2" s="94"/>
    </row>
    <row r="6" customFormat="false" ht="81.75" hidden="false" customHeight="true" outlineLevel="0" collapsed="false">
      <c r="A6" s="96" t="s">
        <v>1885</v>
      </c>
      <c r="B6" s="103" t="s">
        <v>1886</v>
      </c>
      <c r="C6" s="103" t="s">
        <v>3067</v>
      </c>
      <c r="D6" s="103" t="s">
        <v>3068</v>
      </c>
      <c r="E6" s="103" t="s">
        <v>3069</v>
      </c>
      <c r="F6" s="103" t="s">
        <v>3070</v>
      </c>
      <c r="G6" s="103" t="s">
        <v>3071</v>
      </c>
      <c r="H6" s="103" t="s">
        <v>3072</v>
      </c>
      <c r="I6" s="103" t="s">
        <v>3073</v>
      </c>
      <c r="J6" s="103" t="s">
        <v>3074</v>
      </c>
      <c r="K6" s="103" t="s">
        <v>3075</v>
      </c>
      <c r="L6" s="103" t="s">
        <v>3076</v>
      </c>
      <c r="M6" s="103" t="s">
        <v>3077</v>
      </c>
      <c r="N6" s="103" t="s">
        <v>3078</v>
      </c>
      <c r="O6" s="103" t="s">
        <v>3079</v>
      </c>
      <c r="P6" s="103" t="s">
        <v>3080</v>
      </c>
      <c r="Q6" s="103" t="s">
        <v>3081</v>
      </c>
      <c r="R6" s="103" t="s">
        <v>3082</v>
      </c>
      <c r="S6" s="103" t="s">
        <v>3083</v>
      </c>
      <c r="T6" s="103" t="s">
        <v>3084</v>
      </c>
      <c r="U6" s="103" t="s">
        <v>3085</v>
      </c>
      <c r="V6" s="103" t="s">
        <v>3086</v>
      </c>
      <c r="W6" s="103" t="s">
        <v>3087</v>
      </c>
      <c r="X6" s="103" t="s">
        <v>3088</v>
      </c>
      <c r="Y6" s="103" t="s">
        <v>3089</v>
      </c>
      <c r="Z6" s="103" t="s">
        <v>3090</v>
      </c>
      <c r="AA6" s="103" t="s">
        <v>3091</v>
      </c>
      <c r="AB6" s="103" t="s">
        <v>3092</v>
      </c>
      <c r="AC6" s="103" t="s">
        <v>3093</v>
      </c>
      <c r="AD6" s="103" t="s">
        <v>3094</v>
      </c>
      <c r="AE6" s="103" t="s">
        <v>3095</v>
      </c>
      <c r="AF6" s="103" t="s">
        <v>3096</v>
      </c>
      <c r="AG6" s="103" t="s">
        <v>3097</v>
      </c>
      <c r="AH6" s="103" t="s">
        <v>3098</v>
      </c>
      <c r="AI6" s="103" t="s">
        <v>3099</v>
      </c>
      <c r="AJ6" s="103" t="s">
        <v>3100</v>
      </c>
      <c r="AK6" s="103" t="s">
        <v>3101</v>
      </c>
      <c r="AL6" s="103" t="s">
        <v>3102</v>
      </c>
      <c r="AM6" s="103" t="s">
        <v>3103</v>
      </c>
      <c r="AN6" s="103" t="s">
        <v>3104</v>
      </c>
      <c r="AO6" s="103" t="s">
        <v>3105</v>
      </c>
      <c r="AP6" s="103" t="s">
        <v>3106</v>
      </c>
      <c r="AQ6" s="103" t="s">
        <v>3107</v>
      </c>
      <c r="AR6" s="103" t="s">
        <v>3108</v>
      </c>
      <c r="AS6" s="103" t="s">
        <v>3109</v>
      </c>
      <c r="AT6" s="103" t="s">
        <v>3110</v>
      </c>
      <c r="AU6" s="103" t="s">
        <v>3111</v>
      </c>
      <c r="AV6" s="103" t="s">
        <v>3112</v>
      </c>
      <c r="AW6" s="103" t="s">
        <v>3113</v>
      </c>
      <c r="AX6" s="103" t="s">
        <v>3114</v>
      </c>
      <c r="AY6" s="103" t="s">
        <v>3115</v>
      </c>
      <c r="AZ6" s="103" t="s">
        <v>3116</v>
      </c>
      <c r="BA6" s="103" t="s">
        <v>3117</v>
      </c>
      <c r="BB6" s="103" t="s">
        <v>3118</v>
      </c>
      <c r="BC6" s="103" t="s">
        <v>3119</v>
      </c>
      <c r="BD6" s="103" t="s">
        <v>3120</v>
      </c>
      <c r="BE6" s="103" t="s">
        <v>3121</v>
      </c>
      <c r="BF6" s="103" t="s">
        <v>3122</v>
      </c>
      <c r="BG6" s="103" t="s">
        <v>3123</v>
      </c>
      <c r="BH6" s="103" t="s">
        <v>3124</v>
      </c>
      <c r="BI6" s="103" t="s">
        <v>3125</v>
      </c>
      <c r="BJ6" s="103" t="s">
        <v>3126</v>
      </c>
      <c r="BK6" s="103" t="s">
        <v>3127</v>
      </c>
      <c r="BL6" s="103" t="s">
        <v>3128</v>
      </c>
      <c r="BM6" s="103" t="s">
        <v>3129</v>
      </c>
      <c r="BN6" s="103" t="s">
        <v>3130</v>
      </c>
      <c r="BO6" s="103" t="s">
        <v>3131</v>
      </c>
      <c r="BP6" s="103" t="s">
        <v>3132</v>
      </c>
      <c r="BQ6" s="103" t="s">
        <v>3133</v>
      </c>
      <c r="BR6" s="103" t="s">
        <v>3134</v>
      </c>
      <c r="BS6" s="103" t="s">
        <v>3135</v>
      </c>
      <c r="BT6" s="103" t="s">
        <v>3136</v>
      </c>
      <c r="BU6" s="103" t="s">
        <v>3137</v>
      </c>
      <c r="BV6" s="103" t="s">
        <v>3138</v>
      </c>
      <c r="BW6" s="103" t="s">
        <v>3139</v>
      </c>
      <c r="BX6" s="103" t="s">
        <v>3140</v>
      </c>
      <c r="BY6" s="103" t="s">
        <v>3141</v>
      </c>
      <c r="BZ6" s="103" t="s">
        <v>3142</v>
      </c>
      <c r="CA6" s="103" t="s">
        <v>3143</v>
      </c>
      <c r="CB6" s="103" t="s">
        <v>3144</v>
      </c>
      <c r="CC6" s="103" t="s">
        <v>3145</v>
      </c>
      <c r="CD6" s="103" t="s">
        <v>3146</v>
      </c>
      <c r="CE6" s="103" t="s">
        <v>3147</v>
      </c>
      <c r="CF6" s="103" t="s">
        <v>3148</v>
      </c>
      <c r="CG6" s="103" t="s">
        <v>3149</v>
      </c>
      <c r="CH6" s="103" t="s">
        <v>3150</v>
      </c>
      <c r="CI6" s="103" t="s">
        <v>3151</v>
      </c>
      <c r="CJ6" s="103" t="s">
        <v>3152</v>
      </c>
      <c r="CK6" s="103" t="s">
        <v>3153</v>
      </c>
      <c r="CL6" s="103" t="s">
        <v>3154</v>
      </c>
      <c r="CM6" s="103" t="s">
        <v>3155</v>
      </c>
      <c r="CN6" s="103" t="s">
        <v>3156</v>
      </c>
      <c r="CO6" s="103" t="s">
        <v>3157</v>
      </c>
      <c r="CP6" s="103" t="s">
        <v>3158</v>
      </c>
      <c r="CQ6" s="103" t="s">
        <v>3159</v>
      </c>
      <c r="CR6" s="103" t="s">
        <v>3160</v>
      </c>
      <c r="CS6" s="103" t="s">
        <v>3161</v>
      </c>
      <c r="CT6" s="103" t="s">
        <v>3162</v>
      </c>
      <c r="CU6" s="103" t="s">
        <v>3163</v>
      </c>
      <c r="CV6" s="103" t="s">
        <v>3164</v>
      </c>
      <c r="CW6" s="103" t="s">
        <v>3165</v>
      </c>
      <c r="CX6" s="103" t="s">
        <v>3166</v>
      </c>
      <c r="CY6" s="103" t="s">
        <v>3167</v>
      </c>
      <c r="CZ6" s="103" t="s">
        <v>3168</v>
      </c>
      <c r="DA6" s="103" t="s">
        <v>3169</v>
      </c>
      <c r="DB6" s="103" t="s">
        <v>3170</v>
      </c>
      <c r="DC6" s="103" t="s">
        <v>3171</v>
      </c>
      <c r="DD6" s="103" t="s">
        <v>3172</v>
      </c>
      <c r="DE6" s="103" t="s">
        <v>3173</v>
      </c>
      <c r="DF6" s="103" t="s">
        <v>3174</v>
      </c>
      <c r="DG6" s="103" t="s">
        <v>3175</v>
      </c>
    </row>
    <row r="7" customFormat="false" ht="15" hidden="false" customHeight="true" outlineLevel="0" collapsed="false">
      <c r="A7" s="1" t="s">
        <v>1955</v>
      </c>
      <c r="CF7" s="113" t="n">
        <f aca="false">F_MortBal</f>
        <v>0</v>
      </c>
      <c r="DE7" s="113"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3" t="s">
        <v>3176</v>
      </c>
    </row>
    <row r="3" customFormat="false" ht="105" hidden="false" customHeight="true" outlineLevel="0" collapsed="false">
      <c r="B3" s="116" t="s">
        <v>3177</v>
      </c>
      <c r="C3" s="120" t="s">
        <v>3178</v>
      </c>
    </row>
    <row r="4" customFormat="false" ht="135" hidden="false" customHeight="true" outlineLevel="0" collapsed="false">
      <c r="B4" s="116" t="s">
        <v>3179</v>
      </c>
      <c r="C4" s="120" t="s">
        <v>3180</v>
      </c>
    </row>
    <row r="5" customFormat="false" ht="45" hidden="false" customHeight="true" outlineLevel="0" collapsed="false">
      <c r="B5" s="116" t="s">
        <v>3181</v>
      </c>
      <c r="C5" s="120" t="s">
        <v>3182</v>
      </c>
    </row>
    <row r="6" customFormat="false" ht="120" hidden="false" customHeight="true" outlineLevel="0" collapsed="false">
      <c r="B6" s="116" t="s">
        <v>3183</v>
      </c>
      <c r="C6" s="120" t="s">
        <v>3184</v>
      </c>
    </row>
    <row r="7" customFormat="false" ht="105" hidden="false" customHeight="true" outlineLevel="0" collapsed="false">
      <c r="B7" s="116" t="s">
        <v>3185</v>
      </c>
      <c r="C7" s="120" t="s">
        <v>3186</v>
      </c>
    </row>
    <row r="8" customFormat="false" ht="90" hidden="false" customHeight="true" outlineLevel="0" collapsed="false">
      <c r="B8" s="116" t="s">
        <v>3187</v>
      </c>
      <c r="C8" s="120" t="s">
        <v>3188</v>
      </c>
    </row>
    <row r="9" customFormat="false" ht="90" hidden="false" customHeight="true" outlineLevel="0" collapsed="false">
      <c r="B9" s="116" t="s">
        <v>3189</v>
      </c>
      <c r="C9" s="120" t="s">
        <v>3190</v>
      </c>
    </row>
    <row r="10" customFormat="false" ht="45" hidden="false" customHeight="true" outlineLevel="0" collapsed="false">
      <c r="B10" s="116" t="s">
        <v>3191</v>
      </c>
      <c r="C10" s="120" t="s">
        <v>3192</v>
      </c>
    </row>
    <row r="11" customFormat="false" ht="105" hidden="false" customHeight="true" outlineLevel="0" collapsed="false">
      <c r="B11" s="116" t="s">
        <v>3193</v>
      </c>
      <c r="C11" s="120" t="s">
        <v>3194</v>
      </c>
    </row>
    <row r="12" customFormat="false" ht="75" hidden="false" customHeight="true" outlineLevel="0" collapsed="false">
      <c r="B12" s="116" t="s">
        <v>3195</v>
      </c>
      <c r="C12" s="120" t="s">
        <v>3196</v>
      </c>
    </row>
    <row r="13" customFormat="false" ht="105" hidden="false" customHeight="true" outlineLevel="0" collapsed="false">
      <c r="B13" s="116" t="s">
        <v>3197</v>
      </c>
      <c r="C13" s="120" t="s">
        <v>3198</v>
      </c>
    </row>
    <row r="14" customFormat="false" ht="255" hidden="false" customHeight="true" outlineLevel="0" collapsed="false">
      <c r="B14" s="116" t="s">
        <v>3199</v>
      </c>
      <c r="C14" s="120" t="s">
        <v>3200</v>
      </c>
    </row>
    <row r="15" customFormat="false" ht="135" hidden="false" customHeight="true" outlineLevel="0" collapsed="false">
      <c r="B15" s="116" t="s">
        <v>3201</v>
      </c>
      <c r="C15" s="120" t="s">
        <v>3202</v>
      </c>
    </row>
    <row r="16" customFormat="false" ht="255" hidden="false" customHeight="true" outlineLevel="0" collapsed="false">
      <c r="B16" s="116" t="s">
        <v>3203</v>
      </c>
      <c r="C16" s="120" t="s">
        <v>3204</v>
      </c>
    </row>
    <row r="18" customFormat="false" ht="15" hidden="false" customHeight="true" outlineLevel="0" collapsed="false">
      <c r="B18" s="116" t="s">
        <v>3205</v>
      </c>
    </row>
    <row r="19" customFormat="false" ht="15" hidden="false" customHeight="true" outlineLevel="0" collapsed="false">
      <c r="B19" s="96" t="s">
        <v>3206</v>
      </c>
      <c r="C19" s="96" t="s">
        <v>3207</v>
      </c>
    </row>
    <row r="20" customFormat="false" ht="15" hidden="false" customHeight="true" outlineLevel="0" collapsed="false">
      <c r="B20" s="1" t="s">
        <v>3208</v>
      </c>
      <c r="C20" s="1" t="s">
        <v>3209</v>
      </c>
    </row>
    <row r="21" customFormat="false" ht="15" hidden="false" customHeight="true" outlineLevel="0" collapsed="false">
      <c r="B21" s="1" t="s">
        <v>3210</v>
      </c>
      <c r="C21" s="1" t="s">
        <v>3211</v>
      </c>
    </row>
    <row r="22" customFormat="false" ht="15" hidden="false" customHeight="true" outlineLevel="0" collapsed="false">
      <c r="B22" s="1" t="s">
        <v>3212</v>
      </c>
      <c r="C22" s="1" t="s">
        <v>3213</v>
      </c>
    </row>
    <row r="23" customFormat="false" ht="15" hidden="false" customHeight="true" outlineLevel="0" collapsed="false">
      <c r="B23" s="1" t="s">
        <v>3214</v>
      </c>
      <c r="C23" s="1" t="s">
        <v>3215</v>
      </c>
    </row>
    <row r="24" customFormat="false" ht="15" hidden="false" customHeight="true" outlineLevel="0" collapsed="false">
      <c r="B24" s="1" t="s">
        <v>3216</v>
      </c>
      <c r="C24" s="1" t="s">
        <v>3217</v>
      </c>
    </row>
    <row r="25" customFormat="false" ht="15" hidden="false" customHeight="true" outlineLevel="0" collapsed="false">
      <c r="B25" s="1" t="s">
        <v>3218</v>
      </c>
      <c r="C25" s="1" t="s">
        <v>3219</v>
      </c>
    </row>
    <row r="26" customFormat="false" ht="15" hidden="false" customHeight="true" outlineLevel="0" collapsed="false">
      <c r="B26" s="1" t="s">
        <v>3220</v>
      </c>
      <c r="C26" s="1" t="s">
        <v>3221</v>
      </c>
    </row>
    <row r="27" customFormat="false" ht="15" hidden="false" customHeight="true" outlineLevel="0" collapsed="false">
      <c r="B27" s="1" t="s">
        <v>3222</v>
      </c>
      <c r="C27" s="1" t="s">
        <v>3223</v>
      </c>
    </row>
    <row r="28" customFormat="false" ht="15" hidden="false" customHeight="true" outlineLevel="0" collapsed="false">
      <c r="B28" s="1" t="s">
        <v>3224</v>
      </c>
      <c r="C28" s="1" t="s">
        <v>3225</v>
      </c>
    </row>
    <row r="29" customFormat="false" ht="15" hidden="false" customHeight="true" outlineLevel="0" collapsed="false">
      <c r="B29" s="1" t="s">
        <v>3226</v>
      </c>
      <c r="C29" s="1" t="s">
        <v>3227</v>
      </c>
    </row>
    <row r="30" customFormat="false" ht="15" hidden="false" customHeight="true" outlineLevel="0" collapsed="false">
      <c r="B30" s="1" t="s">
        <v>3228</v>
      </c>
      <c r="C30" s="1" t="s">
        <v>3229</v>
      </c>
    </row>
    <row r="31" customFormat="false" ht="15" hidden="false" customHeight="true" outlineLevel="0" collapsed="false">
      <c r="B31" s="1" t="s">
        <v>3230</v>
      </c>
      <c r="C31" s="1" t="s">
        <v>3231</v>
      </c>
    </row>
    <row r="32" customFormat="false" ht="15" hidden="false" customHeight="true" outlineLevel="0" collapsed="false">
      <c r="B32" s="1" t="s">
        <v>3232</v>
      </c>
      <c r="C32" s="1" t="s">
        <v>3233</v>
      </c>
    </row>
    <row r="33" customFormat="false" ht="15" hidden="false" customHeight="true" outlineLevel="0" collapsed="false">
      <c r="B33" s="1" t="s">
        <v>3234</v>
      </c>
      <c r="C33" s="1" t="s">
        <v>3235</v>
      </c>
    </row>
    <row r="34" customFormat="false" ht="15" hidden="false" customHeight="true" outlineLevel="0" collapsed="false">
      <c r="B34" s="1" t="s">
        <v>3236</v>
      </c>
      <c r="C34" s="1" t="s">
        <v>3237</v>
      </c>
    </row>
    <row r="35" customFormat="false" ht="15" hidden="false" customHeight="true" outlineLevel="0" collapsed="false">
      <c r="B35" s="1" t="s">
        <v>3238</v>
      </c>
      <c r="C35" s="1" t="s">
        <v>3239</v>
      </c>
    </row>
    <row r="36" customFormat="false" ht="15" hidden="false" customHeight="true" outlineLevel="0" collapsed="false">
      <c r="B36" s="1" t="s">
        <v>3240</v>
      </c>
      <c r="C36" s="1" t="s">
        <v>3241</v>
      </c>
    </row>
    <row r="37" customFormat="false" ht="15" hidden="false" customHeight="true" outlineLevel="0" collapsed="false">
      <c r="B37" s="1" t="s">
        <v>3242</v>
      </c>
      <c r="C37" s="1" t="s">
        <v>3243</v>
      </c>
    </row>
    <row r="38" customFormat="false" ht="15" hidden="false" customHeight="true" outlineLevel="0" collapsed="false">
      <c r="B38" s="1" t="s">
        <v>3244</v>
      </c>
      <c r="C38" s="1" t="s">
        <v>3245</v>
      </c>
    </row>
    <row r="39" customFormat="false" ht="15" hidden="false" customHeight="true" outlineLevel="0" collapsed="false">
      <c r="B39" s="1" t="s">
        <v>3246</v>
      </c>
      <c r="C39" s="1" t="s">
        <v>3247</v>
      </c>
    </row>
    <row r="40" customFormat="false" ht="15" hidden="false" customHeight="true" outlineLevel="0" collapsed="false">
      <c r="B40" s="1" t="s">
        <v>3248</v>
      </c>
      <c r="C40" s="1" t="s">
        <v>3249</v>
      </c>
    </row>
    <row r="41" customFormat="false" ht="15" hidden="false" customHeight="true" outlineLevel="0" collapsed="false">
      <c r="B41" s="1" t="s">
        <v>3250</v>
      </c>
      <c r="C41" s="1" t="s">
        <v>3251</v>
      </c>
    </row>
    <row r="42" customFormat="false" ht="15" hidden="false" customHeight="true" outlineLevel="0" collapsed="false">
      <c r="B42" s="1" t="s">
        <v>3252</v>
      </c>
      <c r="C42" s="1" t="s">
        <v>3253</v>
      </c>
    </row>
    <row r="43" customFormat="false" ht="15" hidden="false" customHeight="true" outlineLevel="0" collapsed="false">
      <c r="B43" s="1" t="s">
        <v>3254</v>
      </c>
      <c r="C43" s="1" t="s">
        <v>3255</v>
      </c>
    </row>
    <row r="44" customFormat="false" ht="15" hidden="false" customHeight="true" outlineLevel="0" collapsed="false">
      <c r="B44" s="1" t="s">
        <v>3256</v>
      </c>
      <c r="C44" s="1" t="s">
        <v>3257</v>
      </c>
    </row>
    <row r="45" customFormat="false" ht="15" hidden="false" customHeight="true" outlineLevel="0" collapsed="false">
      <c r="B45" s="1" t="s">
        <v>3258</v>
      </c>
      <c r="C45" s="1" t="s">
        <v>3259</v>
      </c>
    </row>
    <row r="46" customFormat="false" ht="15" hidden="false" customHeight="true" outlineLevel="0" collapsed="false">
      <c r="B46" s="1" t="s">
        <v>3260</v>
      </c>
      <c r="C46" s="1" t="s">
        <v>3261</v>
      </c>
    </row>
    <row r="47" customFormat="false" ht="15" hidden="false" customHeight="true" outlineLevel="0" collapsed="false">
      <c r="B47" s="1" t="s">
        <v>3262</v>
      </c>
      <c r="C47" s="1" t="s">
        <v>3263</v>
      </c>
    </row>
    <row r="48" customFormat="false" ht="15" hidden="false" customHeight="true" outlineLevel="0" collapsed="false">
      <c r="B48" s="1" t="s">
        <v>3264</v>
      </c>
      <c r="C48" s="1" t="s">
        <v>3265</v>
      </c>
    </row>
    <row r="49" customFormat="false" ht="15" hidden="false" customHeight="true" outlineLevel="0" collapsed="false">
      <c r="B49" s="1" t="s">
        <v>3266</v>
      </c>
      <c r="C49" s="1" t="s">
        <v>3267</v>
      </c>
    </row>
    <row r="50" customFormat="false" ht="15" hidden="false" customHeight="true" outlineLevel="0" collapsed="false">
      <c r="B50" s="1" t="s">
        <v>3268</v>
      </c>
      <c r="C50" s="1" t="s">
        <v>3269</v>
      </c>
    </row>
    <row r="51" customFormat="false" ht="15" hidden="false" customHeight="true" outlineLevel="0" collapsed="false">
      <c r="B51" s="1" t="s">
        <v>3270</v>
      </c>
      <c r="C51" s="1" t="s">
        <v>3271</v>
      </c>
    </row>
    <row r="52" customFormat="false" ht="15" hidden="false" customHeight="true" outlineLevel="0" collapsed="false">
      <c r="B52" s="1" t="s">
        <v>3272</v>
      </c>
      <c r="C52" s="1" t="s">
        <v>3273</v>
      </c>
    </row>
    <row r="53" customFormat="false" ht="15" hidden="false" customHeight="true" outlineLevel="0" collapsed="false">
      <c r="B53" s="1" t="s">
        <v>3274</v>
      </c>
      <c r="C53" s="1" t="s">
        <v>3275</v>
      </c>
    </row>
    <row r="54" customFormat="false" ht="15" hidden="false" customHeight="true" outlineLevel="0" collapsed="false">
      <c r="B54" s="1" t="s">
        <v>3276</v>
      </c>
      <c r="C54" s="1" t="s">
        <v>3277</v>
      </c>
    </row>
    <row r="55" customFormat="false" ht="15" hidden="false" customHeight="true" outlineLevel="0" collapsed="false">
      <c r="B55" s="1" t="s">
        <v>3278</v>
      </c>
      <c r="C55" s="1" t="s">
        <v>3279</v>
      </c>
    </row>
    <row r="56" customFormat="false" ht="15" hidden="false" customHeight="true" outlineLevel="0" collapsed="false">
      <c r="B56" s="1" t="s">
        <v>3280</v>
      </c>
      <c r="C56" s="1" t="s">
        <v>3281</v>
      </c>
    </row>
    <row r="57" customFormat="false" ht="15" hidden="false" customHeight="true" outlineLevel="0" collapsed="false">
      <c r="B57" s="1" t="s">
        <v>3282</v>
      </c>
      <c r="C57" s="1" t="s">
        <v>3283</v>
      </c>
    </row>
    <row r="58" customFormat="false" ht="15" hidden="false" customHeight="true" outlineLevel="0" collapsed="false">
      <c r="B58" s="1" t="s">
        <v>3284</v>
      </c>
      <c r="C58" s="1" t="s">
        <v>3285</v>
      </c>
    </row>
    <row r="59" customFormat="false" ht="15" hidden="false" customHeight="true" outlineLevel="0" collapsed="false">
      <c r="B59" s="1" t="s">
        <v>3286</v>
      </c>
      <c r="C59" s="1" t="s">
        <v>3287</v>
      </c>
    </row>
    <row r="60" customFormat="false" ht="15" hidden="false" customHeight="true" outlineLevel="0" collapsed="false">
      <c r="B60" s="1" t="s">
        <v>3288</v>
      </c>
      <c r="C60" s="1" t="s">
        <v>3289</v>
      </c>
    </row>
    <row r="61" customFormat="false" ht="15" hidden="false" customHeight="true" outlineLevel="0" collapsed="false">
      <c r="B61" s="1" t="s">
        <v>3290</v>
      </c>
      <c r="C61" s="1" t="s">
        <v>3291</v>
      </c>
    </row>
    <row r="62" customFormat="false" ht="15" hidden="false" customHeight="true" outlineLevel="0" collapsed="false">
      <c r="B62" s="1" t="s">
        <v>3292</v>
      </c>
      <c r="C62" s="1" t="s">
        <v>3293</v>
      </c>
    </row>
    <row r="63" customFormat="false" ht="15" hidden="false" customHeight="true" outlineLevel="0" collapsed="false">
      <c r="B63" s="1" t="s">
        <v>3294</v>
      </c>
      <c r="C63" s="1" t="s">
        <v>3295</v>
      </c>
    </row>
    <row r="64" customFormat="false" ht="15" hidden="false" customHeight="true" outlineLevel="0" collapsed="false">
      <c r="B64" s="1" t="s">
        <v>3296</v>
      </c>
      <c r="C64" s="1" t="s">
        <v>3297</v>
      </c>
    </row>
    <row r="65" customFormat="false" ht="15" hidden="false" customHeight="true" outlineLevel="0" collapsed="false">
      <c r="B65" s="1" t="s">
        <v>3298</v>
      </c>
      <c r="C65" s="1" t="s">
        <v>3299</v>
      </c>
    </row>
    <row r="66" customFormat="false" ht="15" hidden="false" customHeight="true" outlineLevel="0" collapsed="false">
      <c r="B66" s="1" t="s">
        <v>3300</v>
      </c>
      <c r="C66" s="1" t="s">
        <v>3301</v>
      </c>
    </row>
    <row r="67" customFormat="false" ht="15" hidden="false" customHeight="true" outlineLevel="0" collapsed="false">
      <c r="B67" s="1" t="s">
        <v>3302</v>
      </c>
      <c r="C67" s="1" t="s">
        <v>3303</v>
      </c>
    </row>
    <row r="68" customFormat="false" ht="15" hidden="false" customHeight="true" outlineLevel="0" collapsed="false">
      <c r="B68" s="1" t="s">
        <v>3304</v>
      </c>
      <c r="C68" s="1" t="s">
        <v>3305</v>
      </c>
    </row>
    <row r="69" customFormat="false" ht="15" hidden="false" customHeight="true" outlineLevel="0" collapsed="false">
      <c r="B69" s="1" t="s">
        <v>3306</v>
      </c>
      <c r="C69" s="1" t="s">
        <v>3307</v>
      </c>
    </row>
    <row r="70" customFormat="false" ht="15" hidden="false" customHeight="true" outlineLevel="0" collapsed="false">
      <c r="B70" s="1" t="s">
        <v>3308</v>
      </c>
      <c r="C70" s="1" t="s">
        <v>3309</v>
      </c>
    </row>
    <row r="71" customFormat="false" ht="15" hidden="false" customHeight="true" outlineLevel="0" collapsed="false">
      <c r="B71" s="1" t="s">
        <v>3310</v>
      </c>
      <c r="C71" s="1" t="s">
        <v>3311</v>
      </c>
    </row>
    <row r="72" customFormat="false" ht="15" hidden="false" customHeight="true" outlineLevel="0" collapsed="false">
      <c r="B72" s="1" t="s">
        <v>3312</v>
      </c>
      <c r="C72" s="1" t="s">
        <v>3313</v>
      </c>
    </row>
    <row r="73" customFormat="false" ht="15" hidden="false" customHeight="true" outlineLevel="0" collapsed="false">
      <c r="B73" s="1" t="s">
        <v>3314</v>
      </c>
      <c r="C73" s="1" t="s">
        <v>3315</v>
      </c>
    </row>
    <row r="74" customFormat="false" ht="15" hidden="false" customHeight="true" outlineLevel="0" collapsed="false">
      <c r="B74" s="1" t="s">
        <v>3316</v>
      </c>
      <c r="C74" s="1" t="s">
        <v>3317</v>
      </c>
    </row>
    <row r="75" customFormat="false" ht="15" hidden="false" customHeight="true" outlineLevel="0" collapsed="false">
      <c r="B75" s="1" t="s">
        <v>3318</v>
      </c>
      <c r="C75" s="1" t="s">
        <v>3319</v>
      </c>
    </row>
    <row r="76" customFormat="false" ht="15" hidden="false" customHeight="true" outlineLevel="0" collapsed="false">
      <c r="B76" s="1" t="s">
        <v>3320</v>
      </c>
      <c r="C76" s="1" t="s">
        <v>3321</v>
      </c>
    </row>
    <row r="77" customFormat="false" ht="15" hidden="false" customHeight="true" outlineLevel="0" collapsed="false">
      <c r="B77" s="1" t="s">
        <v>3322</v>
      </c>
      <c r="C77" s="1" t="s">
        <v>3323</v>
      </c>
    </row>
    <row r="78" customFormat="false" ht="15" hidden="false" customHeight="true" outlineLevel="0" collapsed="false">
      <c r="B78" s="1" t="s">
        <v>3324</v>
      </c>
      <c r="C78" s="1" t="s">
        <v>3325</v>
      </c>
    </row>
    <row r="79" customFormat="false" ht="15" hidden="false" customHeight="true" outlineLevel="0" collapsed="false">
      <c r="B79" s="1" t="s">
        <v>3326</v>
      </c>
      <c r="C79" s="1" t="s">
        <v>3327</v>
      </c>
    </row>
    <row r="80" customFormat="false" ht="15" hidden="false" customHeight="true" outlineLevel="0" collapsed="false">
      <c r="B80" s="1" t="s">
        <v>3328</v>
      </c>
      <c r="C80" s="1" t="s">
        <v>3329</v>
      </c>
    </row>
    <row r="81" customFormat="false" ht="15" hidden="false" customHeight="true" outlineLevel="0" collapsed="false">
      <c r="B81" s="1" t="s">
        <v>3330</v>
      </c>
      <c r="C81" s="1" t="s">
        <v>3331</v>
      </c>
    </row>
    <row r="82" customFormat="false" ht="15" hidden="false" customHeight="true" outlineLevel="0" collapsed="false">
      <c r="B82" s="1" t="s">
        <v>3332</v>
      </c>
      <c r="C82" s="1" t="s">
        <v>3333</v>
      </c>
    </row>
    <row r="83" customFormat="false" ht="15" hidden="false" customHeight="true" outlineLevel="0" collapsed="false">
      <c r="B83" s="1" t="s">
        <v>3334</v>
      </c>
      <c r="C83" s="1" t="s">
        <v>3335</v>
      </c>
    </row>
    <row r="84" customFormat="false" ht="15" hidden="false" customHeight="true" outlineLevel="0" collapsed="false">
      <c r="B84" s="1" t="s">
        <v>3336</v>
      </c>
      <c r="C84" s="1" t="s">
        <v>3337</v>
      </c>
    </row>
    <row r="85" customFormat="false" ht="15" hidden="false" customHeight="true" outlineLevel="0" collapsed="false">
      <c r="B85" s="1" t="s">
        <v>3338</v>
      </c>
      <c r="C85" s="1" t="s">
        <v>3339</v>
      </c>
    </row>
    <row r="86" customFormat="false" ht="15" hidden="false" customHeight="true" outlineLevel="0" collapsed="false">
      <c r="B86" s="1" t="s">
        <v>3340</v>
      </c>
      <c r="C86" s="1" t="s">
        <v>3341</v>
      </c>
    </row>
    <row r="87" customFormat="false" ht="15" hidden="false" customHeight="true" outlineLevel="0" collapsed="false">
      <c r="B87" s="1" t="s">
        <v>3342</v>
      </c>
      <c r="C87" s="1" t="s">
        <v>3343</v>
      </c>
    </row>
    <row r="88" customFormat="false" ht="15" hidden="false" customHeight="true" outlineLevel="0" collapsed="false">
      <c r="B88" s="1" t="s">
        <v>3344</v>
      </c>
      <c r="C88" s="1" t="s">
        <v>3345</v>
      </c>
    </row>
    <row r="89" customFormat="false" ht="15" hidden="false" customHeight="true" outlineLevel="0" collapsed="false">
      <c r="B89" s="1" t="s">
        <v>3346</v>
      </c>
      <c r="C89" s="1" t="s">
        <v>3347</v>
      </c>
    </row>
    <row r="90" customFormat="false" ht="15" hidden="false" customHeight="true" outlineLevel="0" collapsed="false">
      <c r="B90" s="1" t="s">
        <v>3348</v>
      </c>
      <c r="C90" s="1" t="s">
        <v>3349</v>
      </c>
    </row>
    <row r="91" customFormat="false" ht="15" hidden="false" customHeight="true" outlineLevel="0" collapsed="false">
      <c r="B91" s="1" t="s">
        <v>3350</v>
      </c>
      <c r="C91" s="1" t="s">
        <v>3351</v>
      </c>
    </row>
    <row r="92" customFormat="false" ht="15" hidden="false" customHeight="true" outlineLevel="0" collapsed="false">
      <c r="B92" s="1" t="s">
        <v>3352</v>
      </c>
      <c r="C92" s="1" t="s">
        <v>3353</v>
      </c>
    </row>
    <row r="93" customFormat="false" ht="15" hidden="false" customHeight="true" outlineLevel="0" collapsed="false">
      <c r="B93" s="1" t="s">
        <v>3354</v>
      </c>
      <c r="C93" s="1" t="s">
        <v>3355</v>
      </c>
    </row>
    <row r="94" customFormat="false" ht="15" hidden="false" customHeight="true" outlineLevel="0" collapsed="false">
      <c r="B94" s="1" t="s">
        <v>3356</v>
      </c>
      <c r="C94" s="1" t="s">
        <v>3357</v>
      </c>
    </row>
    <row r="95" customFormat="false" ht="15" hidden="false" customHeight="true" outlineLevel="0" collapsed="false">
      <c r="B95" s="1" t="s">
        <v>3358</v>
      </c>
      <c r="C95" s="1" t="s">
        <v>3359</v>
      </c>
    </row>
    <row r="96" customFormat="false" ht="15" hidden="false" customHeight="true" outlineLevel="0" collapsed="false">
      <c r="B96" s="1" t="s">
        <v>3360</v>
      </c>
      <c r="C96" s="1" t="s">
        <v>3361</v>
      </c>
    </row>
    <row r="97" customFormat="false" ht="15" hidden="false" customHeight="true" outlineLevel="0" collapsed="false">
      <c r="B97" s="1" t="s">
        <v>3362</v>
      </c>
      <c r="C97" s="1" t="s">
        <v>3363</v>
      </c>
    </row>
    <row r="98" customFormat="false" ht="15" hidden="false" customHeight="true" outlineLevel="0" collapsed="false">
      <c r="B98" s="1" t="s">
        <v>3364</v>
      </c>
      <c r="C98" s="1" t="s">
        <v>3365</v>
      </c>
    </row>
    <row r="99" customFormat="false" ht="15" hidden="false" customHeight="true" outlineLevel="0" collapsed="false">
      <c r="B99" s="1" t="s">
        <v>3366</v>
      </c>
      <c r="C99" s="1" t="s">
        <v>3367</v>
      </c>
    </row>
    <row r="100" customFormat="false" ht="15" hidden="false" customHeight="true" outlineLevel="0" collapsed="false">
      <c r="B100" s="1" t="s">
        <v>3368</v>
      </c>
      <c r="C100" s="1" t="s">
        <v>3369</v>
      </c>
    </row>
    <row r="101" customFormat="false" ht="15" hidden="false" customHeight="true" outlineLevel="0" collapsed="false">
      <c r="B101" s="1" t="s">
        <v>3370</v>
      </c>
      <c r="C101" s="1" t="s">
        <v>3371</v>
      </c>
    </row>
    <row r="102" customFormat="false" ht="15" hidden="false" customHeight="true" outlineLevel="0" collapsed="false">
      <c r="B102" s="1" t="s">
        <v>3372</v>
      </c>
      <c r="C102" s="1" t="s">
        <v>3373</v>
      </c>
    </row>
    <row r="103" customFormat="false" ht="15" hidden="false" customHeight="true" outlineLevel="0" collapsed="false">
      <c r="B103" s="1" t="s">
        <v>3374</v>
      </c>
      <c r="C103" s="1" t="s">
        <v>3375</v>
      </c>
    </row>
    <row r="104" customFormat="false" ht="15" hidden="false" customHeight="true" outlineLevel="0" collapsed="false">
      <c r="B104" s="1" t="s">
        <v>3376</v>
      </c>
      <c r="C104" s="1" t="s">
        <v>3377</v>
      </c>
    </row>
    <row r="105" customFormat="false" ht="15" hidden="false" customHeight="true" outlineLevel="0" collapsed="false">
      <c r="B105" s="1" t="s">
        <v>3378</v>
      </c>
      <c r="C105" s="1" t="s">
        <v>3379</v>
      </c>
    </row>
    <row r="106" customFormat="false" ht="15" hidden="false" customHeight="true" outlineLevel="0" collapsed="false">
      <c r="B106" s="1" t="s">
        <v>3380</v>
      </c>
      <c r="C106" s="1" t="s">
        <v>3381</v>
      </c>
    </row>
    <row r="107" customFormat="false" ht="15" hidden="false" customHeight="true" outlineLevel="0" collapsed="false">
      <c r="B107" s="1" t="s">
        <v>3382</v>
      </c>
      <c r="C107" s="1" t="s">
        <v>3383</v>
      </c>
    </row>
    <row r="108" customFormat="false" ht="15" hidden="false" customHeight="true" outlineLevel="0" collapsed="false">
      <c r="B108" s="1" t="s">
        <v>3384</v>
      </c>
      <c r="C108" s="1" t="s">
        <v>3385</v>
      </c>
    </row>
    <row r="109" customFormat="false" ht="15" hidden="false" customHeight="true" outlineLevel="0" collapsed="false">
      <c r="B109" s="1" t="s">
        <v>3386</v>
      </c>
      <c r="C109" s="1" t="s">
        <v>3387</v>
      </c>
    </row>
    <row r="110" customFormat="false" ht="15" hidden="false" customHeight="true" outlineLevel="0" collapsed="false">
      <c r="B110" s="1" t="s">
        <v>3388</v>
      </c>
      <c r="C110" s="1" t="s">
        <v>3389</v>
      </c>
    </row>
    <row r="111" customFormat="false" ht="15" hidden="false" customHeight="true" outlineLevel="0" collapsed="false">
      <c r="B111" s="1" t="s">
        <v>3390</v>
      </c>
      <c r="C111" s="1" t="s">
        <v>3391</v>
      </c>
    </row>
    <row r="112" customFormat="false" ht="15" hidden="false" customHeight="true" outlineLevel="0" collapsed="false">
      <c r="B112" s="1" t="s">
        <v>3392</v>
      </c>
      <c r="C112" s="1" t="s">
        <v>3393</v>
      </c>
    </row>
    <row r="113" customFormat="false" ht="15" hidden="false" customHeight="true" outlineLevel="0" collapsed="false">
      <c r="B113" s="1" t="s">
        <v>3394</v>
      </c>
      <c r="C113" s="1" t="s">
        <v>3395</v>
      </c>
    </row>
    <row r="114" customFormat="false" ht="15" hidden="false" customHeight="true" outlineLevel="0" collapsed="false">
      <c r="B114" s="1" t="s">
        <v>3396</v>
      </c>
      <c r="C114" s="1" t="s">
        <v>3397</v>
      </c>
    </row>
    <row r="115" customFormat="false" ht="15" hidden="false" customHeight="true" outlineLevel="0" collapsed="false">
      <c r="B115" s="1" t="s">
        <v>3398</v>
      </c>
      <c r="C115" s="1" t="s">
        <v>3399</v>
      </c>
    </row>
    <row r="116" customFormat="false" ht="15" hidden="false" customHeight="true" outlineLevel="0" collapsed="false">
      <c r="B116" s="1" t="s">
        <v>3400</v>
      </c>
      <c r="C116" s="1" t="s">
        <v>3401</v>
      </c>
    </row>
    <row r="117" customFormat="false" ht="15" hidden="false" customHeight="true" outlineLevel="0" collapsed="false">
      <c r="B117" s="1" t="s">
        <v>3402</v>
      </c>
      <c r="C117" s="1" t="s">
        <v>3403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3" t="s">
        <v>3404</v>
      </c>
    </row>
    <row r="2" customFormat="false" ht="48" hidden="false" customHeight="true" outlineLevel="0" collapsed="false">
      <c r="B2" s="94" t="s">
        <v>3405</v>
      </c>
      <c r="C2" s="94"/>
      <c r="D2" s="94"/>
      <c r="E2" s="94"/>
      <c r="F2" s="94"/>
      <c r="G2" s="94"/>
      <c r="H2" s="94"/>
    </row>
    <row r="4" customFormat="false" ht="15" hidden="false" customHeight="true" outlineLevel="0" collapsed="false">
      <c r="B4" s="96" t="s">
        <v>30</v>
      </c>
      <c r="C4" s="96" t="s">
        <v>3406</v>
      </c>
      <c r="D4" s="96" t="s">
        <v>3407</v>
      </c>
      <c r="E4" s="96" t="s">
        <v>3408</v>
      </c>
      <c r="F4" s="96" t="s">
        <v>3409</v>
      </c>
      <c r="G4" s="96" t="s">
        <v>3410</v>
      </c>
      <c r="H4" s="96" t="s">
        <v>100</v>
      </c>
    </row>
    <row r="5" customFormat="false" ht="27.75" hidden="false" customHeight="true" outlineLevel="0" collapsed="false">
      <c r="B5" s="120" t="n">
        <v>1</v>
      </c>
      <c r="C5" s="120" t="s">
        <v>3411</v>
      </c>
      <c r="D5" s="120" t="s">
        <v>3412</v>
      </c>
      <c r="E5" s="120" t="s">
        <v>3413</v>
      </c>
      <c r="F5" s="120" t="s">
        <v>3414</v>
      </c>
      <c r="G5" s="120" t="s">
        <v>3415</v>
      </c>
      <c r="H5" s="121" t="s">
        <v>3416</v>
      </c>
    </row>
    <row r="6" customFormat="false" ht="15" hidden="false" customHeight="true" outlineLevel="0" collapsed="false">
      <c r="B6" s="120" t="n">
        <v>2</v>
      </c>
      <c r="C6" s="120" t="s">
        <v>3411</v>
      </c>
      <c r="D6" s="120" t="s">
        <v>3417</v>
      </c>
      <c r="E6" s="120" t="s">
        <v>3413</v>
      </c>
      <c r="F6" s="120" t="s">
        <v>3418</v>
      </c>
      <c r="G6" s="120" t="s">
        <v>3419</v>
      </c>
      <c r="H6" s="121" t="s">
        <v>3416</v>
      </c>
    </row>
    <row r="7" customFormat="false" ht="15" hidden="false" customHeight="true" outlineLevel="0" collapsed="false">
      <c r="B7" s="120" t="n">
        <v>3</v>
      </c>
      <c r="C7" s="120" t="s">
        <v>3420</v>
      </c>
      <c r="D7" s="120" t="s">
        <v>3421</v>
      </c>
      <c r="E7" s="120" t="s">
        <v>3422</v>
      </c>
      <c r="F7" s="120" t="s">
        <v>3423</v>
      </c>
      <c r="G7" s="120" t="s">
        <v>3419</v>
      </c>
      <c r="H7" s="121" t="s">
        <v>3416</v>
      </c>
    </row>
    <row r="8" customFormat="false" ht="54.75" hidden="false" customHeight="true" outlineLevel="0" collapsed="false">
      <c r="B8" s="120" t="n">
        <v>4</v>
      </c>
      <c r="C8" s="120" t="s">
        <v>3411</v>
      </c>
      <c r="D8" s="120" t="s">
        <v>3424</v>
      </c>
      <c r="E8" s="120" t="s">
        <v>3425</v>
      </c>
      <c r="F8" s="120" t="s">
        <v>3426</v>
      </c>
      <c r="G8" s="120" t="s">
        <v>3427</v>
      </c>
      <c r="H8" s="121" t="s">
        <v>3428</v>
      </c>
    </row>
    <row r="9" customFormat="false" ht="15" hidden="false" customHeight="true" outlineLevel="0" collapsed="false">
      <c r="B9" s="120" t="n">
        <v>5</v>
      </c>
      <c r="C9" s="120" t="s">
        <v>3411</v>
      </c>
      <c r="D9" s="120" t="s">
        <v>3429</v>
      </c>
      <c r="E9" s="120" t="s">
        <v>3413</v>
      </c>
      <c r="F9" s="120" t="s">
        <v>3430</v>
      </c>
      <c r="G9" s="120" t="s">
        <v>3431</v>
      </c>
      <c r="H9" s="121" t="s">
        <v>3416</v>
      </c>
    </row>
    <row r="10" customFormat="false" ht="41.25" hidden="false" customHeight="true" outlineLevel="0" collapsed="false">
      <c r="B10" s="120" t="n">
        <v>6</v>
      </c>
      <c r="C10" s="120" t="s">
        <v>3411</v>
      </c>
      <c r="D10" s="120" t="s">
        <v>3432</v>
      </c>
      <c r="E10" s="120" t="s">
        <v>3433</v>
      </c>
      <c r="F10" s="120" t="s">
        <v>3434</v>
      </c>
      <c r="G10" s="120" t="s">
        <v>3435</v>
      </c>
      <c r="H10" s="121" t="s">
        <v>3436</v>
      </c>
    </row>
    <row r="11" customFormat="false" ht="41.25" hidden="false" customHeight="true" outlineLevel="0" collapsed="false">
      <c r="B11" s="120" t="n">
        <v>7</v>
      </c>
      <c r="C11" s="120" t="s">
        <v>3437</v>
      </c>
      <c r="D11" s="120" t="s">
        <v>3438</v>
      </c>
      <c r="E11" s="120" t="s">
        <v>3439</v>
      </c>
      <c r="F11" s="120" t="s">
        <v>3440</v>
      </c>
      <c r="G11" s="120" t="s">
        <v>3441</v>
      </c>
      <c r="H11" s="121" t="s">
        <v>3436</v>
      </c>
    </row>
    <row r="12" customFormat="false" ht="27.75" hidden="false" customHeight="true" outlineLevel="0" collapsed="false">
      <c r="B12" s="120" t="n">
        <v>8</v>
      </c>
      <c r="C12" s="120" t="s">
        <v>3437</v>
      </c>
      <c r="D12" s="120" t="s">
        <v>3442</v>
      </c>
      <c r="E12" s="120" t="s">
        <v>3439</v>
      </c>
      <c r="F12" s="120" t="s">
        <v>3443</v>
      </c>
      <c r="G12" s="120" t="s">
        <v>3444</v>
      </c>
      <c r="H12" s="121" t="s">
        <v>3416</v>
      </c>
    </row>
    <row r="13" customFormat="false" ht="27.75" hidden="false" customHeight="true" outlineLevel="0" collapsed="false">
      <c r="B13" s="120" t="n">
        <v>9</v>
      </c>
      <c r="C13" s="120" t="s">
        <v>3437</v>
      </c>
      <c r="D13" s="120" t="s">
        <v>3445</v>
      </c>
      <c r="E13" s="120" t="s">
        <v>3439</v>
      </c>
      <c r="F13" s="120" t="s">
        <v>3446</v>
      </c>
      <c r="G13" s="120" t="s">
        <v>3447</v>
      </c>
      <c r="H13" s="121" t="s">
        <v>3416</v>
      </c>
    </row>
    <row r="14" customFormat="false" ht="27.75" hidden="false" customHeight="true" outlineLevel="0" collapsed="false">
      <c r="B14" s="120" t="n">
        <v>10</v>
      </c>
      <c r="C14" s="120" t="s">
        <v>3411</v>
      </c>
      <c r="D14" s="120" t="s">
        <v>3448</v>
      </c>
      <c r="E14" s="120" t="s">
        <v>3449</v>
      </c>
      <c r="F14" s="120" t="s">
        <v>3450</v>
      </c>
      <c r="G14" s="120" t="s">
        <v>3451</v>
      </c>
      <c r="H14" s="121" t="s">
        <v>3416</v>
      </c>
    </row>
    <row r="15" customFormat="false" ht="27.75" hidden="false" customHeight="true" outlineLevel="0" collapsed="false">
      <c r="B15" s="120" t="n">
        <v>11</v>
      </c>
      <c r="C15" s="120" t="s">
        <v>3411</v>
      </c>
      <c r="D15" s="120" t="s">
        <v>3452</v>
      </c>
      <c r="E15" s="120" t="s">
        <v>3453</v>
      </c>
      <c r="F15" s="120" t="s">
        <v>3454</v>
      </c>
      <c r="G15" s="120" t="s">
        <v>3455</v>
      </c>
      <c r="H15" s="122" t="s">
        <v>3456</v>
      </c>
    </row>
    <row r="16" customFormat="false" ht="54.75" hidden="false" customHeight="true" outlineLevel="0" collapsed="false">
      <c r="B16" s="120" t="n">
        <v>12</v>
      </c>
      <c r="C16" s="120" t="s">
        <v>3457</v>
      </c>
      <c r="D16" s="120" t="s">
        <v>3458</v>
      </c>
      <c r="E16" s="120" t="s">
        <v>3459</v>
      </c>
      <c r="F16" s="120" t="s">
        <v>3460</v>
      </c>
      <c r="G16" s="120" t="s">
        <v>3461</v>
      </c>
      <c r="H16" s="121" t="s">
        <v>3416</v>
      </c>
    </row>
    <row r="17" customFormat="false" ht="41.25" hidden="false" customHeight="true" outlineLevel="0" collapsed="false">
      <c r="B17" s="120" t="n">
        <v>13</v>
      </c>
      <c r="C17" s="120" t="s">
        <v>3462</v>
      </c>
      <c r="D17" s="120" t="s">
        <v>3463</v>
      </c>
      <c r="E17" s="120" t="s">
        <v>3464</v>
      </c>
      <c r="F17" s="120" t="s">
        <v>3465</v>
      </c>
      <c r="G17" s="120" t="s">
        <v>3466</v>
      </c>
      <c r="H17" s="121" t="s">
        <v>3416</v>
      </c>
    </row>
    <row r="18" customFormat="false" ht="27.75" hidden="false" customHeight="true" outlineLevel="0" collapsed="false">
      <c r="B18" s="120" t="n">
        <v>14</v>
      </c>
      <c r="C18" s="120" t="s">
        <v>3467</v>
      </c>
      <c r="D18" s="120" t="s">
        <v>3468</v>
      </c>
      <c r="E18" s="120" t="s">
        <v>3469</v>
      </c>
      <c r="F18" s="120" t="s">
        <v>3470</v>
      </c>
      <c r="G18" s="120" t="s">
        <v>3471</v>
      </c>
      <c r="H18" s="121" t="s">
        <v>3416</v>
      </c>
    </row>
    <row r="19" customFormat="false" ht="27.75" hidden="false" customHeight="true" outlineLevel="0" collapsed="false">
      <c r="B19" s="120" t="n">
        <v>15</v>
      </c>
      <c r="C19" s="120" t="s">
        <v>3472</v>
      </c>
      <c r="D19" s="120" t="s">
        <v>3473</v>
      </c>
      <c r="E19" s="120" t="s">
        <v>3474</v>
      </c>
      <c r="F19" s="120" t="s">
        <v>3475</v>
      </c>
      <c r="G19" s="120" t="s">
        <v>3476</v>
      </c>
      <c r="H19" s="121" t="s">
        <v>3416</v>
      </c>
    </row>
    <row r="20" customFormat="false" ht="27.75" hidden="false" customHeight="true" outlineLevel="0" collapsed="false">
      <c r="B20" s="120" t="n">
        <v>16</v>
      </c>
      <c r="C20" s="120" t="s">
        <v>3477</v>
      </c>
      <c r="D20" s="120" t="s">
        <v>3478</v>
      </c>
      <c r="E20" s="120" t="s">
        <v>3479</v>
      </c>
      <c r="F20" s="120" t="s">
        <v>3480</v>
      </c>
      <c r="G20" s="120" t="s">
        <v>3481</v>
      </c>
      <c r="H20" s="121" t="s">
        <v>3416</v>
      </c>
    </row>
    <row r="21" customFormat="false" ht="27.75" hidden="false" customHeight="true" outlineLevel="0" collapsed="false">
      <c r="B21" s="120" t="n">
        <v>17</v>
      </c>
      <c r="C21" s="120" t="s">
        <v>3482</v>
      </c>
      <c r="D21" s="120" t="s">
        <v>3483</v>
      </c>
      <c r="E21" s="120" t="s">
        <v>3459</v>
      </c>
      <c r="F21" s="120" t="s">
        <v>3484</v>
      </c>
      <c r="G21" s="120" t="s">
        <v>3485</v>
      </c>
      <c r="H21" s="121" t="s">
        <v>3416</v>
      </c>
    </row>
    <row r="22" customFormat="false" ht="27.75" hidden="false" customHeight="true" outlineLevel="0" collapsed="false">
      <c r="B22" s="120" t="n">
        <v>18</v>
      </c>
      <c r="C22" s="120" t="s">
        <v>3486</v>
      </c>
      <c r="D22" s="120" t="s">
        <v>3487</v>
      </c>
      <c r="E22" s="120" t="s">
        <v>3488</v>
      </c>
      <c r="F22" s="120" t="s">
        <v>3489</v>
      </c>
      <c r="G22" s="120" t="s">
        <v>3490</v>
      </c>
      <c r="H22" s="121" t="s">
        <v>3416</v>
      </c>
    </row>
    <row r="23" customFormat="false" ht="27.75" hidden="false" customHeight="true" outlineLevel="0" collapsed="false">
      <c r="B23" s="120" t="n">
        <v>19</v>
      </c>
      <c r="C23" s="120" t="s">
        <v>3491</v>
      </c>
      <c r="D23" s="120" t="s">
        <v>3492</v>
      </c>
      <c r="E23" s="120" t="s">
        <v>3474</v>
      </c>
      <c r="F23" s="120" t="s">
        <v>3493</v>
      </c>
      <c r="G23" s="120" t="s">
        <v>3494</v>
      </c>
      <c r="H23" s="121" t="s">
        <v>3495</v>
      </c>
    </row>
    <row r="24" customFormat="false" ht="41.25" hidden="false" customHeight="true" outlineLevel="0" collapsed="false">
      <c r="B24" s="120" t="n">
        <v>20</v>
      </c>
      <c r="C24" s="120" t="s">
        <v>3496</v>
      </c>
      <c r="D24" s="120" t="s">
        <v>3497</v>
      </c>
      <c r="E24" s="120" t="s">
        <v>3498</v>
      </c>
      <c r="F24" s="120" t="s">
        <v>3499</v>
      </c>
      <c r="G24" s="120" t="s">
        <v>3500</v>
      </c>
      <c r="H24" s="121" t="s">
        <v>3416</v>
      </c>
    </row>
    <row r="25" customFormat="false" ht="27.75" hidden="false" customHeight="true" outlineLevel="0" collapsed="false">
      <c r="B25" s="120" t="n">
        <v>21</v>
      </c>
      <c r="C25" s="120" t="s">
        <v>3496</v>
      </c>
      <c r="D25" s="120" t="s">
        <v>3501</v>
      </c>
      <c r="E25" s="120" t="s">
        <v>3502</v>
      </c>
      <c r="F25" s="120" t="s">
        <v>3503</v>
      </c>
      <c r="G25" s="120" t="s">
        <v>3504</v>
      </c>
      <c r="H25" s="121" t="s">
        <v>3416</v>
      </c>
    </row>
    <row r="26" customFormat="false" ht="27.75" hidden="false" customHeight="true" outlineLevel="0" collapsed="false">
      <c r="B26" s="120" t="n">
        <v>22</v>
      </c>
      <c r="C26" s="120" t="s">
        <v>3505</v>
      </c>
      <c r="D26" s="120" t="s">
        <v>3506</v>
      </c>
      <c r="E26" s="120" t="s">
        <v>3507</v>
      </c>
      <c r="F26" s="120" t="s">
        <v>3508</v>
      </c>
      <c r="G26" s="120" t="s">
        <v>3509</v>
      </c>
      <c r="H26" s="121" t="s">
        <v>3416</v>
      </c>
    </row>
    <row r="27" customFormat="false" ht="27.75" hidden="false" customHeight="true" outlineLevel="0" collapsed="false">
      <c r="B27" s="120" t="n">
        <v>23</v>
      </c>
      <c r="C27" s="120" t="s">
        <v>3505</v>
      </c>
      <c r="D27" s="120" t="s">
        <v>3510</v>
      </c>
      <c r="E27" s="120" t="s">
        <v>3507</v>
      </c>
      <c r="F27" s="120" t="s">
        <v>3511</v>
      </c>
      <c r="G27" s="120" t="s">
        <v>3512</v>
      </c>
      <c r="H27" s="121" t="s">
        <v>3416</v>
      </c>
    </row>
    <row r="28" customFormat="false" ht="27.75" hidden="false" customHeight="true" outlineLevel="0" collapsed="false">
      <c r="B28" s="120" t="n">
        <v>24</v>
      </c>
      <c r="C28" s="120" t="s">
        <v>3513</v>
      </c>
      <c r="D28" s="120" t="s">
        <v>3514</v>
      </c>
      <c r="E28" s="120" t="s">
        <v>3515</v>
      </c>
      <c r="F28" s="120" t="s">
        <v>3516</v>
      </c>
      <c r="G28" s="120" t="s">
        <v>3517</v>
      </c>
      <c r="H28" s="121" t="s">
        <v>3416</v>
      </c>
    </row>
    <row r="29" customFormat="false" ht="27.75" hidden="false" customHeight="true" outlineLevel="0" collapsed="false">
      <c r="B29" s="120" t="n">
        <v>25</v>
      </c>
      <c r="C29" s="120" t="s">
        <v>3513</v>
      </c>
      <c r="D29" s="120" t="s">
        <v>3518</v>
      </c>
      <c r="E29" s="120" t="s">
        <v>3519</v>
      </c>
      <c r="F29" s="120" t="s">
        <v>3520</v>
      </c>
      <c r="G29" s="120" t="s">
        <v>3521</v>
      </c>
      <c r="H29" s="121" t="s">
        <v>3416</v>
      </c>
    </row>
    <row r="30" customFormat="false" ht="54.75" hidden="false" customHeight="true" outlineLevel="0" collapsed="false">
      <c r="B30" s="120" t="n">
        <v>26</v>
      </c>
      <c r="C30" s="120" t="s">
        <v>3513</v>
      </c>
      <c r="D30" s="120" t="s">
        <v>3522</v>
      </c>
      <c r="E30" s="120" t="s">
        <v>3523</v>
      </c>
      <c r="F30" s="120" t="s">
        <v>3524</v>
      </c>
      <c r="G30" s="120" t="s">
        <v>3525</v>
      </c>
      <c r="H30" s="123" t="s">
        <v>3526</v>
      </c>
    </row>
    <row r="31" customFormat="false" ht="41.25" hidden="false" customHeight="true" outlineLevel="0" collapsed="false">
      <c r="B31" s="120" t="n">
        <v>27</v>
      </c>
      <c r="C31" s="120" t="s">
        <v>3513</v>
      </c>
      <c r="D31" s="120" t="s">
        <v>3527</v>
      </c>
      <c r="E31" s="120" t="s">
        <v>3528</v>
      </c>
      <c r="F31" s="120" t="s">
        <v>3529</v>
      </c>
      <c r="G31" s="120" t="s">
        <v>3530</v>
      </c>
      <c r="H31" s="123" t="s">
        <v>3531</v>
      </c>
    </row>
    <row r="32" customFormat="false" ht="27.75" hidden="false" customHeight="true" outlineLevel="0" collapsed="false">
      <c r="B32" s="120" t="n">
        <v>28</v>
      </c>
      <c r="C32" s="120" t="s">
        <v>3532</v>
      </c>
      <c r="D32" s="120" t="s">
        <v>3533</v>
      </c>
      <c r="E32" s="120" t="s">
        <v>3519</v>
      </c>
      <c r="F32" s="120" t="s">
        <v>3534</v>
      </c>
      <c r="G32" s="120" t="s">
        <v>3535</v>
      </c>
      <c r="H32" s="121" t="s">
        <v>3416</v>
      </c>
    </row>
    <row r="33" customFormat="false" ht="27.75" hidden="false" customHeight="true" outlineLevel="0" collapsed="false">
      <c r="B33" s="120" t="n">
        <v>29</v>
      </c>
      <c r="C33" s="120" t="s">
        <v>3486</v>
      </c>
      <c r="D33" s="120" t="s">
        <v>3536</v>
      </c>
      <c r="E33" s="120" t="s">
        <v>3537</v>
      </c>
      <c r="F33" s="120" t="s">
        <v>3538</v>
      </c>
      <c r="G33" s="120" t="s">
        <v>3539</v>
      </c>
      <c r="H33" s="121" t="s">
        <v>3416</v>
      </c>
    </row>
    <row r="34" customFormat="false" ht="41.25" hidden="false" customHeight="true" outlineLevel="0" collapsed="false">
      <c r="B34" s="120" t="n">
        <v>30</v>
      </c>
      <c r="C34" s="120" t="s">
        <v>3486</v>
      </c>
      <c r="D34" s="120" t="s">
        <v>3540</v>
      </c>
      <c r="E34" s="120" t="s">
        <v>3519</v>
      </c>
      <c r="F34" s="120" t="s">
        <v>3541</v>
      </c>
      <c r="G34" s="120" t="s">
        <v>3542</v>
      </c>
      <c r="H34" s="121" t="s">
        <v>3416</v>
      </c>
    </row>
    <row r="35" customFormat="false" ht="27.75" hidden="false" customHeight="true" outlineLevel="0" collapsed="false">
      <c r="B35" s="120" t="n">
        <v>31</v>
      </c>
      <c r="C35" s="120" t="s">
        <v>3486</v>
      </c>
      <c r="D35" s="120" t="s">
        <v>3543</v>
      </c>
      <c r="E35" s="120" t="s">
        <v>3544</v>
      </c>
      <c r="F35" s="120" t="s">
        <v>3545</v>
      </c>
      <c r="G35" s="120" t="s">
        <v>3181</v>
      </c>
      <c r="H35" s="121" t="s">
        <v>3416</v>
      </c>
    </row>
    <row r="36" customFormat="false" ht="41.25" hidden="false" customHeight="true" outlineLevel="0" collapsed="false">
      <c r="B36" s="120" t="n">
        <v>32</v>
      </c>
      <c r="C36" s="120" t="s">
        <v>3486</v>
      </c>
      <c r="D36" s="120" t="s">
        <v>3546</v>
      </c>
      <c r="E36" s="120" t="s">
        <v>3519</v>
      </c>
      <c r="F36" s="120" t="s">
        <v>3547</v>
      </c>
      <c r="G36" s="120" t="s">
        <v>3548</v>
      </c>
      <c r="H36" s="121" t="s">
        <v>3416</v>
      </c>
    </row>
    <row r="37" customFormat="false" ht="27.75" hidden="false" customHeight="true" outlineLevel="0" collapsed="false">
      <c r="B37" s="120" t="n">
        <v>33</v>
      </c>
      <c r="C37" s="120" t="s">
        <v>3549</v>
      </c>
      <c r="D37" s="120" t="s">
        <v>3550</v>
      </c>
      <c r="E37" s="120" t="s">
        <v>3519</v>
      </c>
      <c r="F37" s="120" t="s">
        <v>3551</v>
      </c>
      <c r="G37" s="120" t="s">
        <v>3552</v>
      </c>
      <c r="H37" s="121" t="s">
        <v>3553</v>
      </c>
    </row>
    <row r="38" customFormat="false" ht="27.75" hidden="false" customHeight="true" outlineLevel="0" collapsed="false">
      <c r="B38" s="120" t="n">
        <v>34</v>
      </c>
      <c r="C38" s="120" t="s">
        <v>3549</v>
      </c>
      <c r="D38" s="120" t="s">
        <v>3554</v>
      </c>
      <c r="E38" s="120" t="s">
        <v>3555</v>
      </c>
      <c r="F38" s="120" t="s">
        <v>3556</v>
      </c>
      <c r="G38" s="120" t="s">
        <v>3557</v>
      </c>
      <c r="H38" s="121" t="s">
        <v>3558</v>
      </c>
    </row>
    <row r="39" customFormat="false" ht="15" hidden="false" customHeight="true" outlineLevel="0" collapsed="false">
      <c r="B39" s="120" t="n">
        <v>35</v>
      </c>
      <c r="C39" s="120" t="s">
        <v>3549</v>
      </c>
      <c r="D39" s="120" t="s">
        <v>3559</v>
      </c>
      <c r="E39" s="120" t="s">
        <v>3519</v>
      </c>
      <c r="F39" s="120" t="s">
        <v>3560</v>
      </c>
      <c r="G39" s="120" t="s">
        <v>3561</v>
      </c>
      <c r="H39" s="121" t="s">
        <v>3416</v>
      </c>
    </row>
    <row r="40" customFormat="false" ht="41.25" hidden="false" customHeight="true" outlineLevel="0" collapsed="false">
      <c r="B40" s="120" t="n">
        <v>36</v>
      </c>
      <c r="C40" s="120" t="s">
        <v>3549</v>
      </c>
      <c r="D40" s="120" t="s">
        <v>3562</v>
      </c>
      <c r="E40" s="120" t="s">
        <v>3563</v>
      </c>
      <c r="F40" s="120" t="s">
        <v>3564</v>
      </c>
      <c r="G40" s="120" t="s">
        <v>3565</v>
      </c>
      <c r="H40" s="121" t="s">
        <v>3566</v>
      </c>
    </row>
    <row r="41" customFormat="false" ht="41.25" hidden="false" customHeight="true" outlineLevel="0" collapsed="false">
      <c r="B41" s="120" t="n">
        <v>37</v>
      </c>
      <c r="C41" s="120" t="s">
        <v>3567</v>
      </c>
      <c r="D41" s="120" t="s">
        <v>3568</v>
      </c>
      <c r="E41" s="120" t="s">
        <v>3569</v>
      </c>
      <c r="F41" s="120" t="s">
        <v>3570</v>
      </c>
      <c r="G41" s="120" t="s">
        <v>3571</v>
      </c>
      <c r="H41" s="121" t="s">
        <v>3572</v>
      </c>
    </row>
    <row r="42" customFormat="false" ht="15" hidden="false" customHeight="true" outlineLevel="0" collapsed="false">
      <c r="B42" s="120" t="n">
        <v>38</v>
      </c>
      <c r="C42" s="120" t="s">
        <v>3549</v>
      </c>
      <c r="D42" s="120" t="s">
        <v>3573</v>
      </c>
      <c r="E42" s="120" t="s">
        <v>3563</v>
      </c>
      <c r="F42" s="120" t="s">
        <v>3574</v>
      </c>
      <c r="G42" s="120" t="s">
        <v>3575</v>
      </c>
      <c r="H42" s="121" t="s">
        <v>3416</v>
      </c>
    </row>
    <row r="43" customFormat="false" ht="27.75" hidden="false" customHeight="true" outlineLevel="0" collapsed="false">
      <c r="B43" s="120" t="n">
        <v>39</v>
      </c>
      <c r="C43" s="120" t="s">
        <v>3576</v>
      </c>
      <c r="D43" s="120" t="s">
        <v>3577</v>
      </c>
      <c r="E43" s="120" t="s">
        <v>3578</v>
      </c>
      <c r="F43" s="120" t="s">
        <v>3579</v>
      </c>
      <c r="G43" s="120" t="s">
        <v>3580</v>
      </c>
      <c r="H43" s="121" t="s">
        <v>3416</v>
      </c>
    </row>
    <row r="44" customFormat="false" ht="27.75" hidden="false" customHeight="true" outlineLevel="0" collapsed="false">
      <c r="B44" s="120" t="n">
        <v>40</v>
      </c>
      <c r="C44" s="120" t="s">
        <v>3581</v>
      </c>
      <c r="D44" s="120" t="s">
        <v>3582</v>
      </c>
      <c r="E44" s="120" t="s">
        <v>3583</v>
      </c>
      <c r="F44" s="120" t="s">
        <v>3584</v>
      </c>
      <c r="G44" s="120" t="s">
        <v>3585</v>
      </c>
      <c r="H44" s="121" t="s">
        <v>3416</v>
      </c>
    </row>
    <row r="45" customFormat="false" ht="27.75" hidden="false" customHeight="true" outlineLevel="0" collapsed="false">
      <c r="B45" s="120" t="n">
        <v>41</v>
      </c>
      <c r="C45" s="120" t="s">
        <v>3586</v>
      </c>
      <c r="D45" s="120" t="s">
        <v>3587</v>
      </c>
      <c r="E45" s="120" t="s">
        <v>3588</v>
      </c>
      <c r="F45" s="120" t="s">
        <v>3589</v>
      </c>
      <c r="G45" s="120" t="s">
        <v>3590</v>
      </c>
      <c r="H45" s="121" t="s">
        <v>3416</v>
      </c>
    </row>
    <row r="46" customFormat="false" ht="27.75" hidden="false" customHeight="true" outlineLevel="0" collapsed="false">
      <c r="B46" s="120" t="n">
        <v>42</v>
      </c>
      <c r="C46" s="120" t="s">
        <v>3591</v>
      </c>
      <c r="D46" s="120" t="s">
        <v>3592</v>
      </c>
      <c r="E46" s="120" t="s">
        <v>3593</v>
      </c>
      <c r="F46" s="120" t="s">
        <v>3594</v>
      </c>
      <c r="G46" s="120" t="s">
        <v>3595</v>
      </c>
      <c r="H46" s="121" t="s">
        <v>3416</v>
      </c>
    </row>
    <row r="47" customFormat="false" ht="41.25" hidden="false" customHeight="true" outlineLevel="0" collapsed="false">
      <c r="B47" s="120" t="n">
        <v>43</v>
      </c>
      <c r="C47" s="120" t="s">
        <v>3591</v>
      </c>
      <c r="D47" s="120" t="s">
        <v>3596</v>
      </c>
      <c r="E47" s="120" t="s">
        <v>3597</v>
      </c>
      <c r="F47" s="120" t="s">
        <v>3598</v>
      </c>
      <c r="G47" s="120" t="s">
        <v>3599</v>
      </c>
      <c r="H47" s="121" t="s">
        <v>3600</v>
      </c>
    </row>
    <row r="48" customFormat="false" ht="41.25" hidden="false" customHeight="true" outlineLevel="0" collapsed="false">
      <c r="B48" s="120" t="n">
        <v>44</v>
      </c>
      <c r="C48" s="120" t="s">
        <v>3601</v>
      </c>
      <c r="D48" s="120" t="s">
        <v>3602</v>
      </c>
      <c r="E48" s="120" t="s">
        <v>3597</v>
      </c>
      <c r="F48" s="120" t="s">
        <v>3603</v>
      </c>
      <c r="G48" s="120" t="s">
        <v>3604</v>
      </c>
      <c r="H48" s="121" t="s">
        <v>3416</v>
      </c>
    </row>
    <row r="49" customFormat="false" ht="27.75" hidden="false" customHeight="true" outlineLevel="0" collapsed="false">
      <c r="B49" s="120" t="n">
        <v>45</v>
      </c>
      <c r="C49" s="120" t="s">
        <v>3549</v>
      </c>
      <c r="D49" s="120" t="s">
        <v>3605</v>
      </c>
      <c r="E49" s="120" t="s">
        <v>3606</v>
      </c>
      <c r="F49" s="120" t="s">
        <v>3607</v>
      </c>
      <c r="G49" s="120" t="s">
        <v>3608</v>
      </c>
      <c r="H49" s="121" t="s">
        <v>3416</v>
      </c>
    </row>
    <row r="50" customFormat="false" ht="41.25" hidden="false" customHeight="true" outlineLevel="0" collapsed="false">
      <c r="B50" s="120" t="n">
        <v>46</v>
      </c>
      <c r="C50" s="120" t="s">
        <v>3609</v>
      </c>
      <c r="D50" s="120" t="s">
        <v>3610</v>
      </c>
      <c r="E50" s="120" t="s">
        <v>3611</v>
      </c>
      <c r="F50" s="120" t="s">
        <v>3612</v>
      </c>
      <c r="G50" s="120" t="s">
        <v>3613</v>
      </c>
      <c r="H50" s="121" t="s">
        <v>3416</v>
      </c>
    </row>
    <row r="51" customFormat="false" ht="15" hidden="false" customHeight="true" outlineLevel="0" collapsed="false">
      <c r="B51" s="120" t="n">
        <v>47</v>
      </c>
      <c r="C51" s="120" t="s">
        <v>3614</v>
      </c>
      <c r="D51" s="120" t="s">
        <v>3615</v>
      </c>
      <c r="E51" s="120" t="s">
        <v>3616</v>
      </c>
      <c r="F51" s="120" t="s">
        <v>3617</v>
      </c>
      <c r="G51" s="120" t="s">
        <v>3618</v>
      </c>
      <c r="H51" s="121" t="s">
        <v>3416</v>
      </c>
    </row>
    <row r="52" customFormat="false" ht="27.75" hidden="false" customHeight="true" outlineLevel="0" collapsed="false">
      <c r="B52" s="120" t="n">
        <v>48</v>
      </c>
      <c r="C52" s="120" t="s">
        <v>3614</v>
      </c>
      <c r="D52" s="120" t="s">
        <v>3619</v>
      </c>
      <c r="E52" s="120" t="s">
        <v>3616</v>
      </c>
      <c r="F52" s="120" t="s">
        <v>3620</v>
      </c>
      <c r="G52" s="120" t="s">
        <v>3621</v>
      </c>
      <c r="H52" s="121" t="s">
        <v>3416</v>
      </c>
    </row>
    <row r="53" customFormat="false" ht="41.25" hidden="false" customHeight="true" outlineLevel="0" collapsed="false">
      <c r="B53" s="120" t="n">
        <v>49</v>
      </c>
      <c r="C53" s="120" t="s">
        <v>3614</v>
      </c>
      <c r="D53" s="120" t="s">
        <v>3622</v>
      </c>
      <c r="E53" s="120" t="s">
        <v>3616</v>
      </c>
      <c r="F53" s="120" t="s">
        <v>3623</v>
      </c>
      <c r="G53" s="120" t="s">
        <v>3624</v>
      </c>
      <c r="H53" s="121" t="s">
        <v>3625</v>
      </c>
    </row>
    <row r="54" customFormat="false" ht="15" hidden="false" customHeight="true" outlineLevel="0" collapsed="false">
      <c r="B54" s="120" t="n">
        <v>50</v>
      </c>
      <c r="C54" s="120" t="s">
        <v>3614</v>
      </c>
      <c r="D54" s="120" t="s">
        <v>3626</v>
      </c>
      <c r="E54" s="120" t="s">
        <v>3616</v>
      </c>
      <c r="F54" s="120" t="s">
        <v>3627</v>
      </c>
      <c r="G54" s="120" t="s">
        <v>3628</v>
      </c>
      <c r="H54" s="121" t="s">
        <v>3416</v>
      </c>
    </row>
    <row r="55" customFormat="false" ht="27.75" hidden="false" customHeight="true" outlineLevel="0" collapsed="false">
      <c r="B55" s="120" t="n">
        <v>51</v>
      </c>
      <c r="C55" s="120" t="s">
        <v>3614</v>
      </c>
      <c r="D55" s="120" t="s">
        <v>3629</v>
      </c>
      <c r="E55" s="120" t="s">
        <v>3523</v>
      </c>
      <c r="F55" s="120" t="s">
        <v>3630</v>
      </c>
      <c r="G55" s="120" t="s">
        <v>3631</v>
      </c>
      <c r="H55" s="123" t="s">
        <v>3632</v>
      </c>
    </row>
    <row r="56" customFormat="false" ht="27.75" hidden="false" customHeight="true" outlineLevel="0" collapsed="false">
      <c r="B56" s="120" t="n">
        <v>52</v>
      </c>
      <c r="C56" s="120" t="s">
        <v>3614</v>
      </c>
      <c r="D56" s="120" t="s">
        <v>3633</v>
      </c>
      <c r="E56" s="120" t="s">
        <v>3634</v>
      </c>
      <c r="F56" s="120" t="s">
        <v>3635</v>
      </c>
      <c r="G56" s="120" t="s">
        <v>3494</v>
      </c>
      <c r="H56" s="121" t="s">
        <v>3636</v>
      </c>
    </row>
    <row r="57" customFormat="false" ht="41.25" hidden="false" customHeight="true" outlineLevel="0" collapsed="false">
      <c r="B57" s="120" t="n">
        <v>53</v>
      </c>
      <c r="C57" s="120" t="s">
        <v>3637</v>
      </c>
      <c r="D57" s="120" t="s">
        <v>3638</v>
      </c>
      <c r="E57" s="120" t="s">
        <v>3639</v>
      </c>
      <c r="F57" s="120" t="s">
        <v>3640</v>
      </c>
      <c r="G57" s="120" t="s">
        <v>3641</v>
      </c>
      <c r="H57" s="121" t="s">
        <v>3416</v>
      </c>
    </row>
    <row r="58" customFormat="false" ht="27.75" hidden="false" customHeight="true" outlineLevel="0" collapsed="false">
      <c r="B58" s="120" t="n">
        <v>54</v>
      </c>
      <c r="C58" s="120" t="s">
        <v>3642</v>
      </c>
      <c r="D58" s="120" t="s">
        <v>3643</v>
      </c>
      <c r="E58" s="120" t="s">
        <v>3474</v>
      </c>
      <c r="F58" s="120" t="s">
        <v>3644</v>
      </c>
      <c r="G58" s="120" t="s">
        <v>3645</v>
      </c>
      <c r="H58" s="121" t="s">
        <v>3416</v>
      </c>
    </row>
    <row r="59" customFormat="false" ht="27.75" hidden="false" customHeight="true" outlineLevel="0" collapsed="false">
      <c r="B59" s="120" t="n">
        <v>55</v>
      </c>
      <c r="C59" s="120" t="s">
        <v>3614</v>
      </c>
      <c r="D59" s="120" t="s">
        <v>3646</v>
      </c>
      <c r="E59" s="120" t="s">
        <v>3647</v>
      </c>
      <c r="F59" s="120" t="s">
        <v>3648</v>
      </c>
      <c r="G59" s="120" t="s">
        <v>3649</v>
      </c>
      <c r="H59" s="121" t="s">
        <v>3416</v>
      </c>
    </row>
    <row r="60" customFormat="false" ht="27.75" hidden="false" customHeight="true" outlineLevel="0" collapsed="false">
      <c r="B60" s="120" t="n">
        <v>56</v>
      </c>
      <c r="C60" s="120" t="s">
        <v>3614</v>
      </c>
      <c r="D60" s="120" t="s">
        <v>3650</v>
      </c>
      <c r="E60" s="120" t="s">
        <v>3651</v>
      </c>
      <c r="F60" s="120" t="s">
        <v>3652</v>
      </c>
      <c r="G60" s="120" t="s">
        <v>3653</v>
      </c>
      <c r="H60" s="123" t="s">
        <v>3654</v>
      </c>
    </row>
    <row r="61" customFormat="false" ht="27.75" hidden="false" customHeight="true" outlineLevel="0" collapsed="false">
      <c r="B61" s="120" t="n">
        <v>57</v>
      </c>
      <c r="C61" s="120" t="s">
        <v>3655</v>
      </c>
      <c r="D61" s="120" t="s">
        <v>3656</v>
      </c>
      <c r="E61" s="120" t="s">
        <v>3657</v>
      </c>
      <c r="F61" s="120" t="s">
        <v>3658</v>
      </c>
      <c r="G61" s="120" t="s">
        <v>3659</v>
      </c>
      <c r="H61" s="121" t="s">
        <v>3416</v>
      </c>
    </row>
    <row r="62" customFormat="false" ht="27.75" hidden="false" customHeight="true" outlineLevel="0" collapsed="false">
      <c r="B62" s="120" t="n">
        <v>58</v>
      </c>
      <c r="C62" s="120" t="s">
        <v>3655</v>
      </c>
      <c r="D62" s="120" t="s">
        <v>3660</v>
      </c>
      <c r="E62" s="120" t="s">
        <v>3661</v>
      </c>
      <c r="F62" s="120" t="s">
        <v>3662</v>
      </c>
      <c r="G62" s="120" t="s">
        <v>3663</v>
      </c>
      <c r="H62" s="121" t="s">
        <v>3416</v>
      </c>
    </row>
    <row r="63" customFormat="false" ht="15" hidden="false" customHeight="true" outlineLevel="0" collapsed="false">
      <c r="B63" s="120" t="n">
        <v>59</v>
      </c>
      <c r="C63" s="120" t="s">
        <v>3664</v>
      </c>
      <c r="D63" s="120" t="s">
        <v>3665</v>
      </c>
      <c r="E63" s="120" t="s">
        <v>3666</v>
      </c>
      <c r="F63" s="120" t="s">
        <v>3667</v>
      </c>
      <c r="G63" s="120" t="s">
        <v>3668</v>
      </c>
      <c r="H63" s="121" t="s">
        <v>3416</v>
      </c>
    </row>
    <row r="64" customFormat="false" ht="27.75" hidden="false" customHeight="true" outlineLevel="0" collapsed="false">
      <c r="B64" s="120" t="n">
        <v>60</v>
      </c>
      <c r="C64" s="120" t="s">
        <v>3664</v>
      </c>
      <c r="D64" s="120" t="s">
        <v>3669</v>
      </c>
      <c r="E64" s="120" t="s">
        <v>3647</v>
      </c>
      <c r="F64" s="120" t="s">
        <v>3670</v>
      </c>
      <c r="G64" s="120" t="s">
        <v>3671</v>
      </c>
      <c r="H64" s="121" t="s">
        <v>3416</v>
      </c>
    </row>
    <row r="65" customFormat="false" ht="27.75" hidden="false" customHeight="true" outlineLevel="0" collapsed="false">
      <c r="B65" s="120" t="n">
        <v>61</v>
      </c>
      <c r="C65" s="120" t="s">
        <v>3672</v>
      </c>
      <c r="D65" s="120" t="s">
        <v>3673</v>
      </c>
      <c r="E65" s="120" t="s">
        <v>3674</v>
      </c>
      <c r="F65" s="120" t="s">
        <v>3675</v>
      </c>
      <c r="G65" s="120" t="s">
        <v>3676</v>
      </c>
      <c r="H65" s="121" t="s">
        <v>3416</v>
      </c>
    </row>
    <row r="66" customFormat="false" ht="27.75" hidden="false" customHeight="true" outlineLevel="0" collapsed="false">
      <c r="B66" s="120" t="n">
        <v>62</v>
      </c>
      <c r="C66" s="120" t="s">
        <v>3664</v>
      </c>
      <c r="D66" s="120" t="s">
        <v>3677</v>
      </c>
      <c r="E66" s="120" t="s">
        <v>3678</v>
      </c>
      <c r="F66" s="120" t="s">
        <v>3679</v>
      </c>
      <c r="G66" s="120" t="s">
        <v>3680</v>
      </c>
      <c r="H66" s="121" t="s">
        <v>3416</v>
      </c>
    </row>
    <row r="67" customFormat="false" ht="15" hidden="false" customHeight="true" outlineLevel="0" collapsed="false">
      <c r="B67" s="120" t="n">
        <v>63</v>
      </c>
      <c r="C67" s="120" t="s">
        <v>3664</v>
      </c>
      <c r="D67" s="120" t="s">
        <v>3681</v>
      </c>
      <c r="E67" s="120" t="s">
        <v>3647</v>
      </c>
      <c r="F67" s="120" t="s">
        <v>3682</v>
      </c>
      <c r="G67" s="120" t="s">
        <v>3683</v>
      </c>
      <c r="H67" s="121" t="s">
        <v>3416</v>
      </c>
    </row>
    <row r="68" customFormat="false" ht="27.75" hidden="false" customHeight="true" outlineLevel="0" collapsed="false">
      <c r="B68" s="120" t="n">
        <v>64</v>
      </c>
      <c r="C68" s="120" t="s">
        <v>3491</v>
      </c>
      <c r="D68" s="120" t="s">
        <v>3684</v>
      </c>
      <c r="E68" s="120" t="s">
        <v>3685</v>
      </c>
      <c r="F68" s="120" t="s">
        <v>3686</v>
      </c>
      <c r="G68" s="120" t="s">
        <v>3687</v>
      </c>
      <c r="H68" s="121" t="s">
        <v>3416</v>
      </c>
    </row>
    <row r="69" customFormat="false" ht="27.75" hidden="false" customHeight="true" outlineLevel="0" collapsed="false">
      <c r="B69" s="120" t="n">
        <v>65</v>
      </c>
      <c r="C69" s="120" t="s">
        <v>3496</v>
      </c>
      <c r="D69" s="120" t="s">
        <v>3688</v>
      </c>
      <c r="E69" s="120" t="s">
        <v>3689</v>
      </c>
      <c r="F69" s="120" t="s">
        <v>3690</v>
      </c>
      <c r="G69" s="120" t="s">
        <v>3691</v>
      </c>
      <c r="H69" s="121" t="s">
        <v>3416</v>
      </c>
    </row>
    <row r="70" customFormat="false" ht="15" hidden="false" customHeight="true" outlineLevel="0" collapsed="false">
      <c r="B70" s="120" t="n">
        <v>66</v>
      </c>
      <c r="C70" s="120" t="s">
        <v>3672</v>
      </c>
      <c r="D70" s="120" t="s">
        <v>3692</v>
      </c>
      <c r="E70" s="120" t="s">
        <v>3693</v>
      </c>
      <c r="F70" s="120" t="s">
        <v>3694</v>
      </c>
      <c r="G70" s="120" t="s">
        <v>3695</v>
      </c>
      <c r="H70" s="121" t="s">
        <v>3416</v>
      </c>
    </row>
    <row r="71" customFormat="false" ht="15" hidden="false" customHeight="true" outlineLevel="0" collapsed="false">
      <c r="B71" s="120" t="n">
        <v>67</v>
      </c>
      <c r="C71" s="120" t="s">
        <v>3696</v>
      </c>
      <c r="D71" s="120" t="s">
        <v>3697</v>
      </c>
      <c r="E71" s="120" t="s">
        <v>3698</v>
      </c>
      <c r="F71" s="120" t="s">
        <v>3699</v>
      </c>
      <c r="G71" s="120" t="s">
        <v>3700</v>
      </c>
      <c r="H71" s="121" t="s">
        <v>3416</v>
      </c>
    </row>
    <row r="72" customFormat="false" ht="27.75" hidden="false" customHeight="true" outlineLevel="0" collapsed="false">
      <c r="B72" s="120" t="n">
        <v>68</v>
      </c>
      <c r="C72" s="120" t="s">
        <v>3696</v>
      </c>
      <c r="D72" s="120" t="s">
        <v>3701</v>
      </c>
      <c r="E72" s="120" t="s">
        <v>3702</v>
      </c>
      <c r="F72" s="120" t="s">
        <v>3703</v>
      </c>
      <c r="G72" s="120" t="s">
        <v>3455</v>
      </c>
      <c r="H72" s="122" t="s">
        <v>3704</v>
      </c>
    </row>
    <row r="73" customFormat="false" ht="27.75" hidden="false" customHeight="true" outlineLevel="0" collapsed="false">
      <c r="B73" s="120" t="n">
        <v>69</v>
      </c>
      <c r="C73" s="120" t="s">
        <v>3696</v>
      </c>
      <c r="D73" s="120" t="s">
        <v>3705</v>
      </c>
      <c r="E73" s="120" t="s">
        <v>3706</v>
      </c>
      <c r="F73" s="120" t="s">
        <v>3707</v>
      </c>
      <c r="G73" s="120" t="s">
        <v>3455</v>
      </c>
      <c r="H73" s="122" t="s">
        <v>3708</v>
      </c>
    </row>
    <row r="74" customFormat="false" ht="54.75" hidden="false" customHeight="true" outlineLevel="0" collapsed="false">
      <c r="B74" s="120" t="n">
        <v>70</v>
      </c>
      <c r="C74" s="120" t="s">
        <v>3709</v>
      </c>
      <c r="D74" s="120" t="s">
        <v>3710</v>
      </c>
      <c r="E74" s="120" t="s">
        <v>3711</v>
      </c>
      <c r="F74" s="120" t="s">
        <v>3712</v>
      </c>
      <c r="G74" s="120" t="s">
        <v>3455</v>
      </c>
      <c r="H74" s="121" t="s">
        <v>3713</v>
      </c>
    </row>
    <row r="75" customFormat="false" ht="27.75" hidden="false" customHeight="true" outlineLevel="0" collapsed="false">
      <c r="B75" s="120" t="n">
        <v>71</v>
      </c>
      <c r="C75" s="120" t="s">
        <v>3714</v>
      </c>
      <c r="D75" s="120" t="s">
        <v>3715</v>
      </c>
      <c r="E75" s="120" t="s">
        <v>3616</v>
      </c>
      <c r="F75" s="120" t="s">
        <v>3716</v>
      </c>
      <c r="G75" s="120" t="s">
        <v>3455</v>
      </c>
      <c r="H75" s="121" t="s">
        <v>3717</v>
      </c>
    </row>
    <row r="76" customFormat="false" ht="41.25" hidden="false" customHeight="true" outlineLevel="0" collapsed="false">
      <c r="B76" s="120" t="n">
        <v>72</v>
      </c>
      <c r="C76" s="120" t="s">
        <v>3549</v>
      </c>
      <c r="D76" s="120" t="s">
        <v>3718</v>
      </c>
      <c r="E76" s="120" t="s">
        <v>3528</v>
      </c>
      <c r="F76" s="120" t="s">
        <v>3719</v>
      </c>
      <c r="G76" s="120" t="s">
        <v>3720</v>
      </c>
      <c r="H76" s="123" t="s">
        <v>3721</v>
      </c>
    </row>
    <row r="77" customFormat="false" ht="15" hidden="false" customHeight="true" outlineLevel="0" collapsed="false">
      <c r="B77" s="120" t="n">
        <v>73</v>
      </c>
      <c r="C77" s="120" t="s">
        <v>3722</v>
      </c>
      <c r="D77" s="120" t="s">
        <v>3723</v>
      </c>
      <c r="E77" s="120" t="s">
        <v>3449</v>
      </c>
      <c r="F77" s="120" t="s">
        <v>3724</v>
      </c>
      <c r="G77" s="120" t="s">
        <v>3451</v>
      </c>
      <c r="H77" s="121" t="s">
        <v>3416</v>
      </c>
    </row>
    <row r="78" customFormat="false" ht="54.75" hidden="false" customHeight="true" outlineLevel="0" collapsed="false">
      <c r="B78" s="120" t="n">
        <v>74</v>
      </c>
      <c r="C78" s="120" t="s">
        <v>3722</v>
      </c>
      <c r="D78" s="120" t="s">
        <v>3725</v>
      </c>
      <c r="E78" s="120" t="s">
        <v>3726</v>
      </c>
      <c r="F78" s="120" t="s">
        <v>3727</v>
      </c>
      <c r="G78" s="120" t="s">
        <v>3728</v>
      </c>
      <c r="H78" s="121" t="s">
        <v>3729</v>
      </c>
    </row>
    <row r="79" customFormat="false" ht="27.75" hidden="false" customHeight="true" outlineLevel="0" collapsed="false">
      <c r="B79" s="120" t="n">
        <v>75</v>
      </c>
      <c r="C79" s="120" t="s">
        <v>3730</v>
      </c>
      <c r="D79" s="120" t="s">
        <v>3731</v>
      </c>
      <c r="E79" s="120" t="s">
        <v>3732</v>
      </c>
      <c r="F79" s="120" t="s">
        <v>3733</v>
      </c>
      <c r="G79" s="120" t="s">
        <v>3734</v>
      </c>
      <c r="H79" s="121" t="s">
        <v>3416</v>
      </c>
    </row>
    <row r="80" customFormat="false" ht="27.75" hidden="false" customHeight="true" outlineLevel="0" collapsed="false">
      <c r="B80" s="120" t="n">
        <v>76</v>
      </c>
      <c r="C80" s="120" t="s">
        <v>3735</v>
      </c>
      <c r="D80" s="120" t="s">
        <v>3736</v>
      </c>
      <c r="E80" s="120" t="s">
        <v>3737</v>
      </c>
      <c r="F80" s="120" t="s">
        <v>3738</v>
      </c>
      <c r="G80" s="120" t="s">
        <v>3739</v>
      </c>
      <c r="H80" s="121" t="s">
        <v>3740</v>
      </c>
    </row>
    <row r="81" customFormat="false" ht="27.75" hidden="false" customHeight="true" outlineLevel="0" collapsed="false">
      <c r="B81" s="120" t="n">
        <v>77</v>
      </c>
      <c r="C81" s="120" t="s">
        <v>3741</v>
      </c>
      <c r="D81" s="120" t="s">
        <v>3742</v>
      </c>
      <c r="E81" s="120" t="s">
        <v>3743</v>
      </c>
      <c r="F81" s="120" t="s">
        <v>3744</v>
      </c>
      <c r="G81" s="120" t="s">
        <v>3745</v>
      </c>
      <c r="H81" s="121" t="s">
        <v>3416</v>
      </c>
    </row>
    <row r="82" customFormat="false" ht="41.25" hidden="false" customHeight="true" outlineLevel="0" collapsed="false">
      <c r="B82" s="120" t="n">
        <v>78</v>
      </c>
      <c r="C82" s="120" t="s">
        <v>3746</v>
      </c>
      <c r="D82" s="120" t="s">
        <v>3747</v>
      </c>
      <c r="E82" s="120" t="s">
        <v>3569</v>
      </c>
      <c r="F82" s="120" t="s">
        <v>3748</v>
      </c>
      <c r="G82" s="120" t="s">
        <v>3749</v>
      </c>
      <c r="H82" s="122" t="s">
        <v>3750</v>
      </c>
    </row>
    <row r="83" customFormat="false" ht="27.75" hidden="false" customHeight="true" outlineLevel="0" collapsed="false">
      <c r="B83" s="120" t="n">
        <v>79</v>
      </c>
      <c r="C83" s="120" t="s">
        <v>3746</v>
      </c>
      <c r="D83" s="120" t="s">
        <v>3751</v>
      </c>
      <c r="E83" s="120" t="s">
        <v>3752</v>
      </c>
      <c r="F83" s="120" t="s">
        <v>3753</v>
      </c>
      <c r="G83" s="120" t="s">
        <v>3754</v>
      </c>
      <c r="H83" s="122" t="s">
        <v>3755</v>
      </c>
    </row>
    <row r="84" customFormat="false" ht="27.75" hidden="false" customHeight="true" outlineLevel="0" collapsed="false">
      <c r="B84" s="120" t="n">
        <v>80</v>
      </c>
      <c r="C84" s="120" t="s">
        <v>3756</v>
      </c>
      <c r="D84" s="120" t="s">
        <v>3757</v>
      </c>
      <c r="E84" s="120" t="s">
        <v>3758</v>
      </c>
      <c r="F84" s="120" t="s">
        <v>3759</v>
      </c>
      <c r="G84" s="120" t="s">
        <v>3760</v>
      </c>
      <c r="H84" s="121" t="s">
        <v>3761</v>
      </c>
    </row>
    <row r="85" customFormat="false" ht="27.75" hidden="false" customHeight="true" outlineLevel="0" collapsed="false">
      <c r="B85" s="120" t="n">
        <v>81</v>
      </c>
      <c r="C85" s="120" t="s">
        <v>3762</v>
      </c>
      <c r="D85" s="120" t="s">
        <v>3763</v>
      </c>
      <c r="E85" s="120" t="s">
        <v>3764</v>
      </c>
      <c r="F85" s="120" t="s">
        <v>3765</v>
      </c>
      <c r="G85" s="120" t="s">
        <v>3766</v>
      </c>
      <c r="H85" s="121" t="s">
        <v>3761</v>
      </c>
    </row>
    <row r="86" customFormat="false" ht="27.75" hidden="false" customHeight="true" outlineLevel="0" collapsed="false">
      <c r="B86" s="120" t="n">
        <v>82</v>
      </c>
      <c r="C86" s="120" t="s">
        <v>3767</v>
      </c>
      <c r="D86" s="120" t="s">
        <v>3768</v>
      </c>
      <c r="E86" s="120" t="s">
        <v>3769</v>
      </c>
      <c r="F86" s="120" t="s">
        <v>3770</v>
      </c>
      <c r="G86" s="120" t="s">
        <v>3771</v>
      </c>
      <c r="H86" s="121" t="s">
        <v>3761</v>
      </c>
    </row>
    <row r="87" customFormat="false" ht="27.75" hidden="false" customHeight="true" outlineLevel="0" collapsed="false">
      <c r="B87" s="120" t="n">
        <v>83</v>
      </c>
      <c r="C87" s="120" t="s">
        <v>3772</v>
      </c>
      <c r="D87" s="120" t="s">
        <v>3773</v>
      </c>
      <c r="E87" s="120" t="s">
        <v>3774</v>
      </c>
      <c r="F87" s="120" t="s">
        <v>3775</v>
      </c>
      <c r="G87" s="120" t="s">
        <v>3776</v>
      </c>
      <c r="H87" s="121" t="s">
        <v>3761</v>
      </c>
    </row>
    <row r="88" customFormat="false" ht="27.75" hidden="false" customHeight="true" outlineLevel="0" collapsed="false">
      <c r="B88" s="120" t="n">
        <v>84</v>
      </c>
      <c r="C88" s="120" t="s">
        <v>3777</v>
      </c>
      <c r="D88" s="120" t="s">
        <v>3778</v>
      </c>
      <c r="E88" s="120" t="s">
        <v>3779</v>
      </c>
      <c r="F88" s="120" t="s">
        <v>3780</v>
      </c>
      <c r="G88" s="120" t="s">
        <v>3781</v>
      </c>
      <c r="H88" s="121" t="s">
        <v>3761</v>
      </c>
    </row>
    <row r="89" customFormat="false" ht="27.75" hidden="false" customHeight="true" outlineLevel="0" collapsed="false">
      <c r="B89" s="120" t="n">
        <v>85</v>
      </c>
      <c r="C89" s="120" t="s">
        <v>3782</v>
      </c>
      <c r="D89" s="120" t="s">
        <v>3783</v>
      </c>
      <c r="E89" s="120" t="s">
        <v>3784</v>
      </c>
      <c r="F89" s="120" t="s">
        <v>3785</v>
      </c>
      <c r="G89" s="120" t="s">
        <v>3786</v>
      </c>
      <c r="H89" s="121" t="s">
        <v>3761</v>
      </c>
    </row>
    <row r="90" customFormat="false" ht="27.75" hidden="false" customHeight="true" outlineLevel="0" collapsed="false">
      <c r="B90" s="120" t="n">
        <v>86</v>
      </c>
      <c r="C90" s="120" t="s">
        <v>3787</v>
      </c>
      <c r="D90" s="120" t="s">
        <v>3788</v>
      </c>
      <c r="E90" s="120" t="s">
        <v>3789</v>
      </c>
      <c r="F90" s="120" t="s">
        <v>3790</v>
      </c>
      <c r="G90" s="120" t="s">
        <v>3791</v>
      </c>
      <c r="H90" s="121" t="s">
        <v>3761</v>
      </c>
    </row>
    <row r="91" customFormat="false" ht="27.75" hidden="false" customHeight="true" outlineLevel="0" collapsed="false">
      <c r="B91" s="120" t="n">
        <v>87</v>
      </c>
      <c r="C91" s="120" t="s">
        <v>3792</v>
      </c>
      <c r="D91" s="120" t="s">
        <v>3793</v>
      </c>
      <c r="E91" s="120" t="s">
        <v>3794</v>
      </c>
      <c r="F91" s="120" t="s">
        <v>3795</v>
      </c>
      <c r="G91" s="120" t="s">
        <v>3796</v>
      </c>
      <c r="H91" s="121" t="s">
        <v>3761</v>
      </c>
    </row>
    <row r="92" customFormat="false" ht="27.75" hidden="false" customHeight="true" outlineLevel="0" collapsed="false">
      <c r="B92" s="120" t="n">
        <v>88</v>
      </c>
      <c r="C92" s="120" t="s">
        <v>3797</v>
      </c>
      <c r="D92" s="120" t="s">
        <v>3798</v>
      </c>
      <c r="E92" s="120" t="s">
        <v>3799</v>
      </c>
      <c r="F92" s="120" t="s">
        <v>3800</v>
      </c>
      <c r="G92" s="120" t="s">
        <v>3801</v>
      </c>
      <c r="H92" s="121" t="s">
        <v>3761</v>
      </c>
    </row>
    <row r="93" customFormat="false" ht="27.75" hidden="false" customHeight="true" outlineLevel="0" collapsed="false">
      <c r="B93" s="120" t="n">
        <v>89</v>
      </c>
      <c r="C93" s="120" t="s">
        <v>3802</v>
      </c>
      <c r="D93" s="120" t="s">
        <v>3803</v>
      </c>
      <c r="E93" s="120" t="s">
        <v>3804</v>
      </c>
      <c r="F93" s="120" t="s">
        <v>3805</v>
      </c>
      <c r="G93" s="120" t="s">
        <v>3806</v>
      </c>
      <c r="H93" s="121" t="s">
        <v>3761</v>
      </c>
    </row>
    <row r="94" customFormat="false" ht="27.75" hidden="false" customHeight="true" outlineLevel="0" collapsed="false">
      <c r="B94" s="120" t="n">
        <v>90</v>
      </c>
      <c r="C94" s="120" t="s">
        <v>3807</v>
      </c>
      <c r="D94" s="120" t="s">
        <v>3808</v>
      </c>
      <c r="E94" s="120" t="s">
        <v>3809</v>
      </c>
      <c r="F94" s="120" t="s">
        <v>3810</v>
      </c>
      <c r="G94" s="120" t="s">
        <v>3811</v>
      </c>
      <c r="H94" s="121" t="s">
        <v>3761</v>
      </c>
    </row>
    <row r="95" customFormat="false" ht="27.75" hidden="false" customHeight="true" outlineLevel="0" collapsed="false">
      <c r="B95" s="120" t="n">
        <v>91</v>
      </c>
      <c r="C95" s="120" t="s">
        <v>3812</v>
      </c>
      <c r="D95" s="120" t="s">
        <v>3813</v>
      </c>
      <c r="E95" s="120" t="s">
        <v>3814</v>
      </c>
      <c r="F95" s="120" t="s">
        <v>3815</v>
      </c>
      <c r="G95" s="120" t="s">
        <v>3816</v>
      </c>
      <c r="H95" s="121" t="s">
        <v>3761</v>
      </c>
    </row>
    <row r="96" customFormat="false" ht="27.75" hidden="false" customHeight="true" outlineLevel="0" collapsed="false">
      <c r="B96" s="120" t="n">
        <v>92</v>
      </c>
      <c r="C96" s="120" t="s">
        <v>3817</v>
      </c>
      <c r="D96" s="120" t="s">
        <v>3818</v>
      </c>
      <c r="E96" s="120" t="s">
        <v>3819</v>
      </c>
      <c r="F96" s="120" t="s">
        <v>3820</v>
      </c>
      <c r="G96" s="120" t="s">
        <v>3821</v>
      </c>
      <c r="H96" s="121" t="s">
        <v>3761</v>
      </c>
    </row>
    <row r="97" customFormat="false" ht="27.75" hidden="false" customHeight="true" outlineLevel="0" collapsed="false">
      <c r="B97" s="120" t="n">
        <v>93</v>
      </c>
      <c r="C97" s="120" t="s">
        <v>3822</v>
      </c>
      <c r="D97" s="120" t="s">
        <v>3823</v>
      </c>
      <c r="E97" s="120" t="s">
        <v>3824</v>
      </c>
      <c r="F97" s="120" t="s">
        <v>3825</v>
      </c>
      <c r="G97" s="120" t="s">
        <v>3826</v>
      </c>
      <c r="H97" s="121" t="s">
        <v>3761</v>
      </c>
    </row>
    <row r="98" customFormat="false" ht="27.75" hidden="false" customHeight="true" outlineLevel="0" collapsed="false">
      <c r="B98" s="120" t="n">
        <v>94</v>
      </c>
      <c r="C98" s="120" t="s">
        <v>3827</v>
      </c>
      <c r="D98" s="120" t="s">
        <v>3828</v>
      </c>
      <c r="E98" s="120" t="s">
        <v>3829</v>
      </c>
      <c r="F98" s="120" t="s">
        <v>3830</v>
      </c>
      <c r="G98" s="120" t="s">
        <v>3831</v>
      </c>
      <c r="H98" s="121" t="s">
        <v>3761</v>
      </c>
    </row>
    <row r="99" customFormat="false" ht="27.75" hidden="false" customHeight="true" outlineLevel="0" collapsed="false">
      <c r="B99" s="120" t="n">
        <v>95</v>
      </c>
      <c r="C99" s="120" t="s">
        <v>3832</v>
      </c>
      <c r="D99" s="120" t="s">
        <v>3833</v>
      </c>
      <c r="E99" s="120" t="s">
        <v>3834</v>
      </c>
      <c r="F99" s="120" t="s">
        <v>3835</v>
      </c>
      <c r="G99" s="120" t="s">
        <v>3836</v>
      </c>
      <c r="H99" s="121" t="s">
        <v>3761</v>
      </c>
    </row>
    <row r="100" customFormat="false" ht="27.75" hidden="false" customHeight="true" outlineLevel="0" collapsed="false">
      <c r="B100" s="120" t="n">
        <v>96</v>
      </c>
      <c r="C100" s="120" t="s">
        <v>3837</v>
      </c>
      <c r="D100" s="120" t="s">
        <v>3838</v>
      </c>
      <c r="E100" s="120" t="s">
        <v>3839</v>
      </c>
      <c r="F100" s="120" t="s">
        <v>3840</v>
      </c>
      <c r="G100" s="120" t="s">
        <v>3841</v>
      </c>
      <c r="H100" s="121" t="s">
        <v>3761</v>
      </c>
    </row>
    <row r="101" customFormat="false" ht="27.75" hidden="false" customHeight="true" outlineLevel="0" collapsed="false">
      <c r="B101" s="120" t="n">
        <v>97</v>
      </c>
      <c r="C101" s="120" t="s">
        <v>3842</v>
      </c>
      <c r="D101" s="120" t="s">
        <v>3843</v>
      </c>
      <c r="E101" s="120" t="s">
        <v>3844</v>
      </c>
      <c r="F101" s="120" t="s">
        <v>3845</v>
      </c>
      <c r="G101" s="120" t="s">
        <v>3846</v>
      </c>
      <c r="H101" s="121" t="s">
        <v>3761</v>
      </c>
    </row>
    <row r="102" customFormat="false" ht="27.75" hidden="false" customHeight="true" outlineLevel="0" collapsed="false">
      <c r="B102" s="120" t="n">
        <v>98</v>
      </c>
      <c r="C102" s="120" t="s">
        <v>3847</v>
      </c>
      <c r="D102" s="120" t="s">
        <v>3848</v>
      </c>
      <c r="E102" s="120" t="s">
        <v>3849</v>
      </c>
      <c r="F102" s="120" t="s">
        <v>3850</v>
      </c>
      <c r="G102" s="120" t="s">
        <v>3851</v>
      </c>
      <c r="H102" s="121" t="s">
        <v>3761</v>
      </c>
    </row>
    <row r="103" customFormat="false" ht="27.75" hidden="false" customHeight="true" outlineLevel="0" collapsed="false">
      <c r="B103" s="120" t="n">
        <v>99</v>
      </c>
      <c r="C103" s="120" t="s">
        <v>3852</v>
      </c>
      <c r="D103" s="120" t="s">
        <v>3853</v>
      </c>
      <c r="E103" s="120" t="s">
        <v>3854</v>
      </c>
      <c r="F103" s="120" t="s">
        <v>3855</v>
      </c>
      <c r="G103" s="120" t="s">
        <v>3856</v>
      </c>
      <c r="H103" s="121" t="s">
        <v>3761</v>
      </c>
    </row>
    <row r="104" customFormat="false" ht="27.75" hidden="false" customHeight="true" outlineLevel="0" collapsed="false">
      <c r="B104" s="120" t="n">
        <v>100</v>
      </c>
      <c r="C104" s="120" t="s">
        <v>3857</v>
      </c>
      <c r="D104" s="120" t="s">
        <v>3858</v>
      </c>
      <c r="E104" s="120" t="s">
        <v>3859</v>
      </c>
      <c r="F104" s="120" t="s">
        <v>3860</v>
      </c>
      <c r="G104" s="120" t="s">
        <v>3861</v>
      </c>
      <c r="H104" s="121" t="s">
        <v>3761</v>
      </c>
    </row>
    <row r="105" customFormat="false" ht="27.75" hidden="false" customHeight="true" outlineLevel="0" collapsed="false">
      <c r="B105" s="120" t="n">
        <v>101</v>
      </c>
      <c r="C105" s="120" t="s">
        <v>3862</v>
      </c>
      <c r="D105" s="120" t="s">
        <v>3863</v>
      </c>
      <c r="E105" s="120" t="s">
        <v>3864</v>
      </c>
      <c r="F105" s="120" t="s">
        <v>3865</v>
      </c>
      <c r="G105" s="120" t="s">
        <v>3866</v>
      </c>
      <c r="H105" s="121" t="s">
        <v>3761</v>
      </c>
    </row>
    <row r="106" customFormat="false" ht="27.75" hidden="false" customHeight="true" outlineLevel="0" collapsed="false">
      <c r="B106" s="120" t="n">
        <v>102</v>
      </c>
      <c r="C106" s="120" t="s">
        <v>3867</v>
      </c>
      <c r="D106" s="120" t="s">
        <v>3868</v>
      </c>
      <c r="E106" s="120" t="s">
        <v>3869</v>
      </c>
      <c r="F106" s="120" t="s">
        <v>3870</v>
      </c>
      <c r="G106" s="120" t="s">
        <v>3871</v>
      </c>
      <c r="H106" s="121" t="s">
        <v>3761</v>
      </c>
    </row>
    <row r="107" customFormat="false" ht="27.75" hidden="false" customHeight="true" outlineLevel="0" collapsed="false">
      <c r="B107" s="120" t="n">
        <v>103</v>
      </c>
      <c r="C107" s="120" t="s">
        <v>3872</v>
      </c>
      <c r="D107" s="120" t="s">
        <v>3873</v>
      </c>
      <c r="E107" s="120" t="s">
        <v>3874</v>
      </c>
      <c r="F107" s="120" t="s">
        <v>3875</v>
      </c>
      <c r="G107" s="120" t="s">
        <v>3876</v>
      </c>
      <c r="H107" s="121" t="s">
        <v>3761</v>
      </c>
    </row>
    <row r="108" customFormat="false" ht="27.75" hidden="false" customHeight="true" outlineLevel="0" collapsed="false">
      <c r="B108" s="120" t="n">
        <v>104</v>
      </c>
      <c r="C108" s="120" t="s">
        <v>3877</v>
      </c>
      <c r="D108" s="120" t="s">
        <v>3878</v>
      </c>
      <c r="E108" s="120" t="s">
        <v>3879</v>
      </c>
      <c r="F108" s="120" t="s">
        <v>3880</v>
      </c>
      <c r="G108" s="120" t="s">
        <v>3881</v>
      </c>
      <c r="H108" s="121" t="s">
        <v>3761</v>
      </c>
    </row>
    <row r="109" customFormat="false" ht="27.75" hidden="false" customHeight="true" outlineLevel="0" collapsed="false">
      <c r="B109" s="120" t="n">
        <v>105</v>
      </c>
      <c r="C109" s="120" t="s">
        <v>3882</v>
      </c>
      <c r="D109" s="120" t="s">
        <v>3883</v>
      </c>
      <c r="E109" s="120" t="s">
        <v>3884</v>
      </c>
      <c r="F109" s="120" t="s">
        <v>3885</v>
      </c>
      <c r="G109" s="120" t="s">
        <v>3886</v>
      </c>
      <c r="H109" s="121" t="s">
        <v>3761</v>
      </c>
    </row>
    <row r="110" customFormat="false" ht="27.75" hidden="false" customHeight="true" outlineLevel="0" collapsed="false">
      <c r="B110" s="120" t="n">
        <v>106</v>
      </c>
      <c r="C110" s="120" t="s">
        <v>3887</v>
      </c>
      <c r="D110" s="120" t="s">
        <v>3888</v>
      </c>
      <c r="E110" s="120" t="s">
        <v>3889</v>
      </c>
      <c r="F110" s="120" t="s">
        <v>3890</v>
      </c>
      <c r="G110" s="120" t="s">
        <v>3891</v>
      </c>
      <c r="H110" s="121" t="s">
        <v>3761</v>
      </c>
    </row>
    <row r="111" customFormat="false" ht="27.75" hidden="false" customHeight="true" outlineLevel="0" collapsed="false">
      <c r="B111" s="120" t="n">
        <v>107</v>
      </c>
      <c r="C111" s="120" t="s">
        <v>3892</v>
      </c>
      <c r="D111" s="120" t="s">
        <v>3893</v>
      </c>
      <c r="E111" s="120" t="s">
        <v>3894</v>
      </c>
      <c r="F111" s="120" t="s">
        <v>3895</v>
      </c>
      <c r="G111" s="120" t="s">
        <v>3896</v>
      </c>
      <c r="H111" s="121" t="s">
        <v>3761</v>
      </c>
    </row>
    <row r="113" customFormat="false" ht="15" hidden="false" customHeight="true" outlineLevel="0" collapsed="false">
      <c r="B113" s="116" t="s">
        <v>3897</v>
      </c>
    </row>
    <row r="114" customFormat="false" ht="15" hidden="false" customHeight="true" outlineLevel="0" collapsed="false">
      <c r="C114" s="1" t="s">
        <v>3898</v>
      </c>
      <c r="D114" s="1" t="n">
        <f aca="false">COUNTA(C5:C111)</f>
        <v>107</v>
      </c>
    </row>
    <row r="115" customFormat="false" ht="15" hidden="false" customHeight="true" outlineLevel="0" collapsed="false">
      <c r="C115" s="1" t="s">
        <v>3416</v>
      </c>
      <c r="D115" s="1" t="n">
        <f aca="false">COUNTIF(H5:H111,"Matched in test*")-COUNTIF(H5:H111,"Matched in test when*")</f>
        <v>94</v>
      </c>
    </row>
    <row r="116" customFormat="false" ht="15" hidden="false" customHeight="true" outlineLevel="0" collapsed="false">
      <c r="C116" s="1" t="s">
        <v>3899</v>
      </c>
      <c r="D116" s="1" t="n">
        <f aca="false">COUNTIF(H5:H111,"Matched in test when*")+COUNTIF(H5:H111,"Figures*")+COUNTIF(H5:H111,"Values*")+COUNTIF(H5:H111,"Partly*")</f>
        <v>5</v>
      </c>
    </row>
    <row r="117" customFormat="false" ht="15" hidden="false" customHeight="true" outlineLevel="0" collapsed="false">
      <c r="C117" s="1" t="s">
        <v>3900</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7" t="s">
        <v>3901</v>
      </c>
    </row>
    <row r="2" customFormat="false" ht="15" hidden="false" customHeight="true" outlineLevel="0" collapsed="false">
      <c r="B2" s="124" t="s">
        <v>3902</v>
      </c>
    </row>
    <row r="4" customFormat="false" ht="15" hidden="false" customHeight="true" outlineLevel="0" collapsed="false">
      <c r="B4" s="15" t="s">
        <v>242</v>
      </c>
      <c r="C4" s="16"/>
      <c r="D4" s="16"/>
      <c r="E4" s="16"/>
      <c r="F4" s="31" t="s">
        <v>3903</v>
      </c>
      <c r="G4" s="31" t="s">
        <v>3904</v>
      </c>
    </row>
    <row r="5" customFormat="false" ht="15" hidden="false" customHeight="true" outlineLevel="0" collapsed="false">
      <c r="B5" s="9" t="s">
        <v>3905</v>
      </c>
      <c r="C5" s="38"/>
      <c r="E5" s="3" t="s">
        <v>3906</v>
      </c>
      <c r="F5" s="39" t="s">
        <v>3907</v>
      </c>
      <c r="G5" s="40" t="str">
        <f aca="false">IF(ISBLANK(C5),IF(Fill_Example="Yes",F5,""),C5)</f>
        <v/>
      </c>
    </row>
    <row r="6" customFormat="false" ht="15" hidden="false" customHeight="true" outlineLevel="0" collapsed="false">
      <c r="B6" s="9" t="s">
        <v>3908</v>
      </c>
      <c r="C6" s="33"/>
      <c r="E6" s="3" t="s">
        <v>3909</v>
      </c>
      <c r="F6" s="36" t="n">
        <v>60000</v>
      </c>
      <c r="G6" s="37" t="str">
        <f aca="false">IF(ISBLANK(C6),IF(Fill_Example="Yes",F6,""),C6)</f>
        <v/>
      </c>
    </row>
    <row r="7" customFormat="false" ht="15" hidden="false" customHeight="true" outlineLevel="0" collapsed="false">
      <c r="B7" s="9" t="s">
        <v>3910</v>
      </c>
      <c r="C7" s="33"/>
      <c r="E7" s="3" t="s">
        <v>3911</v>
      </c>
      <c r="F7" s="36" t="n">
        <v>0</v>
      </c>
      <c r="G7" s="37" t="n">
        <f aca="false">IF(ISBLANK(C7),F7,C7)</f>
        <v>0</v>
      </c>
    </row>
    <row r="8" customFormat="false" ht="15" hidden="false" customHeight="true" outlineLevel="0" collapsed="false">
      <c r="B8" s="9" t="s">
        <v>3912</v>
      </c>
      <c r="C8" s="38"/>
      <c r="E8" s="3" t="s">
        <v>3913</v>
      </c>
      <c r="F8" s="39" t="s">
        <v>3</v>
      </c>
      <c r="G8" s="40" t="str">
        <f aca="false">IF(ISBLANK(C8),IF(Fill_Example="Yes",F8,""),C8)</f>
        <v/>
      </c>
    </row>
    <row r="9" customFormat="false" ht="15" hidden="false" customHeight="true" outlineLevel="0" collapsed="false">
      <c r="B9" s="9" t="s">
        <v>3914</v>
      </c>
      <c r="C9" s="38"/>
      <c r="E9" s="3" t="s">
        <v>3915</v>
      </c>
      <c r="F9" s="39" t="s">
        <v>3</v>
      </c>
      <c r="G9" s="40" t="str">
        <f aca="false">IF(ISBLANK(C9),IF(Fill_Example="Yes",F9,""),C9)</f>
        <v/>
      </c>
    </row>
    <row r="10" customFormat="false" ht="15" hidden="false" customHeight="true" outlineLevel="0" collapsed="false">
      <c r="B10" s="9" t="s">
        <v>3916</v>
      </c>
      <c r="C10" s="38"/>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9" t="s">
        <v>3917</v>
      </c>
      <c r="G10" s="40" t="str">
        <f aca="false">IF(ISBLANK(C10),F10,C10)</f>
        <v>From 1 Oct 2026</v>
      </c>
    </row>
    <row r="12" customFormat="false" ht="15" hidden="false" customHeight="true" outlineLevel="0" collapsed="false">
      <c r="B12" s="15" t="s">
        <v>3918</v>
      </c>
      <c r="C12" s="16"/>
      <c r="D12" s="16"/>
      <c r="E12" s="16"/>
    </row>
    <row r="13" customFormat="false" ht="15" hidden="false" customHeight="true" outlineLevel="0" collapsed="false">
      <c r="B13" s="9" t="s">
        <v>3919</v>
      </c>
      <c r="C13" s="125" t="n">
        <f aca="false">IF(TE_PRSI_Basis="Calendar 2026 blend",PRSI_Rate_2026_Blend,PRSI_Rate)</f>
        <v>0.0435</v>
      </c>
      <c r="E13" s="126" t="s">
        <v>3920</v>
      </c>
    </row>
    <row r="14" customFormat="false" ht="15" hidden="false" customHeight="true" outlineLevel="0" collapsed="false">
      <c r="B14" s="9" t="s">
        <v>3921</v>
      </c>
      <c r="C14" s="127" t="str">
        <f aca="false">IF(TE_Need&lt;&gt;"",TE_Need,IF(TE_Status="Married two earners",TE_Gross_2,0))</f>
        <v>Choose your tax status to see this</v>
      </c>
      <c r="E14" s="126" t="s">
        <v>3922</v>
      </c>
    </row>
    <row r="15" customFormat="false" ht="30" hidden="false" customHeight="true" outlineLevel="0" collapsed="false">
      <c r="B15" s="9" t="s">
        <v>3923</v>
      </c>
      <c r="C15" s="127" t="str">
        <f aca="false">IF(TE_Need&lt;&gt;"",TE_Need,IF(TE_Status="Single",Band_Single,IF(TE_Status="Single parent",Band_Single_Parent,IF(TE_Status="Married one earner",Band_Married,Band_Married+MIN(MIN(TE_Gross_1,TE_Gross_2),Band_Second_Earner_Max)))))</f>
        <v>Choose your tax status to see this</v>
      </c>
      <c r="E15" s="126" t="s">
        <v>3924</v>
      </c>
    </row>
    <row r="16" customFormat="false" ht="15" hidden="false" customHeight="true" outlineLevel="0" collapsed="false">
      <c r="B16" s="9" t="s">
        <v>3925</v>
      </c>
      <c r="C16" s="127" t="str">
        <f aca="false">IF(TE_Need&lt;&gt;"",TE_Need,TE_Gross_1+TE_Earner_2)</f>
        <v>Choose your tax status to see this</v>
      </c>
      <c r="E16" s="126" t="s">
        <v>3926</v>
      </c>
    </row>
    <row r="17" customFormat="false" ht="15" hidden="false" customHeight="true" outlineLevel="0" collapsed="false">
      <c r="B17" s="9" t="s">
        <v>3927</v>
      </c>
      <c r="C17" s="128" t="str">
        <f aca="false">IF(TE_Need&lt;&gt;"",TE_Need,Rate_Standard*MIN(TE_Taxable,TE_Band)+Rate_Higher*MAX(0,TE_Taxable-TE_Band))</f>
        <v>Choose your tax status to see this</v>
      </c>
      <c r="E17" s="126" t="s">
        <v>3928</v>
      </c>
    </row>
    <row r="18" customFormat="false" ht="30" hidden="false" customHeight="true" outlineLevel="0" collapsed="false">
      <c r="B18" s="9" t="s">
        <v>3929</v>
      </c>
      <c r="C18" s="128"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6" t="s">
        <v>3930</v>
      </c>
    </row>
    <row r="19" customFormat="false" ht="15" hidden="false" customHeight="true" outlineLevel="0" collapsed="false">
      <c r="B19" s="12" t="s">
        <v>3931</v>
      </c>
      <c r="C19" s="129" t="str">
        <f aca="false">IF(TE_Need&lt;&gt;"",TE_Need,MAX(0,TE_Tax_Before_Credits-TE_Credits))</f>
        <v>Choose your tax status to see this</v>
      </c>
      <c r="E19" s="126" t="s">
        <v>3932</v>
      </c>
    </row>
    <row r="20" customFormat="false" ht="30" hidden="false" customHeight="true" outlineLevel="0" collapsed="false">
      <c r="B20" s="12" t="s">
        <v>3933</v>
      </c>
      <c r="C20" s="129"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6" t="s">
        <v>3934</v>
      </c>
    </row>
    <row r="21" customFormat="false" ht="30" hidden="false" customHeight="true" outlineLevel="0" collapsed="false">
      <c r="B21" s="12" t="s">
        <v>3935</v>
      </c>
      <c r="C21" s="129"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6" t="s">
        <v>3936</v>
      </c>
    </row>
    <row r="22" customFormat="false" ht="15" hidden="false" customHeight="true" outlineLevel="0" collapsed="false">
      <c r="B22" s="12" t="s">
        <v>3937</v>
      </c>
      <c r="C22" s="129" t="str">
        <f aca="false">IF(TE_Need&lt;&gt;"",TE_Need,TE_Taxable-TE_Income_Tax-TE_USC-TE_PRSI)</f>
        <v>Choose your tax status to see this</v>
      </c>
      <c r="E22" s="126" t="s">
        <v>3938</v>
      </c>
    </row>
    <row r="23" customFormat="false" ht="15" hidden="false" customHeight="true" outlineLevel="0" collapsed="false">
      <c r="B23" s="12" t="s">
        <v>3939</v>
      </c>
      <c r="C23" s="129" t="str">
        <f aca="false">IF(TE_Need&lt;&gt;"",TE_Need,TE_Take_Home/12)</f>
        <v>Choose your tax status to see this</v>
      </c>
      <c r="E23" s="126" t="s">
        <v>3940</v>
      </c>
    </row>
    <row r="24" customFormat="false" ht="15" hidden="false" customHeight="true" outlineLevel="0" collapsed="false">
      <c r="B24" s="12" t="s">
        <v>3941</v>
      </c>
      <c r="C24" s="130" t="str">
        <f aca="false">IF(TE_Need&lt;&gt;"",TE_Need,IF(TE_Taxable&gt;TE_Band,Rate_Higher,Rate_Standard))</f>
        <v>Choose your tax status to see this</v>
      </c>
      <c r="E24" s="126" t="s">
        <v>3942</v>
      </c>
    </row>
    <row r="25" customFormat="false" ht="15" hidden="false" customHeight="true" outlineLevel="0" collapsed="false">
      <c r="B25" s="59" t="s">
        <v>3943</v>
      </c>
      <c r="C25" s="59"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301</v>
      </c>
      <c r="C27" s="16"/>
      <c r="D27" s="16"/>
      <c r="E27" s="16"/>
    </row>
    <row r="28" customFormat="false" ht="15" hidden="false" customHeight="true" outlineLevel="0" collapsed="false">
      <c r="B28" s="131" t="s">
        <v>3944</v>
      </c>
      <c r="C28" s="131"/>
      <c r="D28" s="131"/>
      <c r="E28" s="131"/>
    </row>
    <row r="29" customFormat="false" ht="15" hidden="false" customHeight="true" outlineLevel="0" collapsed="false">
      <c r="B29" s="131" t="s">
        <v>3945</v>
      </c>
      <c r="C29" s="131"/>
      <c r="D29" s="131"/>
      <c r="E29" s="131"/>
    </row>
    <row r="30" customFormat="false" ht="15" hidden="false" customHeight="true" outlineLevel="0" collapsed="false">
      <c r="B30" s="131" t="s">
        <v>3946</v>
      </c>
      <c r="C30" s="131"/>
      <c r="D30" s="131"/>
      <c r="E30" s="131"/>
    </row>
    <row r="31" customFormat="false" ht="15" hidden="false" customHeight="true" outlineLevel="0" collapsed="false">
      <c r="B31" s="131" t="s">
        <v>3947</v>
      </c>
      <c r="C31" s="131"/>
      <c r="D31" s="131"/>
      <c r="E31" s="131"/>
    </row>
    <row r="33" customFormat="false" ht="15" hidden="false" customHeight="true" outlineLevel="0" collapsed="false">
      <c r="B33" s="15" t="s">
        <v>3948</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32" t="s">
        <v>3949</v>
      </c>
      <c r="C34" s="132" t="s">
        <v>3950</v>
      </c>
      <c r="D34" s="132" t="s">
        <v>100</v>
      </c>
      <c r="E34" s="132" t="s">
        <v>3951</v>
      </c>
      <c r="F34" s="132" t="s">
        <v>3931</v>
      </c>
      <c r="G34" s="132" t="s">
        <v>3952</v>
      </c>
      <c r="H34" s="132" t="str">
        <f aca="false">"PRSI "&amp;TEXT(PRSI_Rate,"0.00%")</f>
        <v>PRSI 4.35%</v>
      </c>
      <c r="I34" s="132" t="s">
        <v>3953</v>
      </c>
      <c r="J34" s="132" t="str">
        <f aca="false">"Take-home "&amp;TEXT(PRSI_Rate,"0.00%")</f>
        <v>Take-home 4.35%</v>
      </c>
      <c r="K34" s="132" t="s">
        <v>3954</v>
      </c>
      <c r="L34" s="132" t="s">
        <v>3955</v>
      </c>
      <c r="M34" s="132" t="s">
        <v>3956</v>
      </c>
      <c r="N34" s="132" t="str">
        <f aca="false">"Expected take-home "&amp;TEXT(PRSI_Rate,"0.00%")</f>
        <v>Expected take-home 4.35%</v>
      </c>
      <c r="O34" s="132" t="s">
        <v>3957</v>
      </c>
      <c r="P34" s="132" t="s">
        <v>3958</v>
      </c>
      <c r="Q34" s="132" t="s">
        <v>269</v>
      </c>
      <c r="R34" s="132"/>
    </row>
    <row r="35" customFormat="false" ht="15" hidden="false" customHeight="true" outlineLevel="0" collapsed="false">
      <c r="B35" s="14" t="s">
        <v>3959</v>
      </c>
      <c r="C35" s="87" t="n">
        <v>25000</v>
      </c>
      <c r="D35" s="14" t="s">
        <v>3907</v>
      </c>
      <c r="E35" s="14" t="s">
        <v>3960</v>
      </c>
      <c r="F35" s="133"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3" t="n">
        <f aca="false">IF(C35&lt;=USC_Exempt,0,USC_Rate_1*MIN(C35,USC_Band_1)+USC_Rate_2*MAX(0,MIN(C35,USC_Band_2)-USC_Band_1)+USC_Rate_3*MAX(0,MIN(C35,USC_Band_3)-USC_Band_2)+USC_Rate_4*MAX(0,C35-USC_Band_3))</f>
        <v>319.82</v>
      </c>
      <c r="H35" s="133" t="n">
        <f aca="false">IF(C35/Weeks_Per_Year&lt;=PRSI_Free_Week,0,MAX(0,C35/Weeks_Per_Year*PRSI_Rate-IF(C35/Weeks_Per_Year&lt;=PRSI_Credit_Top,MAX(0,PRSI_Credit_Max-(C35/Weeks_Per_Year-(PRSI_Free_Week+0.01))/PRSI_Credit_Taper),0))*Weeks_Per_Year)</f>
        <v>1087.5</v>
      </c>
      <c r="I35" s="133" t="n">
        <f aca="false">IF(C35/Weeks_Per_Year&lt;=PRSI_Free_Week,0,MAX(0,C35/Weeks_Per_Year*PRSI_Rate_2026_Blend-IF(C35/Weeks_Per_Year&lt;=PRSI_Credit_Top,MAX(0,PRSI_Credit_Max-(C35/Weeks_Per_Year-(PRSI_Free_Week+0.01))/PRSI_Credit_Taper),0))*Weeks_Per_Year)</f>
        <v>1059.375</v>
      </c>
      <c r="J35" s="133" t="n">
        <f aca="false">C35-F35-G35-H35</f>
        <v>22592.68</v>
      </c>
      <c r="K35" s="133" t="n">
        <f aca="false">C35-F35-G35-I35</f>
        <v>22620.805</v>
      </c>
      <c r="L35" s="133" t="n">
        <v>1000</v>
      </c>
      <c r="M35" s="133" t="n">
        <v>319.82</v>
      </c>
      <c r="N35" s="133" t="n">
        <v>22592.68</v>
      </c>
      <c r="O35" s="133" t="n">
        <v>22620.81</v>
      </c>
      <c r="P35" s="133" t="n">
        <f aca="false">MAX(ABS(ROUND(F35,2)-L35),ABS(ROUND(G35,2)-M35),ABS(ROUND(J35,2)-N35),ABS(ROUND(K35,2)-O35))</f>
        <v>0</v>
      </c>
      <c r="Q35" s="20" t="str">
        <f aca="false">IF(P35&lt;0.005,"PASS","FAIL")</f>
        <v>PASS</v>
      </c>
    </row>
    <row r="36" customFormat="false" ht="15" hidden="false" customHeight="true" outlineLevel="0" collapsed="false">
      <c r="B36" s="14" t="s">
        <v>3961</v>
      </c>
      <c r="C36" s="87" t="n">
        <v>25000</v>
      </c>
      <c r="D36" s="14" t="s">
        <v>3962</v>
      </c>
      <c r="E36" s="14" t="s">
        <v>3960</v>
      </c>
      <c r="F36" s="133"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3" t="n">
        <f aca="false">IF(C36&lt;=USC_Exempt,0,USC_Rate_1*MIN(C36,USC_Band_1)+USC_Rate_2*MAX(0,MIN(C36,USC_Band_2)-USC_Band_1)+USC_Rate_3*MAX(0,MIN(C36,USC_Band_3)-USC_Band_2)+USC_Rate_4*MAX(0,C36-USC_Band_3))</f>
        <v>319.82</v>
      </c>
      <c r="H36" s="133" t="n">
        <f aca="false">IF(C36/Weeks_Per_Year&lt;=PRSI_Free_Week,0,MAX(0,C36/Weeks_Per_Year*PRSI_Rate-IF(C36/Weeks_Per_Year&lt;=PRSI_Credit_Top,MAX(0,PRSI_Credit_Max-(C36/Weeks_Per_Year-(PRSI_Free_Week+0.01))/PRSI_Credit_Taper),0))*Weeks_Per_Year)</f>
        <v>1087.5</v>
      </c>
      <c r="I36" s="133" t="n">
        <f aca="false">IF(C36/Weeks_Per_Year&lt;=PRSI_Free_Week,0,MAX(0,C36/Weeks_Per_Year*PRSI_Rate_2026_Blend-IF(C36/Weeks_Per_Year&lt;=PRSI_Credit_Top,MAX(0,PRSI_Credit_Max-(C36/Weeks_Per_Year-(PRSI_Free_Week+0.01))/PRSI_Credit_Taper),0))*Weeks_Per_Year)</f>
        <v>1059.375</v>
      </c>
      <c r="J36" s="133" t="n">
        <f aca="false">C36-F36-G36-H36</f>
        <v>23592.68</v>
      </c>
      <c r="K36" s="133" t="n">
        <f aca="false">C36-F36-G36-I36</f>
        <v>23620.805</v>
      </c>
      <c r="L36" s="133" t="n">
        <v>0</v>
      </c>
      <c r="M36" s="133" t="n">
        <v>319.82</v>
      </c>
      <c r="N36" s="133" t="n">
        <v>23592.68</v>
      </c>
      <c r="O36" s="133" t="n">
        <v>23620.81</v>
      </c>
      <c r="P36" s="133" t="n">
        <f aca="false">MAX(ABS(ROUND(F36,2)-L36),ABS(ROUND(G36,2)-M36),ABS(ROUND(J36,2)-N36),ABS(ROUND(K36,2)-O36))</f>
        <v>0</v>
      </c>
      <c r="Q36" s="20" t="str">
        <f aca="false">IF(P36&lt;0.005,"PASS","FAIL")</f>
        <v>PASS</v>
      </c>
    </row>
    <row r="37" customFormat="false" ht="15" hidden="false" customHeight="true" outlineLevel="0" collapsed="false">
      <c r="B37" s="14" t="s">
        <v>3963</v>
      </c>
      <c r="C37" s="87" t="n">
        <v>45000</v>
      </c>
      <c r="D37" s="14" t="s">
        <v>3907</v>
      </c>
      <c r="E37" s="14" t="s">
        <v>3960</v>
      </c>
      <c r="F37" s="133"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3" t="n">
        <f aca="false">IF(C37&lt;=USC_Exempt,0,USC_Rate_1*MIN(C37,USC_Band_1)+USC_Rate_2*MAX(0,MIN(C37,USC_Band_2)-USC_Band_1)+USC_Rate_3*MAX(0,MIN(C37,USC_Band_3)-USC_Band_2)+USC_Rate_4*MAX(0,C37-USC_Band_3))</f>
        <v>882.82</v>
      </c>
      <c r="H37" s="133" t="n">
        <f aca="false">IF(C37/Weeks_Per_Year&lt;=PRSI_Free_Week,0,MAX(0,C37/Weeks_Per_Year*PRSI_Rate-IF(C37/Weeks_Per_Year&lt;=PRSI_Credit_Top,MAX(0,PRSI_Credit_Max-(C37/Weeks_Per_Year-(PRSI_Free_Week+0.01))/PRSI_Credit_Taper),0))*Weeks_Per_Year)</f>
        <v>1957.5</v>
      </c>
      <c r="I37" s="133" t="n">
        <f aca="false">IF(C37/Weeks_Per_Year&lt;=PRSI_Free_Week,0,MAX(0,C37/Weeks_Per_Year*PRSI_Rate_2026_Blend-IF(C37/Weeks_Per_Year&lt;=PRSI_Credit_Top,MAX(0,PRSI_Credit_Max-(C37/Weeks_Per_Year-(PRSI_Free_Week+0.01))/PRSI_Credit_Taper),0))*Weeks_Per_Year)</f>
        <v>1906.875</v>
      </c>
      <c r="J37" s="133" t="n">
        <f aca="false">C37-F37-G37-H37</f>
        <v>36959.68</v>
      </c>
      <c r="K37" s="133" t="n">
        <f aca="false">C37-F37-G37-I37</f>
        <v>37010.305</v>
      </c>
      <c r="L37" s="133" t="n">
        <v>5200</v>
      </c>
      <c r="M37" s="133" t="n">
        <v>882.82</v>
      </c>
      <c r="N37" s="133" t="n">
        <v>36959.68</v>
      </c>
      <c r="O37" s="133" t="n">
        <v>37010.31</v>
      </c>
      <c r="P37" s="133" t="n">
        <f aca="false">MAX(ABS(ROUND(F37,2)-L37),ABS(ROUND(G37,2)-M37),ABS(ROUND(J37,2)-N37),ABS(ROUND(K37,2)-O37))</f>
        <v>0</v>
      </c>
      <c r="Q37" s="20" t="str">
        <f aca="false">IF(P37&lt;0.005,"PASS","FAIL")</f>
        <v>PASS</v>
      </c>
    </row>
    <row r="38" customFormat="false" ht="15" hidden="false" customHeight="true" outlineLevel="0" collapsed="false">
      <c r="B38" s="14" t="s">
        <v>3964</v>
      </c>
      <c r="C38" s="87" t="n">
        <v>45000</v>
      </c>
      <c r="D38" s="14" t="s">
        <v>3962</v>
      </c>
      <c r="E38" s="14" t="s">
        <v>3960</v>
      </c>
      <c r="F38" s="133"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3" t="n">
        <f aca="false">IF(C38&lt;=USC_Exempt,0,USC_Rate_1*MIN(C38,USC_Band_1)+USC_Rate_2*MAX(0,MIN(C38,USC_Band_2)-USC_Band_1)+USC_Rate_3*MAX(0,MIN(C38,USC_Band_3)-USC_Band_2)+USC_Rate_4*MAX(0,C38-USC_Band_3))</f>
        <v>882.82</v>
      </c>
      <c r="H38" s="133" t="n">
        <f aca="false">IF(C38/Weeks_Per_Year&lt;=PRSI_Free_Week,0,MAX(0,C38/Weeks_Per_Year*PRSI_Rate-IF(C38/Weeks_Per_Year&lt;=PRSI_Credit_Top,MAX(0,PRSI_Credit_Max-(C38/Weeks_Per_Year-(PRSI_Free_Week+0.01))/PRSI_Credit_Taper),0))*Weeks_Per_Year)</f>
        <v>1957.5</v>
      </c>
      <c r="I38" s="133" t="n">
        <f aca="false">IF(C38/Weeks_Per_Year&lt;=PRSI_Free_Week,0,MAX(0,C38/Weeks_Per_Year*PRSI_Rate_2026_Blend-IF(C38/Weeks_Per_Year&lt;=PRSI_Credit_Top,MAX(0,PRSI_Credit_Max-(C38/Weeks_Per_Year-(PRSI_Free_Week+0.01))/PRSI_Credit_Taper),0))*Weeks_Per_Year)</f>
        <v>1906.875</v>
      </c>
      <c r="J38" s="133" t="n">
        <f aca="false">C38-F38-G38-H38</f>
        <v>39159.68</v>
      </c>
      <c r="K38" s="133" t="n">
        <f aca="false">C38-F38-G38-I38</f>
        <v>39210.305</v>
      </c>
      <c r="L38" s="133" t="n">
        <v>3000</v>
      </c>
      <c r="M38" s="133" t="n">
        <v>882.82</v>
      </c>
      <c r="N38" s="133" t="n">
        <v>39159.68</v>
      </c>
      <c r="O38" s="133" t="n">
        <v>39210.31</v>
      </c>
      <c r="P38" s="133" t="n">
        <f aca="false">MAX(ABS(ROUND(F38,2)-L38),ABS(ROUND(G38,2)-M38),ABS(ROUND(J38,2)-N38),ABS(ROUND(K38,2)-O38))</f>
        <v>0</v>
      </c>
      <c r="Q38" s="20" t="str">
        <f aca="false">IF(P38&lt;0.005,"PASS","FAIL")</f>
        <v>PASS</v>
      </c>
    </row>
    <row r="39" customFormat="false" ht="15" hidden="false" customHeight="true" outlineLevel="0" collapsed="false">
      <c r="B39" s="14" t="s">
        <v>3965</v>
      </c>
      <c r="C39" s="87" t="n">
        <v>80000</v>
      </c>
      <c r="D39" s="14" t="s">
        <v>3907</v>
      </c>
      <c r="E39" s="14" t="s">
        <v>3960</v>
      </c>
      <c r="F39" s="133"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3" t="n">
        <f aca="false">IF(C39&lt;=USC_Exempt,0,USC_Rate_1*MIN(C39,USC_Band_1)+USC_Rate_2*MAX(0,MIN(C39,USC_Band_2)-USC_Band_1)+USC_Rate_3*MAX(0,MIN(C39,USC_Band_3)-USC_Band_2)+USC_Rate_4*MAX(0,C39-USC_Band_3))</f>
        <v>2430.62</v>
      </c>
      <c r="H39" s="133" t="n">
        <f aca="false">IF(C39/Weeks_Per_Year&lt;=PRSI_Free_Week,0,MAX(0,C39/Weeks_Per_Year*PRSI_Rate-IF(C39/Weeks_Per_Year&lt;=PRSI_Credit_Top,MAX(0,PRSI_Credit_Max-(C39/Weeks_Per_Year-(PRSI_Free_Week+0.01))/PRSI_Credit_Taper),0))*Weeks_Per_Year)</f>
        <v>3480</v>
      </c>
      <c r="I39" s="133" t="n">
        <f aca="false">IF(C39/Weeks_Per_Year&lt;=PRSI_Free_Week,0,MAX(0,C39/Weeks_Per_Year*PRSI_Rate_2026_Blend-IF(C39/Weeks_Per_Year&lt;=PRSI_Credit_Top,MAX(0,PRSI_Credit_Max-(C39/Weeks_Per_Year-(PRSI_Free_Week+0.01))/PRSI_Credit_Taper),0))*Weeks_Per_Year)</f>
        <v>3390</v>
      </c>
      <c r="J39" s="133" t="n">
        <f aca="false">C39-F39-G39-H39</f>
        <v>54889.38</v>
      </c>
      <c r="K39" s="133" t="n">
        <f aca="false">C39-F39-G39-I39</f>
        <v>54979.38</v>
      </c>
      <c r="L39" s="133" t="n">
        <v>19200</v>
      </c>
      <c r="M39" s="133" t="n">
        <v>2430.62</v>
      </c>
      <c r="N39" s="133" t="n">
        <v>54889.38</v>
      </c>
      <c r="O39" s="133" t="n">
        <v>54979.38</v>
      </c>
      <c r="P39" s="133" t="n">
        <f aca="false">MAX(ABS(ROUND(F39,2)-L39),ABS(ROUND(G39,2)-M39),ABS(ROUND(J39,2)-N39),ABS(ROUND(K39,2)-O39))</f>
        <v>0</v>
      </c>
      <c r="Q39" s="20" t="str">
        <f aca="false">IF(P39&lt;0.005,"PASS","FAIL")</f>
        <v>PASS</v>
      </c>
    </row>
    <row r="40" customFormat="false" ht="15" hidden="false" customHeight="true" outlineLevel="0" collapsed="false">
      <c r="B40" s="14" t="s">
        <v>3966</v>
      </c>
      <c r="C40" s="87" t="n">
        <v>80000</v>
      </c>
      <c r="D40" s="14" t="s">
        <v>3962</v>
      </c>
      <c r="E40" s="14" t="s">
        <v>3960</v>
      </c>
      <c r="F40" s="133"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3" t="n">
        <f aca="false">IF(C40&lt;=USC_Exempt,0,USC_Rate_1*MIN(C40,USC_Band_1)+USC_Rate_2*MAX(0,MIN(C40,USC_Band_2)-USC_Band_1)+USC_Rate_3*MAX(0,MIN(C40,USC_Band_3)-USC_Band_2)+USC_Rate_4*MAX(0,C40-USC_Band_3))</f>
        <v>2430.62</v>
      </c>
      <c r="H40" s="133" t="n">
        <f aca="false">IF(C40/Weeks_Per_Year&lt;=PRSI_Free_Week,0,MAX(0,C40/Weeks_Per_Year*PRSI_Rate-IF(C40/Weeks_Per_Year&lt;=PRSI_Credit_Top,MAX(0,PRSI_Credit_Max-(C40/Weeks_Per_Year-(PRSI_Free_Week+0.01))/PRSI_Credit_Taper),0))*Weeks_Per_Year)</f>
        <v>3480</v>
      </c>
      <c r="I40" s="133" t="n">
        <f aca="false">IF(C40/Weeks_Per_Year&lt;=PRSI_Free_Week,0,MAX(0,C40/Weeks_Per_Year*PRSI_Rate_2026_Blend-IF(C40/Weeks_Per_Year&lt;=PRSI_Credit_Top,MAX(0,PRSI_Credit_Max-(C40/Weeks_Per_Year-(PRSI_Free_Week+0.01))/PRSI_Credit_Taper),0))*Weeks_Per_Year)</f>
        <v>3390</v>
      </c>
      <c r="J40" s="133" t="n">
        <f aca="false">C40-F40-G40-H40</f>
        <v>58689.38</v>
      </c>
      <c r="K40" s="133" t="n">
        <f aca="false">C40-F40-G40-I40</f>
        <v>58779.38</v>
      </c>
      <c r="L40" s="133" t="n">
        <v>15400</v>
      </c>
      <c r="M40" s="133" t="n">
        <v>2430.62</v>
      </c>
      <c r="N40" s="133" t="n">
        <v>58689.38</v>
      </c>
      <c r="O40" s="133" t="n">
        <v>58779.38</v>
      </c>
      <c r="P40" s="133" t="n">
        <f aca="false">MAX(ABS(ROUND(F40,2)-L40),ABS(ROUND(G40,2)-M40),ABS(ROUND(J40,2)-N40),ABS(ROUND(K40,2)-O40))</f>
        <v>0</v>
      </c>
      <c r="Q40" s="20" t="str">
        <f aca="false">IF(P40&lt;0.005,"PASS","FAIL")</f>
        <v>PASS</v>
      </c>
    </row>
    <row r="41" customFormat="false" ht="15" hidden="false" customHeight="true" outlineLevel="0" collapsed="false">
      <c r="B41" s="14" t="s">
        <v>3967</v>
      </c>
      <c r="C41" s="87" t="n">
        <v>150000</v>
      </c>
      <c r="D41" s="14" t="s">
        <v>3907</v>
      </c>
      <c r="E41" s="14" t="s">
        <v>3960</v>
      </c>
      <c r="F41" s="133"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3" t="n">
        <f aca="false">IF(C41&lt;=USC_Exempt,0,USC_Rate_1*MIN(C41,USC_Band_1)+USC_Rate_2*MAX(0,MIN(C41,USC_Band_2)-USC_Band_1)+USC_Rate_3*MAX(0,MIN(C41,USC_Band_3)-USC_Band_2)+USC_Rate_4*MAX(0,C41-USC_Band_3))</f>
        <v>8030.62</v>
      </c>
      <c r="H41" s="133" t="n">
        <f aca="false">IF(C41/Weeks_Per_Year&lt;=PRSI_Free_Week,0,MAX(0,C41/Weeks_Per_Year*PRSI_Rate-IF(C41/Weeks_Per_Year&lt;=PRSI_Credit_Top,MAX(0,PRSI_Credit_Max-(C41/Weeks_Per_Year-(PRSI_Free_Week+0.01))/PRSI_Credit_Taper),0))*Weeks_Per_Year)</f>
        <v>6525</v>
      </c>
      <c r="I41" s="133" t="n">
        <f aca="false">IF(C41/Weeks_Per_Year&lt;=PRSI_Free_Week,0,MAX(0,C41/Weeks_Per_Year*PRSI_Rate_2026_Blend-IF(C41/Weeks_Per_Year&lt;=PRSI_Credit_Top,MAX(0,PRSI_Credit_Max-(C41/Weeks_Per_Year-(PRSI_Free_Week+0.01))/PRSI_Credit_Taper),0))*Weeks_Per_Year)</f>
        <v>6356.25</v>
      </c>
      <c r="J41" s="133" t="n">
        <f aca="false">C41-F41-G41-H41</f>
        <v>88244.38</v>
      </c>
      <c r="K41" s="133" t="n">
        <f aca="false">C41-F41-G41-I41</f>
        <v>88413.13</v>
      </c>
      <c r="L41" s="133" t="n">
        <v>47200</v>
      </c>
      <c r="M41" s="133" t="n">
        <v>8030.62</v>
      </c>
      <c r="N41" s="133" t="n">
        <v>88244.38</v>
      </c>
      <c r="O41" s="133" t="n">
        <v>88413.13</v>
      </c>
      <c r="P41" s="133" t="n">
        <f aca="false">MAX(ABS(ROUND(F41,2)-L41),ABS(ROUND(G41,2)-M41),ABS(ROUND(J41,2)-N41),ABS(ROUND(K41,2)-O41))</f>
        <v>0</v>
      </c>
      <c r="Q41" s="20" t="str">
        <f aca="false">IF(P41&lt;0.005,"PASS","FAIL")</f>
        <v>PASS</v>
      </c>
    </row>
    <row r="42" customFormat="false" ht="15" hidden="false" customHeight="true" outlineLevel="0" collapsed="false">
      <c r="B42" s="14" t="s">
        <v>3968</v>
      </c>
      <c r="C42" s="87" t="n">
        <v>150000</v>
      </c>
      <c r="D42" s="14" t="s">
        <v>3962</v>
      </c>
      <c r="E42" s="14" t="s">
        <v>3960</v>
      </c>
      <c r="F42" s="133"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3" t="n">
        <f aca="false">IF(C42&lt;=USC_Exempt,0,USC_Rate_1*MIN(C42,USC_Band_1)+USC_Rate_2*MAX(0,MIN(C42,USC_Band_2)-USC_Band_1)+USC_Rate_3*MAX(0,MIN(C42,USC_Band_3)-USC_Band_2)+USC_Rate_4*MAX(0,C42-USC_Band_3))</f>
        <v>8030.62</v>
      </c>
      <c r="H42" s="133" t="n">
        <f aca="false">IF(C42/Weeks_Per_Year&lt;=PRSI_Free_Week,0,MAX(0,C42/Weeks_Per_Year*PRSI_Rate-IF(C42/Weeks_Per_Year&lt;=PRSI_Credit_Top,MAX(0,PRSI_Credit_Max-(C42/Weeks_Per_Year-(PRSI_Free_Week+0.01))/PRSI_Credit_Taper),0))*Weeks_Per_Year)</f>
        <v>6525</v>
      </c>
      <c r="I42" s="133" t="n">
        <f aca="false">IF(C42/Weeks_Per_Year&lt;=PRSI_Free_Week,0,MAX(0,C42/Weeks_Per_Year*PRSI_Rate_2026_Blend-IF(C42/Weeks_Per_Year&lt;=PRSI_Credit_Top,MAX(0,PRSI_Credit_Max-(C42/Weeks_Per_Year-(PRSI_Free_Week+0.01))/PRSI_Credit_Taper),0))*Weeks_Per_Year)</f>
        <v>6356.25</v>
      </c>
      <c r="J42" s="133" t="n">
        <f aca="false">C42-F42-G42-H42</f>
        <v>92044.38</v>
      </c>
      <c r="K42" s="133" t="n">
        <f aca="false">C42-F42-G42-I42</f>
        <v>92213.13</v>
      </c>
      <c r="L42" s="133" t="n">
        <v>43400</v>
      </c>
      <c r="M42" s="133" t="n">
        <v>8030.62</v>
      </c>
      <c r="N42" s="133" t="n">
        <v>92044.38</v>
      </c>
      <c r="O42" s="133" t="n">
        <v>92213.13</v>
      </c>
      <c r="P42" s="133" t="n">
        <f aca="false">MAX(ABS(ROUND(F42,2)-L42),ABS(ROUND(G42,2)-M42),ABS(ROUND(J42,2)-N42),ABS(ROUND(K42,2)-O42))</f>
        <v>0</v>
      </c>
      <c r="Q42" s="20" t="str">
        <f aca="false">IF(P42&lt;0.005,"PASS","FAIL")</f>
        <v>PASS</v>
      </c>
    </row>
    <row r="43" customFormat="false" ht="15" hidden="false" customHeight="true" outlineLevel="0" collapsed="false">
      <c r="B43" s="14" t="s">
        <v>3969</v>
      </c>
      <c r="C43" s="87" t="n">
        <v>60000</v>
      </c>
      <c r="D43" s="14" t="s">
        <v>3970</v>
      </c>
      <c r="E43" s="14" t="s">
        <v>3971</v>
      </c>
      <c r="F43" s="133"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3" t="n">
        <v>11400</v>
      </c>
      <c r="M43" s="14"/>
      <c r="N43" s="14"/>
      <c r="O43" s="14"/>
      <c r="P43" s="133" t="n">
        <f aca="false">ABS(ROUND(F43,2)-L43)</f>
        <v>0</v>
      </c>
      <c r="Q43" s="20" t="str">
        <f aca="false">IF(P43&lt;0.005,"PASS","FAIL")</f>
        <v>PASS</v>
      </c>
      <c r="R43" s="87" t="n">
        <v>30000</v>
      </c>
    </row>
    <row r="44" customFormat="false" ht="15" hidden="false" customHeight="true" outlineLevel="0" collapsed="false">
      <c r="B44" s="14" t="s">
        <v>3972</v>
      </c>
      <c r="C44" s="87" t="n">
        <v>80000</v>
      </c>
      <c r="D44" s="14" t="s">
        <v>3970</v>
      </c>
      <c r="E44" s="14" t="s">
        <v>3973</v>
      </c>
      <c r="F44" s="133"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3" t="n">
        <v>26400</v>
      </c>
      <c r="M44" s="14"/>
      <c r="N44" s="14"/>
      <c r="O44" s="14"/>
      <c r="P44" s="133" t="n">
        <f aca="false">ABS(ROUND(F44,2)-L44)</f>
        <v>0</v>
      </c>
      <c r="Q44" s="20" t="str">
        <f aca="false">IF(P44&lt;0.005,"PASS","FAIL")</f>
        <v>PASS</v>
      </c>
      <c r="R44" s="87" t="n">
        <v>50000</v>
      </c>
    </row>
    <row r="45" customFormat="false" ht="15" hidden="false" customHeight="true" outlineLevel="0" collapsed="false">
      <c r="B45" s="14" t="s">
        <v>3974</v>
      </c>
      <c r="C45" s="87" t="n">
        <v>45000</v>
      </c>
      <c r="D45" s="14" t="s">
        <v>3970</v>
      </c>
      <c r="E45" s="14" t="s">
        <v>3975</v>
      </c>
      <c r="F45" s="133"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3" t="n">
        <v>10400</v>
      </c>
      <c r="M45" s="14"/>
      <c r="N45" s="14"/>
      <c r="O45" s="14"/>
      <c r="P45" s="133" t="n">
        <f aca="false">ABS(ROUND(F45,2)-L45)</f>
        <v>0</v>
      </c>
      <c r="Q45" s="20" t="str">
        <f aca="false">IF(P45&lt;0.005,"PASS","FAIL")</f>
        <v>PASS</v>
      </c>
      <c r="R45" s="87" t="n">
        <v>45000</v>
      </c>
    </row>
    <row r="46" customFormat="false" ht="15" hidden="false" customHeight="true" outlineLevel="0" collapsed="false">
      <c r="B46" s="12" t="s">
        <v>3976</v>
      </c>
      <c r="Q46" s="134"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7" t="s">
        <v>3977</v>
      </c>
    </row>
    <row r="3" customFormat="false" ht="15" hidden="false" customHeight="true" outlineLevel="0" collapsed="false">
      <c r="B3" s="8" t="s">
        <v>3978</v>
      </c>
      <c r="C3" s="8"/>
      <c r="D3" s="8"/>
      <c r="E3" s="8"/>
      <c r="F3" s="8"/>
    </row>
    <row r="4" customFormat="false" ht="15" hidden="false" customHeight="true" outlineLevel="0" collapsed="false">
      <c r="B4" s="8" t="s">
        <v>3979</v>
      </c>
      <c r="C4" s="8"/>
      <c r="D4" s="8"/>
      <c r="E4" s="8"/>
      <c r="F4" s="8"/>
    </row>
    <row r="5" customFormat="false" ht="15" hidden="false" customHeight="true" outlineLevel="0" collapsed="false">
      <c r="B5" s="8" t="s">
        <v>3980</v>
      </c>
      <c r="C5" s="8"/>
      <c r="D5" s="8"/>
      <c r="E5" s="8"/>
      <c r="F5" s="8"/>
    </row>
    <row r="6" customFormat="false" ht="15" hidden="false" customHeight="true" outlineLevel="0" collapsed="false">
      <c r="B6" s="8" t="s">
        <v>3981</v>
      </c>
      <c r="C6" s="8"/>
      <c r="D6" s="8"/>
      <c r="E6" s="8"/>
      <c r="F6" s="8"/>
    </row>
    <row r="7" customFormat="false" ht="15" hidden="false" customHeight="true" outlineLevel="0" collapsed="false">
      <c r="B7" s="8" t="s">
        <v>3982</v>
      </c>
      <c r="C7" s="8"/>
      <c r="D7" s="8"/>
      <c r="E7" s="8"/>
      <c r="F7" s="8"/>
    </row>
    <row r="8" customFormat="false" ht="15" hidden="false" customHeight="true" outlineLevel="0" collapsed="false">
      <c r="B8" s="8" t="s">
        <v>3983</v>
      </c>
      <c r="C8" s="8"/>
      <c r="D8" s="8"/>
      <c r="E8" s="8"/>
      <c r="F8" s="8"/>
    </row>
    <row r="10" customFormat="false" ht="23.25" hidden="false" customHeight="true" outlineLevel="0" collapsed="false">
      <c r="B10" s="135" t="s">
        <v>3984</v>
      </c>
      <c r="C10" s="135" t="s">
        <v>3985</v>
      </c>
      <c r="D10" s="135" t="s">
        <v>3986</v>
      </c>
      <c r="E10" s="135" t="s">
        <v>3987</v>
      </c>
      <c r="F10" s="135" t="s">
        <v>3988</v>
      </c>
      <c r="G10" s="135" t="s">
        <v>3989</v>
      </c>
    </row>
    <row r="11" customFormat="false" ht="36" hidden="false" customHeight="true" outlineLevel="0" collapsed="false">
      <c r="B11" s="136" t="s">
        <v>3990</v>
      </c>
      <c r="C11" s="137" t="s">
        <v>734</v>
      </c>
      <c r="D11" s="137" t="s">
        <v>3991</v>
      </c>
      <c r="E11" s="137" t="s">
        <v>3992</v>
      </c>
      <c r="F11" s="137" t="s">
        <v>3993</v>
      </c>
      <c r="G11" s="137" t="s">
        <v>3994</v>
      </c>
    </row>
    <row r="12" customFormat="false" ht="36" hidden="false" customHeight="true" outlineLevel="0" collapsed="false">
      <c r="B12" s="136"/>
      <c r="C12" s="137" t="s">
        <v>3995</v>
      </c>
      <c r="D12" s="137" t="s">
        <v>3996</v>
      </c>
      <c r="E12" s="137" t="s">
        <v>3997</v>
      </c>
      <c r="F12" s="137" t="s">
        <v>3998</v>
      </c>
      <c r="G12" s="137" t="s">
        <v>3994</v>
      </c>
    </row>
    <row r="13" customFormat="false" ht="24" hidden="false" customHeight="true" outlineLevel="0" collapsed="false">
      <c r="B13" s="136"/>
      <c r="C13" s="137" t="s">
        <v>3999</v>
      </c>
      <c r="D13" s="137" t="s">
        <v>4000</v>
      </c>
      <c r="E13" s="137" t="s">
        <v>4001</v>
      </c>
      <c r="F13" s="137" t="s">
        <v>4002</v>
      </c>
      <c r="G13" s="137" t="s">
        <v>3994</v>
      </c>
    </row>
    <row r="14" customFormat="false" ht="24" hidden="false" customHeight="true" outlineLevel="0" collapsed="false">
      <c r="B14" s="136"/>
      <c r="C14" s="137" t="s">
        <v>738</v>
      </c>
      <c r="D14" s="137" t="s">
        <v>4003</v>
      </c>
      <c r="E14" s="137" t="s">
        <v>4004</v>
      </c>
      <c r="F14" s="137" t="s">
        <v>4005</v>
      </c>
      <c r="G14" s="137" t="s">
        <v>3994</v>
      </c>
    </row>
    <row r="15" customFormat="false" ht="60" hidden="false" customHeight="true" outlineLevel="0" collapsed="false">
      <c r="B15" s="136"/>
      <c r="C15" s="137" t="s">
        <v>777</v>
      </c>
      <c r="D15" s="137" t="s">
        <v>4006</v>
      </c>
      <c r="E15" s="137" t="s">
        <v>4001</v>
      </c>
      <c r="F15" s="137" t="s">
        <v>4007</v>
      </c>
      <c r="G15" s="137" t="s">
        <v>3994</v>
      </c>
    </row>
    <row r="16" customFormat="false" ht="36" hidden="false" customHeight="true" outlineLevel="0" collapsed="false">
      <c r="B16" s="136"/>
      <c r="C16" s="137" t="s">
        <v>4008</v>
      </c>
      <c r="D16" s="137" t="s">
        <v>4009</v>
      </c>
      <c r="E16" s="137" t="s">
        <v>4010</v>
      </c>
      <c r="F16" s="137" t="s">
        <v>4011</v>
      </c>
      <c r="G16" s="137" t="s">
        <v>3994</v>
      </c>
    </row>
    <row r="17" customFormat="false" ht="24" hidden="false" customHeight="true" outlineLevel="0" collapsed="false">
      <c r="B17" s="136"/>
      <c r="C17" s="137" t="s">
        <v>4012</v>
      </c>
      <c r="D17" s="137" t="s">
        <v>4013</v>
      </c>
      <c r="E17" s="137" t="s">
        <v>4014</v>
      </c>
      <c r="F17" s="137" t="s">
        <v>4015</v>
      </c>
      <c r="G17" s="137" t="s">
        <v>3994</v>
      </c>
    </row>
    <row r="18" customFormat="false" ht="24" hidden="false" customHeight="true" outlineLevel="0" collapsed="false">
      <c r="B18" s="136"/>
      <c r="C18" s="137" t="s">
        <v>4016</v>
      </c>
      <c r="D18" s="137" t="s">
        <v>4017</v>
      </c>
      <c r="E18" s="137" t="s">
        <v>4018</v>
      </c>
      <c r="F18" s="137" t="s">
        <v>4019</v>
      </c>
      <c r="G18" s="137" t="s">
        <v>3994</v>
      </c>
    </row>
    <row r="19" customFormat="false" ht="24" hidden="false" customHeight="true" outlineLevel="0" collapsed="false">
      <c r="B19" s="136"/>
      <c r="C19" s="137" t="s">
        <v>342</v>
      </c>
      <c r="D19" s="137" t="s">
        <v>4020</v>
      </c>
      <c r="E19" s="137" t="s">
        <v>4021</v>
      </c>
      <c r="F19" s="137" t="s">
        <v>4022</v>
      </c>
      <c r="G19" s="137" t="s">
        <v>3994</v>
      </c>
    </row>
    <row r="20" customFormat="false" ht="36" hidden="false" customHeight="true" outlineLevel="0" collapsed="false">
      <c r="B20" s="136" t="s">
        <v>4023</v>
      </c>
      <c r="C20" s="137" t="s">
        <v>4024</v>
      </c>
      <c r="D20" s="137" t="s">
        <v>4025</v>
      </c>
      <c r="E20" s="137" t="s">
        <v>4026</v>
      </c>
      <c r="F20" s="137" t="s">
        <v>4026</v>
      </c>
      <c r="G20" s="137" t="s">
        <v>3994</v>
      </c>
    </row>
    <row r="21" customFormat="false" ht="24" hidden="false" customHeight="true" outlineLevel="0" collapsed="false">
      <c r="B21" s="136" t="s">
        <v>4027</v>
      </c>
      <c r="C21" s="137" t="s">
        <v>4028</v>
      </c>
      <c r="D21" s="137" t="s">
        <v>4029</v>
      </c>
      <c r="E21" s="137" t="s">
        <v>4030</v>
      </c>
      <c r="F21" s="137" t="s">
        <v>4031</v>
      </c>
      <c r="G21" s="137" t="s">
        <v>3994</v>
      </c>
    </row>
    <row r="22" customFormat="false" ht="24" hidden="false" customHeight="true" outlineLevel="0" collapsed="false">
      <c r="B22" s="136"/>
      <c r="C22" s="137" t="s">
        <v>738</v>
      </c>
      <c r="D22" s="137" t="s">
        <v>4026</v>
      </c>
      <c r="E22" s="137" t="s">
        <v>4032</v>
      </c>
      <c r="F22" s="137" t="s">
        <v>4033</v>
      </c>
      <c r="G22" s="137" t="s">
        <v>3994</v>
      </c>
    </row>
    <row r="23" customFormat="false" ht="36" hidden="false" customHeight="true" outlineLevel="0" collapsed="false">
      <c r="B23" s="136" t="s">
        <v>4034</v>
      </c>
      <c r="C23" s="137" t="s">
        <v>4035</v>
      </c>
      <c r="D23" s="137" t="s">
        <v>4036</v>
      </c>
      <c r="E23" s="137" t="s">
        <v>4037</v>
      </c>
      <c r="F23" s="137" t="s">
        <v>4038</v>
      </c>
      <c r="G23" s="137" t="s">
        <v>3994</v>
      </c>
    </row>
    <row r="24" customFormat="false" ht="24" hidden="false" customHeight="true" outlineLevel="0" collapsed="false">
      <c r="B24" s="136"/>
      <c r="C24" s="137" t="s">
        <v>342</v>
      </c>
      <c r="D24" s="137" t="s">
        <v>4039</v>
      </c>
      <c r="E24" s="137" t="s">
        <v>343</v>
      </c>
      <c r="F24" s="137" t="s">
        <v>4040</v>
      </c>
      <c r="G24" s="137" t="s">
        <v>3994</v>
      </c>
    </row>
    <row r="25" customFormat="false" ht="24" hidden="false" customHeight="true" outlineLevel="0" collapsed="false">
      <c r="B25" s="136" t="s">
        <v>4041</v>
      </c>
      <c r="C25" s="137" t="s">
        <v>333</v>
      </c>
      <c r="D25" s="137" t="s">
        <v>4042</v>
      </c>
      <c r="E25" s="137" t="s">
        <v>4043</v>
      </c>
      <c r="F25" s="137" t="s">
        <v>4044</v>
      </c>
      <c r="G25" s="137" t="s">
        <v>3994</v>
      </c>
    </row>
    <row r="26" customFormat="false" ht="24" hidden="false" customHeight="true" outlineLevel="0" collapsed="false">
      <c r="B26" s="136"/>
      <c r="C26" s="137" t="s">
        <v>336</v>
      </c>
      <c r="D26" s="137" t="s">
        <v>4045</v>
      </c>
      <c r="E26" s="137" t="s">
        <v>4046</v>
      </c>
      <c r="F26" s="137" t="s">
        <v>4047</v>
      </c>
      <c r="G26" s="137" t="s">
        <v>3994</v>
      </c>
    </row>
    <row r="27" customFormat="false" ht="24" hidden="false" customHeight="true" outlineLevel="0" collapsed="false">
      <c r="B27" s="136"/>
      <c r="C27" s="137" t="s">
        <v>4048</v>
      </c>
      <c r="D27" s="137" t="s">
        <v>4049</v>
      </c>
      <c r="E27" s="137" t="s">
        <v>4050</v>
      </c>
      <c r="F27" s="137" t="s">
        <v>4051</v>
      </c>
      <c r="G27" s="137" t="s">
        <v>3994</v>
      </c>
    </row>
    <row r="28" customFormat="false" ht="24" hidden="false" customHeight="true" outlineLevel="0" collapsed="false">
      <c r="B28" s="136"/>
      <c r="C28" s="137" t="s">
        <v>338</v>
      </c>
      <c r="D28" s="137" t="s">
        <v>4052</v>
      </c>
      <c r="E28" s="137" t="s">
        <v>4053</v>
      </c>
      <c r="F28" s="137" t="s">
        <v>4054</v>
      </c>
      <c r="G28" s="137" t="s">
        <v>3994</v>
      </c>
    </row>
    <row r="29" customFormat="false" ht="24" hidden="false" customHeight="true" outlineLevel="0" collapsed="false">
      <c r="B29" s="136"/>
      <c r="C29" s="137" t="s">
        <v>340</v>
      </c>
      <c r="D29" s="137" t="s">
        <v>4055</v>
      </c>
      <c r="E29" s="137" t="s">
        <v>4001</v>
      </c>
      <c r="F29" s="137" t="s">
        <v>4056</v>
      </c>
      <c r="G29" s="137" t="s">
        <v>3994</v>
      </c>
    </row>
    <row r="30" customFormat="false" ht="24" hidden="false" customHeight="true" outlineLevel="0" collapsed="false">
      <c r="B30" s="136"/>
      <c r="C30" s="137" t="s">
        <v>342</v>
      </c>
      <c r="D30" s="137" t="s">
        <v>4057</v>
      </c>
      <c r="E30" s="137" t="s">
        <v>4058</v>
      </c>
      <c r="F30" s="137" t="s">
        <v>4040</v>
      </c>
      <c r="G30" s="137" t="s">
        <v>3994</v>
      </c>
    </row>
    <row r="31" customFormat="false" ht="24" hidden="false" customHeight="true" outlineLevel="0" collapsed="false">
      <c r="B31" s="136" t="s">
        <v>4059</v>
      </c>
      <c r="C31" s="137" t="s">
        <v>4060</v>
      </c>
      <c r="D31" s="137" t="s">
        <v>4061</v>
      </c>
      <c r="E31" s="137" t="s">
        <v>4062</v>
      </c>
      <c r="F31" s="137" t="s">
        <v>4063</v>
      </c>
      <c r="G31" s="137" t="s">
        <v>3994</v>
      </c>
    </row>
    <row r="32" customFormat="false" ht="24" hidden="false" customHeight="true" outlineLevel="0" collapsed="false">
      <c r="B32" s="136" t="s">
        <v>4064</v>
      </c>
      <c r="C32" s="137" t="s">
        <v>657</v>
      </c>
      <c r="D32" s="137" t="s">
        <v>4065</v>
      </c>
      <c r="E32" s="137" t="s">
        <v>4001</v>
      </c>
      <c r="F32" s="137" t="s">
        <v>4066</v>
      </c>
      <c r="G32" s="137" t="s">
        <v>3994</v>
      </c>
    </row>
    <row r="33" customFormat="false" ht="24" hidden="false" customHeight="true" outlineLevel="0" collapsed="false">
      <c r="B33" s="136"/>
      <c r="C33" s="137" t="s">
        <v>981</v>
      </c>
      <c r="D33" s="137" t="s">
        <v>4067</v>
      </c>
      <c r="E33" s="137" t="s">
        <v>4001</v>
      </c>
      <c r="F33" s="137" t="s">
        <v>4068</v>
      </c>
      <c r="G33" s="137" t="s">
        <v>3994</v>
      </c>
    </row>
    <row r="34" customFormat="false" ht="24" hidden="false" customHeight="true" outlineLevel="0" collapsed="false">
      <c r="B34" s="136"/>
      <c r="C34" s="137" t="s">
        <v>4016</v>
      </c>
      <c r="D34" s="137" t="s">
        <v>4069</v>
      </c>
      <c r="E34" s="137" t="s">
        <v>4070</v>
      </c>
      <c r="F34" s="137" t="s">
        <v>4071</v>
      </c>
      <c r="G34" s="137" t="s">
        <v>3994</v>
      </c>
    </row>
    <row r="35" customFormat="false" ht="24" hidden="false" customHeight="true" outlineLevel="0" collapsed="false">
      <c r="B35" s="136"/>
      <c r="C35" s="137" t="s">
        <v>4072</v>
      </c>
      <c r="D35" s="137" t="s">
        <v>4073</v>
      </c>
      <c r="E35" s="137" t="s">
        <v>4074</v>
      </c>
      <c r="F35" s="137" t="s">
        <v>4075</v>
      </c>
      <c r="G35" s="137" t="s">
        <v>3994</v>
      </c>
    </row>
    <row r="36" customFormat="false" ht="24" hidden="false" customHeight="true" outlineLevel="0" collapsed="false">
      <c r="B36" s="136"/>
      <c r="C36" s="137" t="s">
        <v>342</v>
      </c>
      <c r="D36" s="137" t="s">
        <v>4076</v>
      </c>
      <c r="E36" s="137" t="s">
        <v>343</v>
      </c>
      <c r="F36" s="137" t="s">
        <v>4040</v>
      </c>
      <c r="G36" s="137" t="s">
        <v>3994</v>
      </c>
    </row>
    <row r="37" customFormat="false" ht="24" hidden="false" customHeight="true" outlineLevel="0" collapsed="false">
      <c r="B37" s="136" t="s">
        <v>4077</v>
      </c>
      <c r="C37" s="137" t="s">
        <v>4078</v>
      </c>
      <c r="D37" s="137" t="s">
        <v>4079</v>
      </c>
      <c r="E37" s="137" t="s">
        <v>4001</v>
      </c>
      <c r="F37" s="137" t="s">
        <v>4080</v>
      </c>
      <c r="G37" s="137" t="s">
        <v>3994</v>
      </c>
    </row>
    <row r="38" customFormat="false" ht="24" hidden="false" customHeight="true" outlineLevel="0" collapsed="false">
      <c r="B38" s="136"/>
      <c r="C38" s="137" t="s">
        <v>4081</v>
      </c>
      <c r="D38" s="137" t="s">
        <v>4082</v>
      </c>
      <c r="E38" s="137" t="s">
        <v>4083</v>
      </c>
      <c r="F38" s="137" t="s">
        <v>4084</v>
      </c>
      <c r="G38" s="137" t="s">
        <v>3994</v>
      </c>
    </row>
    <row r="39" customFormat="false" ht="24" hidden="false" customHeight="true" outlineLevel="0" collapsed="false">
      <c r="B39" s="136" t="s">
        <v>4085</v>
      </c>
      <c r="C39" s="137" t="s">
        <v>4086</v>
      </c>
      <c r="D39" s="137" t="s">
        <v>4087</v>
      </c>
      <c r="E39" s="137" t="s">
        <v>4088</v>
      </c>
      <c r="F39" s="137" t="s">
        <v>4089</v>
      </c>
      <c r="G39" s="137" t="s">
        <v>3994</v>
      </c>
    </row>
    <row r="40" customFormat="false" ht="24" hidden="false" customHeight="true" outlineLevel="0" collapsed="false">
      <c r="B40" s="136"/>
      <c r="C40" s="137" t="s">
        <v>4090</v>
      </c>
      <c r="D40" s="137" t="s">
        <v>4091</v>
      </c>
      <c r="E40" s="137" t="s">
        <v>248</v>
      </c>
      <c r="F40" s="137" t="s">
        <v>4092</v>
      </c>
      <c r="G40" s="137" t="s">
        <v>3994</v>
      </c>
    </row>
    <row r="41" customFormat="false" ht="24" hidden="false" customHeight="true" outlineLevel="0" collapsed="false">
      <c r="B41" s="136"/>
      <c r="C41" s="137" t="s">
        <v>4093</v>
      </c>
      <c r="D41" s="137" t="s">
        <v>4094</v>
      </c>
      <c r="E41" s="137" t="s">
        <v>248</v>
      </c>
      <c r="F41" s="137" t="s">
        <v>4095</v>
      </c>
      <c r="G41" s="137" t="s">
        <v>3994</v>
      </c>
    </row>
    <row r="42" customFormat="false" ht="24" hidden="false" customHeight="true" outlineLevel="0" collapsed="false">
      <c r="B42" s="136"/>
      <c r="C42" s="137" t="s">
        <v>4096</v>
      </c>
      <c r="D42" s="137" t="s">
        <v>4097</v>
      </c>
      <c r="E42" s="137" t="s">
        <v>4098</v>
      </c>
      <c r="F42" s="137" t="s">
        <v>4040</v>
      </c>
      <c r="G42" s="137" t="s">
        <v>3994</v>
      </c>
    </row>
    <row r="43" customFormat="false" ht="24" hidden="false" customHeight="true" outlineLevel="0" collapsed="false">
      <c r="B43" s="136" t="s">
        <v>4099</v>
      </c>
      <c r="C43" s="137" t="s">
        <v>4100</v>
      </c>
      <c r="D43" s="137" t="s">
        <v>4101</v>
      </c>
      <c r="E43" s="137" t="s">
        <v>4001</v>
      </c>
      <c r="F43" s="137" t="s">
        <v>4089</v>
      </c>
      <c r="G43" s="137" t="s">
        <v>3994</v>
      </c>
    </row>
    <row r="44" customFormat="false" ht="24" hidden="false" customHeight="true" outlineLevel="0" collapsed="false">
      <c r="B44" s="136"/>
      <c r="C44" s="137" t="s">
        <v>4102</v>
      </c>
      <c r="D44" s="137" t="s">
        <v>4103</v>
      </c>
      <c r="E44" s="137" t="s">
        <v>4001</v>
      </c>
      <c r="F44" s="137" t="s">
        <v>4104</v>
      </c>
      <c r="G44" s="137" t="s">
        <v>3994</v>
      </c>
    </row>
    <row r="45" customFormat="false" ht="24" hidden="false" customHeight="true" outlineLevel="0" collapsed="false">
      <c r="B45" s="136"/>
      <c r="C45" s="137" t="s">
        <v>4105</v>
      </c>
      <c r="D45" s="137" t="s">
        <v>4106</v>
      </c>
      <c r="E45" s="137" t="s">
        <v>248</v>
      </c>
      <c r="F45" s="137" t="s">
        <v>4107</v>
      </c>
      <c r="G45" s="137" t="s">
        <v>3994</v>
      </c>
    </row>
    <row r="46" customFormat="false" ht="24" hidden="false" customHeight="true" outlineLevel="0" collapsed="false">
      <c r="B46" s="136"/>
      <c r="C46" s="137" t="s">
        <v>4108</v>
      </c>
      <c r="D46" s="137" t="s">
        <v>4109</v>
      </c>
      <c r="E46" s="137" t="s">
        <v>4110</v>
      </c>
      <c r="F46" s="137" t="s">
        <v>4040</v>
      </c>
      <c r="G46" s="137" t="s">
        <v>3994</v>
      </c>
    </row>
    <row r="47" customFormat="false" ht="24" hidden="false" customHeight="true" outlineLevel="0" collapsed="false">
      <c r="B47" s="136" t="s">
        <v>4111</v>
      </c>
      <c r="C47" s="137" t="s">
        <v>1257</v>
      </c>
      <c r="D47" s="137" t="s">
        <v>4112</v>
      </c>
      <c r="E47" s="137" t="s">
        <v>4001</v>
      </c>
      <c r="F47" s="137" t="s">
        <v>4113</v>
      </c>
      <c r="G47" s="137" t="s">
        <v>3994</v>
      </c>
    </row>
    <row r="48" customFormat="false" ht="24" hidden="false" customHeight="true" outlineLevel="0" collapsed="false">
      <c r="B48" s="136"/>
      <c r="C48" s="137" t="s">
        <v>4114</v>
      </c>
      <c r="D48" s="137" t="s">
        <v>4115</v>
      </c>
      <c r="E48" s="137" t="s">
        <v>4116</v>
      </c>
      <c r="F48" s="137" t="s">
        <v>4117</v>
      </c>
      <c r="G48" s="137" t="s">
        <v>3994</v>
      </c>
    </row>
    <row r="49" customFormat="false" ht="24" hidden="false" customHeight="true" outlineLevel="0" collapsed="false">
      <c r="B49" s="136"/>
      <c r="C49" s="137" t="s">
        <v>4118</v>
      </c>
      <c r="D49" s="137" t="s">
        <v>4119</v>
      </c>
      <c r="E49" s="137" t="s">
        <v>4001</v>
      </c>
      <c r="F49" s="137" t="s">
        <v>4120</v>
      </c>
      <c r="G49" s="137" t="s">
        <v>3994</v>
      </c>
    </row>
    <row r="50" customFormat="false" ht="24" hidden="false" customHeight="true" outlineLevel="0" collapsed="false">
      <c r="B50" s="136" t="s">
        <v>4121</v>
      </c>
      <c r="C50" s="137" t="s">
        <v>1257</v>
      </c>
      <c r="D50" s="137" t="s">
        <v>4122</v>
      </c>
      <c r="E50" s="137" t="s">
        <v>4001</v>
      </c>
      <c r="F50" s="137" t="s">
        <v>4123</v>
      </c>
      <c r="G50" s="137" t="s">
        <v>3994</v>
      </c>
    </row>
    <row r="51" customFormat="false" ht="24" hidden="false" customHeight="true" outlineLevel="0" collapsed="false">
      <c r="B51" s="136"/>
      <c r="C51" s="137" t="s">
        <v>4124</v>
      </c>
      <c r="D51" s="137" t="s">
        <v>4125</v>
      </c>
      <c r="E51" s="137" t="s">
        <v>4126</v>
      </c>
      <c r="F51" s="137" t="s">
        <v>4127</v>
      </c>
      <c r="G51" s="137" t="s">
        <v>3994</v>
      </c>
    </row>
    <row r="52" customFormat="false" ht="24" hidden="false" customHeight="true" outlineLevel="0" collapsed="false">
      <c r="B52" s="136"/>
      <c r="C52" s="137" t="s">
        <v>4128</v>
      </c>
      <c r="D52" s="137" t="s">
        <v>4129</v>
      </c>
      <c r="E52" s="137" t="s">
        <v>4130</v>
      </c>
      <c r="F52" s="137" t="s">
        <v>4131</v>
      </c>
      <c r="G52" s="137" t="s">
        <v>3994</v>
      </c>
    </row>
    <row r="54" customFormat="false" ht="15" hidden="false" customHeight="true" outlineLevel="0" collapsed="false">
      <c r="B54" s="138" t="s">
        <v>4132</v>
      </c>
    </row>
    <row r="55" customFormat="false" ht="15" hidden="false" customHeight="true" outlineLevel="0" collapsed="false">
      <c r="B55" s="14" t="s">
        <v>4133</v>
      </c>
      <c r="D55" s="139" t="s">
        <v>4134</v>
      </c>
    </row>
    <row r="56" customFormat="false" ht="15" hidden="false" customHeight="true" outlineLevel="0" collapsed="false">
      <c r="B56" s="14" t="s">
        <v>4135</v>
      </c>
      <c r="D56" s="139" t="s">
        <v>4136</v>
      </c>
    </row>
    <row r="57" customFormat="false" ht="15" hidden="false" customHeight="true" outlineLevel="0" collapsed="false">
      <c r="B57" s="14" t="s">
        <v>4137</v>
      </c>
      <c r="D57" s="139" t="s">
        <v>4138</v>
      </c>
    </row>
    <row r="58" customFormat="false" ht="15" hidden="false" customHeight="true" outlineLevel="0" collapsed="false">
      <c r="B58" s="14" t="s">
        <v>4139</v>
      </c>
      <c r="D58" s="139" t="s">
        <v>4140</v>
      </c>
    </row>
    <row r="59" customFormat="false" ht="15" hidden="false" customHeight="true" outlineLevel="0" collapsed="false">
      <c r="B59" s="14" t="s">
        <v>4141</v>
      </c>
      <c r="D59" s="139" t="s">
        <v>4142</v>
      </c>
    </row>
    <row r="60" customFormat="false" ht="15" hidden="false" customHeight="true" outlineLevel="0" collapsed="false">
      <c r="B60" s="14" t="s">
        <v>4143</v>
      </c>
      <c r="D60" s="140" t="s">
        <v>4144</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3" t="s">
        <v>4145</v>
      </c>
    </row>
    <row r="2" customFormat="false" ht="48" hidden="false" customHeight="true" outlineLevel="0" collapsed="false">
      <c r="B2" s="94" t="s">
        <v>4146</v>
      </c>
      <c r="C2" s="94"/>
      <c r="D2" s="94"/>
      <c r="E2" s="94"/>
      <c r="F2" s="94"/>
      <c r="G2" s="94"/>
    </row>
    <row r="4" customFormat="false" ht="15" hidden="false" customHeight="true" outlineLevel="0" collapsed="false">
      <c r="B4" s="116" t="s">
        <v>4147</v>
      </c>
    </row>
    <row r="5" customFormat="false" ht="15" hidden="false" customHeight="true" outlineLevel="0" collapsed="false">
      <c r="B5" s="141" t="s">
        <v>4148</v>
      </c>
      <c r="C5" s="141" t="s">
        <v>4149</v>
      </c>
      <c r="D5" s="141" t="s">
        <v>4150</v>
      </c>
      <c r="E5" s="141" t="s">
        <v>4151</v>
      </c>
      <c r="F5" s="141" t="s">
        <v>4152</v>
      </c>
    </row>
    <row r="6" customFormat="false" ht="15" hidden="false" customHeight="true" outlineLevel="0" collapsed="false">
      <c r="B6" s="1" t="s">
        <v>4153</v>
      </c>
      <c r="C6" s="97"/>
      <c r="D6" s="142"/>
      <c r="E6" s="142"/>
      <c r="F6" s="143"/>
    </row>
    <row r="7" customFormat="false" ht="15" hidden="false" customHeight="true" outlineLevel="0" collapsed="false">
      <c r="B7" s="1" t="s">
        <v>4154</v>
      </c>
      <c r="C7" s="97"/>
      <c r="D7" s="142"/>
      <c r="E7" s="142"/>
      <c r="F7" s="143"/>
    </row>
    <row r="8" customFormat="false" ht="15" hidden="false" customHeight="true" outlineLevel="0" collapsed="false">
      <c r="B8" s="1" t="s">
        <v>4155</v>
      </c>
      <c r="C8" s="97"/>
      <c r="D8" s="142"/>
      <c r="E8" s="142"/>
      <c r="F8" s="143"/>
    </row>
    <row r="9" customFormat="false" ht="15" hidden="false" customHeight="true" outlineLevel="0" collapsed="false">
      <c r="B9" s="1" t="s">
        <v>4156</v>
      </c>
      <c r="C9" s="97"/>
      <c r="D9" s="142"/>
      <c r="E9" s="142"/>
      <c r="F9" s="143"/>
    </row>
    <row r="10" customFormat="false" ht="15" hidden="false" customHeight="true" outlineLevel="0" collapsed="false">
      <c r="B10" s="1" t="s">
        <v>4157</v>
      </c>
      <c r="C10" s="97"/>
      <c r="D10" s="142"/>
      <c r="E10" s="142"/>
      <c r="F10" s="143"/>
    </row>
    <row r="11" customFormat="false" ht="15" hidden="false" customHeight="true" outlineLevel="0" collapsed="false">
      <c r="B11" s="1" t="s">
        <v>4158</v>
      </c>
      <c r="C11" s="97"/>
      <c r="D11" s="142"/>
      <c r="E11" s="142"/>
      <c r="F11" s="143"/>
    </row>
    <row r="12" customFormat="false" ht="15" hidden="false" customHeight="true" outlineLevel="0" collapsed="false">
      <c r="B12" s="1" t="s">
        <v>4159</v>
      </c>
      <c r="C12" s="97"/>
      <c r="D12" s="142"/>
      <c r="E12" s="142"/>
      <c r="F12" s="143"/>
    </row>
    <row r="13" customFormat="false" ht="15" hidden="false" customHeight="true" outlineLevel="0" collapsed="false">
      <c r="B13" s="1" t="s">
        <v>4160</v>
      </c>
      <c r="C13" s="97"/>
      <c r="D13" s="142"/>
      <c r="E13" s="142"/>
      <c r="F13" s="143"/>
    </row>
    <row r="15" customFormat="false" ht="15" hidden="false" customHeight="true" outlineLevel="0" collapsed="false">
      <c r="B15" s="116" t="s">
        <v>4161</v>
      </c>
      <c r="D15" s="144" t="n">
        <f aca="false">SUM(D6:D13)</f>
        <v>0</v>
      </c>
    </row>
    <row r="16" customFormat="false" ht="15" hidden="false" customHeight="true" outlineLevel="0" collapsed="false">
      <c r="B16" s="1" t="s">
        <v>4162</v>
      </c>
      <c r="D16" s="144" t="n">
        <f aca="false">SUM(E6:E13)</f>
        <v>0</v>
      </c>
    </row>
    <row r="17" customFormat="false" ht="15" hidden="false" customHeight="true" outlineLevel="0" collapsed="false">
      <c r="B17" s="1" t="s">
        <v>4163</v>
      </c>
      <c r="D17" s="145" t="str">
        <f aca="false">IF(COUNT(F6:F13)=0,"",SUMPRODUCT(F6:F13,(D6:D13&gt;0)*D6:D13+(1-(D6:D13&gt;0)))/SUMPRODUCT((F6:F13&lt;&gt;"")*((D6:D13&gt;0)*D6:D13+(1-(D6:D13&gt;0)))))</f>
        <v/>
      </c>
    </row>
    <row r="19" customFormat="false" ht="15" hidden="false" customHeight="true" outlineLevel="0" collapsed="false">
      <c r="B19" s="116" t="s">
        <v>4164</v>
      </c>
    </row>
    <row r="20" customFormat="false" ht="15" hidden="false" customHeight="true" outlineLevel="0" collapsed="false">
      <c r="B20" s="141" t="s">
        <v>4165</v>
      </c>
      <c r="C20" s="141" t="s">
        <v>4149</v>
      </c>
      <c r="D20" s="141" t="s">
        <v>4150</v>
      </c>
      <c r="E20" s="141" t="s">
        <v>4151</v>
      </c>
      <c r="F20" s="141" t="s">
        <v>4152</v>
      </c>
    </row>
    <row r="21" customFormat="false" ht="15" hidden="false" customHeight="true" outlineLevel="0" collapsed="false">
      <c r="B21" s="1" t="s">
        <v>4166</v>
      </c>
      <c r="C21" s="97"/>
      <c r="D21" s="142"/>
      <c r="E21" s="142"/>
      <c r="F21" s="143"/>
    </row>
    <row r="22" customFormat="false" ht="15" hidden="false" customHeight="true" outlineLevel="0" collapsed="false">
      <c r="B22" s="1" t="s">
        <v>4167</v>
      </c>
      <c r="C22" s="97"/>
      <c r="D22" s="142"/>
      <c r="E22" s="142"/>
      <c r="F22" s="143"/>
    </row>
    <row r="23" customFormat="false" ht="15" hidden="false" customHeight="true" outlineLevel="0" collapsed="false">
      <c r="B23" s="1" t="s">
        <v>4168</v>
      </c>
      <c r="C23" s="97"/>
      <c r="D23" s="142"/>
      <c r="E23" s="142"/>
      <c r="F23" s="143"/>
    </row>
    <row r="24" customFormat="false" ht="15" hidden="false" customHeight="true" outlineLevel="0" collapsed="false">
      <c r="B24" s="1" t="s">
        <v>4169</v>
      </c>
      <c r="C24" s="97"/>
      <c r="D24" s="142"/>
      <c r="E24" s="142"/>
      <c r="F24" s="143"/>
    </row>
    <row r="25" customFormat="false" ht="15" hidden="false" customHeight="true" outlineLevel="0" collapsed="false">
      <c r="B25" s="1" t="s">
        <v>4170</v>
      </c>
      <c r="C25" s="97"/>
      <c r="D25" s="142"/>
      <c r="E25" s="142"/>
      <c r="F25" s="143"/>
    </row>
    <row r="26" customFormat="false" ht="15" hidden="false" customHeight="true" outlineLevel="0" collapsed="false">
      <c r="B26" s="1" t="s">
        <v>4171</v>
      </c>
      <c r="C26" s="97"/>
      <c r="D26" s="142"/>
      <c r="E26" s="142"/>
      <c r="F26" s="143"/>
    </row>
    <row r="27" customFormat="false" ht="15" hidden="false" customHeight="true" outlineLevel="0" collapsed="false">
      <c r="B27" s="1" t="s">
        <v>4172</v>
      </c>
      <c r="C27" s="97"/>
      <c r="D27" s="142"/>
      <c r="E27" s="142"/>
      <c r="F27" s="143"/>
    </row>
    <row r="28" customFormat="false" ht="15" hidden="false" customHeight="true" outlineLevel="0" collapsed="false">
      <c r="B28" s="1" t="s">
        <v>4173</v>
      </c>
      <c r="C28" s="97"/>
      <c r="D28" s="142"/>
      <c r="E28" s="142"/>
      <c r="F28" s="143"/>
    </row>
    <row r="30" customFormat="false" ht="15" hidden="false" customHeight="true" outlineLevel="0" collapsed="false">
      <c r="B30" s="1" t="s">
        <v>4174</v>
      </c>
      <c r="D30" s="144" t="n">
        <f aca="false">SUM(D21:D28)</f>
        <v>0</v>
      </c>
    </row>
    <row r="31" customFormat="false" ht="15" hidden="false" customHeight="true" outlineLevel="0" collapsed="false">
      <c r="B31" s="1" t="s">
        <v>4175</v>
      </c>
      <c r="D31" s="144" t="n">
        <f aca="false">SUM(E21:E28)</f>
        <v>0</v>
      </c>
    </row>
    <row r="32" customFormat="false" ht="15" hidden="false" customHeight="true" outlineLevel="0" collapsed="false">
      <c r="B32" s="1" t="s">
        <v>4176</v>
      </c>
      <c r="D32" s="144" t="n">
        <f aca="false">Cards_Owed_Total+Loans_Owed_Total</f>
        <v>0</v>
      </c>
    </row>
    <row r="33" customFormat="false" ht="15" hidden="false" customHeight="true" outlineLevel="0" collapsed="false">
      <c r="B33" s="1" t="s">
        <v>4177</v>
      </c>
      <c r="D33" s="144" t="n">
        <f aca="false">Cards_Pay_Total+Loans_Pay_Total</f>
        <v>0</v>
      </c>
    </row>
    <row r="34" customFormat="false" ht="15" hidden="false" customHeight="true" outlineLevel="0" collapsed="false">
      <c r="B34" s="1" t="s">
        <v>4178</v>
      </c>
      <c r="D34" s="145" t="str">
        <f aca="false">IF(COUNT(F21:F28)=0,"",SUMPRODUCT(F21:F28,(D21:D28&gt;0)*D21:D28+(1-(D21:D28&gt;0)))/SUMPRODUCT((F21:F28&lt;&gt;"")*((D21:D28&gt;0)*D21:D28+(1-(D21:D28&gt;0)))))</f>
        <v/>
      </c>
    </row>
    <row r="35" customFormat="false" ht="15" hidden="false" customHeight="true" outlineLevel="0" collapsed="false">
      <c r="B35" s="116" t="s">
        <v>1184</v>
      </c>
    </row>
    <row r="36" customFormat="false" ht="27.75" hidden="false" customHeight="true" outlineLevel="0" collapsed="false">
      <c r="B36" s="141" t="s">
        <v>4179</v>
      </c>
      <c r="C36" s="141" t="s">
        <v>4180</v>
      </c>
      <c r="D36" s="141" t="s">
        <v>4181</v>
      </c>
      <c r="E36" s="141" t="s">
        <v>4182</v>
      </c>
      <c r="F36" s="141" t="s">
        <v>4183</v>
      </c>
      <c r="G36" s="141" t="s">
        <v>4184</v>
      </c>
    </row>
    <row r="37" customFormat="false" ht="15" hidden="false" customHeight="true" outlineLevel="0" collapsed="false">
      <c r="B37" s="1" t="s">
        <v>4185</v>
      </c>
      <c r="C37" s="97"/>
      <c r="D37" s="142"/>
      <c r="E37" s="142"/>
      <c r="F37" s="142"/>
      <c r="G37" s="146" t="str">
        <f aca="false">IF(E37="","",IF(E37&gt;0,IF(F37&lt;&gt;"",MIN(F37,E37),E37*AS_OwnShare),0))</f>
        <v/>
      </c>
    </row>
    <row r="38" customFormat="false" ht="15" hidden="false" customHeight="true" outlineLevel="0" collapsed="false">
      <c r="B38" s="1" t="s">
        <v>4186</v>
      </c>
      <c r="C38" s="97"/>
      <c r="D38" s="142"/>
      <c r="E38" s="142"/>
      <c r="F38" s="142"/>
      <c r="G38" s="146" t="str">
        <f aca="false">IF(E38="","",IF(E38&gt;0,IF(F38&lt;&gt;"",MIN(F38,E38),E38*AS_OwnShare),0))</f>
        <v/>
      </c>
    </row>
    <row r="39" customFormat="false" ht="15" hidden="false" customHeight="true" outlineLevel="0" collapsed="false">
      <c r="B39" s="1" t="s">
        <v>4187</v>
      </c>
      <c r="C39" s="97"/>
      <c r="D39" s="142"/>
      <c r="E39" s="142"/>
      <c r="F39" s="142"/>
      <c r="G39" s="146" t="str">
        <f aca="false">IF(E39="","",IF(E39&gt;0,IF(F39&lt;&gt;"",MIN(F39,E39),E39*AS_OwnShare),0))</f>
        <v/>
      </c>
    </row>
    <row r="40" customFormat="false" ht="15" hidden="false" customHeight="true" outlineLevel="0" collapsed="false">
      <c r="B40" s="1" t="s">
        <v>4188</v>
      </c>
      <c r="C40" s="97"/>
      <c r="D40" s="142"/>
      <c r="E40" s="142"/>
      <c r="F40" s="142"/>
      <c r="G40" s="146" t="str">
        <f aca="false">IF(E40="","",IF(E40&gt;0,IF(F40&lt;&gt;"",MIN(F40,E40),E40*AS_OwnShare),0))</f>
        <v/>
      </c>
    </row>
    <row r="41" customFormat="false" ht="15" hidden="false" customHeight="true" outlineLevel="0" collapsed="false">
      <c r="B41" s="1" t="s">
        <v>4189</v>
      </c>
      <c r="C41" s="97"/>
      <c r="D41" s="142"/>
      <c r="E41" s="142"/>
      <c r="F41" s="142"/>
      <c r="G41" s="146" t="str">
        <f aca="false">IF(E41="","",IF(E41&gt;0,IF(F41&lt;&gt;"",MIN(F41,E41),E41*AS_OwnShare),0))</f>
        <v/>
      </c>
    </row>
    <row r="42" customFormat="false" ht="15" hidden="false" customHeight="true" outlineLevel="0" collapsed="false">
      <c r="B42" s="1" t="s">
        <v>4190</v>
      </c>
      <c r="C42" s="97"/>
      <c r="D42" s="142"/>
      <c r="E42" s="142"/>
      <c r="F42" s="142"/>
      <c r="G42" s="146" t="str">
        <f aca="false">IF(E42="","",IF(E42&gt;0,IF(F42&lt;&gt;"",MIN(F42,E42),E42*AS_OwnShare),0))</f>
        <v/>
      </c>
    </row>
    <row r="43" customFormat="false" ht="15" hidden="false" customHeight="true" outlineLevel="0" collapsed="false">
      <c r="B43" s="1" t="s">
        <v>4191</v>
      </c>
      <c r="C43" s="97"/>
      <c r="D43" s="142"/>
      <c r="E43" s="142"/>
      <c r="F43" s="142"/>
      <c r="G43" s="146" t="str">
        <f aca="false">IF(E43="","",IF(E43&gt;0,IF(F43&lt;&gt;"",MIN(F43,E43),E43*AS_OwnShare),0))</f>
        <v/>
      </c>
    </row>
    <row r="44" customFormat="false" ht="15" hidden="false" customHeight="true" outlineLevel="0" collapsed="false">
      <c r="B44" s="1" t="s">
        <v>4192</v>
      </c>
      <c r="C44" s="97"/>
      <c r="D44" s="142"/>
      <c r="E44" s="142"/>
      <c r="F44" s="142"/>
      <c r="G44" s="146" t="str">
        <f aca="false">IF(E44="","",IF(E44&gt;0,IF(F44&lt;&gt;"",MIN(F44,E44),E44*AS_OwnShare),0))</f>
        <v/>
      </c>
    </row>
    <row r="46" customFormat="false" ht="15" hidden="false" customHeight="true" outlineLevel="0" collapsed="false">
      <c r="B46" s="1" t="s">
        <v>4193</v>
      </c>
      <c r="D46" s="144" t="n">
        <f aca="false">SUM(D37:D44)</f>
        <v>0</v>
      </c>
    </row>
    <row r="47" customFormat="false" ht="15" hidden="false" customHeight="true" outlineLevel="0" collapsed="false">
      <c r="B47" s="1" t="s">
        <v>4194</v>
      </c>
      <c r="D47" s="144" t="n">
        <f aca="false">SUM(E37:E44)</f>
        <v>0</v>
      </c>
    </row>
    <row r="48" customFormat="false" ht="15" hidden="false" customHeight="true" outlineLevel="0" collapsed="false">
      <c r="B48" s="1" t="s">
        <v>4195</v>
      </c>
      <c r="D48" s="144" t="n">
        <f aca="false">SUM(G37:G44)</f>
        <v>0</v>
      </c>
    </row>
    <row r="49" customFormat="false" ht="15" hidden="false" customHeight="true" outlineLevel="0" collapsed="false">
      <c r="B49" s="1" t="s">
        <v>4196</v>
      </c>
      <c r="D49" s="98" t="n">
        <f aca="false">IF(AND(SUMPRODUCT((E37:E44&gt;0)*ISNUMBER(F37:F44))&gt;0,OR(SUMPRODUCT(--(E37:E44&gt;0))=SUMPRODUCT((E37:E44&gt;0)*ISNUMBER(F37:F44)),Has_a_ownShare=1)),1,0)</f>
        <v>0</v>
      </c>
    </row>
    <row r="50" customFormat="false" ht="15" hidden="false" customHeight="true" outlineLevel="0" collapsed="false">
      <c r="B50" s="116" t="s">
        <v>4197</v>
      </c>
    </row>
    <row r="51" customFormat="false" ht="15" hidden="false" customHeight="true" outlineLevel="0" collapsed="false">
      <c r="B51" s="96" t="s">
        <v>4198</v>
      </c>
      <c r="C51" s="96" t="s">
        <v>4199</v>
      </c>
      <c r="D51" s="96" t="s">
        <v>4200</v>
      </c>
    </row>
    <row r="52" customFormat="false" ht="15" hidden="false" customHeight="true" outlineLevel="0" collapsed="false">
      <c r="B52" s="1" t="s">
        <v>4201</v>
      </c>
      <c r="C52" s="142"/>
      <c r="D52" s="97"/>
    </row>
    <row r="53" customFormat="false" ht="15" hidden="false" customHeight="true" outlineLevel="0" collapsed="false">
      <c r="B53" s="1" t="s">
        <v>4202</v>
      </c>
      <c r="C53" s="142"/>
      <c r="D53" s="97"/>
    </row>
    <row r="54" customFormat="false" ht="15" hidden="false" customHeight="true" outlineLevel="0" collapsed="false">
      <c r="B54" s="1" t="s">
        <v>4203</v>
      </c>
      <c r="C54" s="142"/>
      <c r="D54" s="97"/>
    </row>
    <row r="55" customFormat="false" ht="15" hidden="false" customHeight="true" outlineLevel="0" collapsed="false">
      <c r="B55" s="1" t="s">
        <v>4204</v>
      </c>
      <c r="C55" s="142"/>
      <c r="D55" s="97"/>
    </row>
    <row r="56" customFormat="false" ht="15" hidden="false" customHeight="true" outlineLevel="0" collapsed="false">
      <c r="B56" s="1" t="s">
        <v>4205</v>
      </c>
      <c r="D56" s="144" t="n">
        <f aca="false">SUM(C52:C55)</f>
        <v>0</v>
      </c>
    </row>
    <row r="57" customFormat="false" ht="15" hidden="false" customHeight="true" outlineLevel="0" collapsed="false">
      <c r="B57" s="96" t="s">
        <v>4198</v>
      </c>
      <c r="C57" s="96" t="s">
        <v>4206</v>
      </c>
      <c r="D57" s="96" t="s">
        <v>4207</v>
      </c>
    </row>
    <row r="58" customFormat="false" ht="15" hidden="false" customHeight="true" outlineLevel="0" collapsed="false">
      <c r="B58" s="1" t="s">
        <v>4208</v>
      </c>
      <c r="C58" s="142"/>
      <c r="D58" s="97"/>
    </row>
    <row r="59" customFormat="false" ht="15" hidden="false" customHeight="true" outlineLevel="0" collapsed="false">
      <c r="B59" s="1" t="s">
        <v>4209</v>
      </c>
      <c r="C59" s="142"/>
      <c r="D59" s="97"/>
    </row>
    <row r="60" customFormat="false" ht="15" hidden="false" customHeight="true" outlineLevel="0" collapsed="false">
      <c r="B60" s="1" t="s">
        <v>4210</v>
      </c>
      <c r="C60" s="142"/>
      <c r="D60" s="97"/>
    </row>
    <row r="61" customFormat="false" ht="15" hidden="false" customHeight="true" outlineLevel="0" collapsed="false">
      <c r="B61" s="1" t="s">
        <v>4211</v>
      </c>
      <c r="C61" s="142"/>
      <c r="D61" s="97"/>
    </row>
    <row r="62" customFormat="false" ht="15" hidden="false" customHeight="true" outlineLevel="0" collapsed="false">
      <c r="B62" s="1" t="s">
        <v>4212</v>
      </c>
      <c r="D62" s="144" t="n">
        <f aca="false">SUMPRODUCT((C58:C61&lt;&gt;"")*C58:C61)+IF(N('C21 Life cover'!$G$11)&gt;0,SUMPRODUCT((C58:C61="")*D58:D61)*N('C21 Life cover'!$G$11),0)</f>
        <v>0</v>
      </c>
    </row>
    <row r="63" customFormat="false" ht="15" hidden="false" customHeight="true" outlineLevel="0" collapsed="false">
      <c r="B63" s="1" t="s">
        <v>4213</v>
      </c>
      <c r="D63" s="144" t="n">
        <f aca="false">Cover_Life_Total+Cover_Work_Total</f>
        <v>0</v>
      </c>
    </row>
    <row r="64" customFormat="false" ht="15" hidden="false" customHeight="true" outlineLevel="0" collapsed="false">
      <c r="B64" s="96" t="s">
        <v>4198</v>
      </c>
      <c r="C64" s="96" t="s">
        <v>4214</v>
      </c>
      <c r="D64" s="96" t="s">
        <v>4200</v>
      </c>
    </row>
    <row r="65" customFormat="false" ht="15" hidden="false" customHeight="true" outlineLevel="0" collapsed="false">
      <c r="B65" s="1" t="s">
        <v>4215</v>
      </c>
      <c r="C65" s="142"/>
      <c r="D65" s="97"/>
    </row>
    <row r="66" customFormat="false" ht="15" hidden="false" customHeight="true" outlineLevel="0" collapsed="false">
      <c r="B66" s="1" t="s">
        <v>4216</v>
      </c>
      <c r="C66" s="142"/>
      <c r="D66" s="97"/>
    </row>
    <row r="67" customFormat="false" ht="15" hidden="false" customHeight="true" outlineLevel="0" collapsed="false">
      <c r="B67" s="1" t="s">
        <v>4217</v>
      </c>
      <c r="C67" s="142"/>
      <c r="D67" s="97"/>
    </row>
    <row r="68" customFormat="false" ht="15" hidden="false" customHeight="true" outlineLevel="0" collapsed="false">
      <c r="B68" s="1" t="s">
        <v>4218</v>
      </c>
      <c r="C68" s="142"/>
      <c r="D68" s="97"/>
    </row>
    <row r="69" customFormat="false" ht="15" hidden="false" customHeight="true" outlineLevel="0" collapsed="false">
      <c r="B69" s="1" t="s">
        <v>4219</v>
      </c>
      <c r="D69" s="144" t="n">
        <f aca="false">SUM(C65:C68)</f>
        <v>0</v>
      </c>
    </row>
    <row r="70" customFormat="false" ht="15" hidden="false" customHeight="true" outlineLevel="0" collapsed="false">
      <c r="B70" s="96" t="s">
        <v>4198</v>
      </c>
      <c r="C70" s="96" t="s">
        <v>4199</v>
      </c>
      <c r="D70" s="96" t="s">
        <v>4200</v>
      </c>
    </row>
    <row r="71" customFormat="false" ht="15" hidden="false" customHeight="true" outlineLevel="0" collapsed="false">
      <c r="B71" s="1" t="s">
        <v>4220</v>
      </c>
      <c r="C71" s="142"/>
      <c r="D71" s="97"/>
    </row>
    <row r="72" customFormat="false" ht="15" hidden="false" customHeight="true" outlineLevel="0" collapsed="false">
      <c r="B72" s="1" t="s">
        <v>4221</v>
      </c>
      <c r="C72" s="142"/>
      <c r="D72" s="97"/>
    </row>
    <row r="73" customFormat="false" ht="15" hidden="false" customHeight="true" outlineLevel="0" collapsed="false">
      <c r="B73" s="1" t="s">
        <v>4222</v>
      </c>
      <c r="C73" s="142"/>
      <c r="D73" s="97"/>
    </row>
    <row r="74" customFormat="false" ht="15" hidden="false" customHeight="true" outlineLevel="0" collapsed="false">
      <c r="B74" s="1" t="s">
        <v>4223</v>
      </c>
      <c r="C74" s="142"/>
      <c r="D74" s="97"/>
    </row>
    <row r="75" customFormat="false" ht="15" hidden="false" customHeight="true" outlineLevel="0" collapsed="false">
      <c r="B75" s="1" t="s">
        <v>4224</v>
      </c>
      <c r="D75" s="144" t="n">
        <f aca="false">SUM(C71:C74)</f>
        <v>0</v>
      </c>
    </row>
    <row r="76" customFormat="false" ht="15" hidden="false" customHeight="true" outlineLevel="0" collapsed="false">
      <c r="B76" s="96" t="s">
        <v>3496</v>
      </c>
      <c r="C76" s="96" t="s">
        <v>4225</v>
      </c>
    </row>
    <row r="77" customFormat="false" ht="15" hidden="false" customHeight="true" outlineLevel="0" collapsed="false">
      <c r="B77" s="1" t="s">
        <v>4226</v>
      </c>
      <c r="C77" s="142"/>
    </row>
    <row r="78" customFormat="false" ht="15" hidden="false" customHeight="true" outlineLevel="0" collapsed="false">
      <c r="B78" s="1" t="s">
        <v>4227</v>
      </c>
      <c r="C78" s="142"/>
    </row>
    <row r="79" customFormat="false" ht="15" hidden="false" customHeight="true" outlineLevel="0" collapsed="false">
      <c r="B79" s="1" t="s">
        <v>4228</v>
      </c>
      <c r="C79" s="142"/>
    </row>
    <row r="80" customFormat="false" ht="15" hidden="false" customHeight="true" outlineLevel="0" collapsed="false">
      <c r="B80" s="1" t="s">
        <v>4229</v>
      </c>
      <c r="C80" s="142"/>
    </row>
    <row r="81" customFormat="false" ht="15" hidden="false" customHeight="true" outlineLevel="0" collapsed="false">
      <c r="B81" s="1" t="s">
        <v>4230</v>
      </c>
      <c r="D81" s="144" t="n">
        <f aca="false">SUM(C77:C80)</f>
        <v>0</v>
      </c>
    </row>
    <row r="84" customFormat="false" ht="15" hidden="false" customHeight="true" outlineLevel="0" collapsed="false">
      <c r="B84" s="116" t="s">
        <v>4231</v>
      </c>
    </row>
    <row r="85" customFormat="false" ht="54.75" hidden="false" customHeight="true" outlineLevel="0" collapsed="false">
      <c r="B85" s="141" t="s">
        <v>553</v>
      </c>
      <c r="C85" s="141" t="s">
        <v>4149</v>
      </c>
      <c r="D85" s="141" t="s">
        <v>4232</v>
      </c>
      <c r="E85" s="141" t="s">
        <v>4151</v>
      </c>
      <c r="F85" s="141" t="s">
        <v>438</v>
      </c>
      <c r="G85" s="141" t="s">
        <v>4233</v>
      </c>
      <c r="H85" s="141" t="s">
        <v>4234</v>
      </c>
      <c r="I85" s="141" t="s">
        <v>4235</v>
      </c>
    </row>
    <row r="86" customFormat="false" ht="15" hidden="false" customHeight="true" outlineLevel="0" collapsed="false">
      <c r="B86" s="1" t="s">
        <v>4236</v>
      </c>
      <c r="C86" s="97"/>
      <c r="D86" s="142"/>
      <c r="E86" s="142"/>
      <c r="F86" s="97"/>
      <c r="G86" s="97"/>
      <c r="H86" s="147" t="n">
        <f aca="false">IF(N(G86)&gt;0,G86,AS_MortRate)</f>
        <v>0.0348</v>
      </c>
      <c r="I86" s="146" t="n">
        <f aca="false">IF(N(D86)&gt;0,IF(N(E86)&gt;0,E86,IF(H86/12&lt;&gt;0,D86*(H86/12)/(1-(1+H86/12)^-MAX(1,ROUND(IF(N(F86)&gt;0,F86,PR_FbMortYears)*12,0))),D86/MAX(1,ROUND(IF(N(F86)&gt;0,F86,PR_FbMortYears)*12,0)))),0)</f>
        <v>0</v>
      </c>
    </row>
    <row r="87" customFormat="false" ht="15" hidden="false" customHeight="true" outlineLevel="0" collapsed="false">
      <c r="B87" s="1" t="s">
        <v>4237</v>
      </c>
      <c r="C87" s="97"/>
      <c r="D87" s="142"/>
      <c r="E87" s="142"/>
      <c r="F87" s="97"/>
      <c r="G87" s="97"/>
      <c r="H87" s="147" t="n">
        <f aca="false">IF(N(G87)&gt;0,G87,AS_MortRate)</f>
        <v>0.0348</v>
      </c>
      <c r="I87" s="146" t="n">
        <f aca="false">IF(N(D87)&gt;0,IF(N(E87)&gt;0,E87,IF(H87/12&lt;&gt;0,D87*(H87/12)/(1-(1+H87/12)^-MAX(1,ROUND(IF(N(F87)&gt;0,F87,PR_FbMortYears)*12,0))),D87/MAX(1,ROUND(IF(N(F87)&gt;0,F87,PR_FbMortYears)*12,0)))),0)</f>
        <v>0</v>
      </c>
    </row>
    <row r="88" customFormat="false" ht="15" hidden="false" customHeight="true" outlineLevel="0" collapsed="false">
      <c r="B88" s="1" t="s">
        <v>4238</v>
      </c>
      <c r="C88" s="97"/>
      <c r="D88" s="142"/>
      <c r="E88" s="142"/>
      <c r="F88" s="97"/>
      <c r="G88" s="97"/>
      <c r="H88" s="147" t="n">
        <f aca="false">IF(N(G88)&gt;0,G88,AS_MortRate)</f>
        <v>0.0348</v>
      </c>
      <c r="I88" s="146" t="n">
        <f aca="false">IF(N(D88)&gt;0,IF(N(E88)&gt;0,E88,IF(H88/12&lt;&gt;0,D88*(H88/12)/(1-(1+H88/12)^-MAX(1,ROUND(IF(N(F88)&gt;0,F88,PR_FbMortYears)*12,0))),D88/MAX(1,ROUND(IF(N(F88)&gt;0,F88,PR_FbMortYears)*12,0)))),0)</f>
        <v>0</v>
      </c>
    </row>
    <row r="89" customFormat="false" ht="15" hidden="false" customHeight="true" outlineLevel="0" collapsed="false">
      <c r="B89" s="1" t="s">
        <v>4239</v>
      </c>
      <c r="C89" s="97"/>
      <c r="D89" s="142"/>
      <c r="E89" s="142"/>
      <c r="F89" s="97"/>
      <c r="G89" s="97"/>
      <c r="H89" s="147" t="n">
        <f aca="false">IF(N(G89)&gt;0,G89,AS_MortRate)</f>
        <v>0.0348</v>
      </c>
      <c r="I89" s="146" t="n">
        <f aca="false">IF(N(D89)&gt;0,IF(N(E89)&gt;0,E89,IF(H89/12&lt;&gt;0,D89*(H89/12)/(1-(1+H89/12)^-MAX(1,ROUND(IF(N(F89)&gt;0,F89,PR_FbMortYears)*12,0))),D89/MAX(1,ROUND(IF(N(F89)&gt;0,F89,PR_FbMortYears)*12,0)))),0)</f>
        <v>0</v>
      </c>
    </row>
    <row r="90" customFormat="false" ht="15" hidden="false" customHeight="true" outlineLevel="0" collapsed="false">
      <c r="B90" s="1" t="s">
        <v>4240</v>
      </c>
      <c r="D90" s="98" t="n">
        <f aca="false">SUMIF(D86:D89,"&gt;0")</f>
        <v>0</v>
      </c>
    </row>
    <row r="91" customFormat="false" ht="15" hidden="false" customHeight="true" outlineLevel="0" collapsed="false">
      <c r="B91" s="1" t="s">
        <v>4241</v>
      </c>
      <c r="D91" s="98" t="n">
        <f aca="false">SUM(I86:I89)</f>
        <v>0</v>
      </c>
    </row>
    <row r="92" customFormat="false" ht="15" hidden="false" customHeight="true" outlineLevel="0" collapsed="false">
      <c r="B92" s="1" t="s">
        <v>4242</v>
      </c>
      <c r="D92" s="148" t="n">
        <f aca="false">IF(D90&gt;0,SUMPRODUCT((D86:D89&gt;0)*D86:D89*H86:H89)/D90,0)</f>
        <v>0</v>
      </c>
    </row>
    <row r="93" customFormat="false" ht="15" hidden="false" customHeight="true" outlineLevel="0" collapsed="false">
      <c r="B93" s="1" t="s">
        <v>4243</v>
      </c>
      <c r="D93" s="98" t="n">
        <f aca="false">IF(SUMPRODUCT((N(+D86:D89)&gt;0)*(N(+E86:E89)&lt;=0)*(N(+F86:F89)&lt;=0))&gt;0,1,0)</f>
        <v>0</v>
      </c>
    </row>
    <row r="94" customFormat="false" ht="15" hidden="false" customHeight="true" outlineLevel="0" collapsed="false">
      <c r="B94" s="1" t="s">
        <v>4244</v>
      </c>
      <c r="D94" s="98"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3" t="s">
        <v>4245</v>
      </c>
    </row>
    <row r="2" customFormat="false" ht="75" hidden="false" customHeight="true" outlineLevel="0" collapsed="false">
      <c r="B2" s="94" t="s">
        <v>4246</v>
      </c>
      <c r="C2" s="94"/>
      <c r="D2" s="94"/>
      <c r="E2" s="94"/>
      <c r="F2" s="94"/>
      <c r="G2" s="94"/>
      <c r="H2" s="94"/>
      <c r="I2" s="94"/>
      <c r="J2" s="94"/>
      <c r="K2" s="94"/>
    </row>
    <row r="3" customFormat="false" ht="15" hidden="false" customHeight="true" outlineLevel="0" collapsed="false">
      <c r="B3" s="23" t="s">
        <v>4247</v>
      </c>
    </row>
    <row r="4" customFormat="false" ht="15" hidden="false" customHeight="true" outlineLevel="0" collapsed="false">
      <c r="B4" s="116" t="s">
        <v>4248</v>
      </c>
      <c r="C4" s="97"/>
    </row>
    <row r="6" customFormat="false" ht="81.75" hidden="false" customHeight="true" outlineLevel="0" collapsed="false">
      <c r="B6" s="103" t="s">
        <v>4249</v>
      </c>
      <c r="C6" s="103" t="s">
        <v>4250</v>
      </c>
      <c r="D6" s="103" t="s">
        <v>4251</v>
      </c>
      <c r="E6" s="103" t="s">
        <v>4252</v>
      </c>
      <c r="F6" s="103" t="s">
        <v>4253</v>
      </c>
      <c r="G6" s="103" t="s">
        <v>4254</v>
      </c>
      <c r="H6" s="103" t="s">
        <v>4255</v>
      </c>
      <c r="I6" s="103" t="s">
        <v>4256</v>
      </c>
      <c r="J6" s="103" t="s">
        <v>4257</v>
      </c>
      <c r="K6" s="103" t="s">
        <v>4258</v>
      </c>
      <c r="L6" s="96" t="s">
        <v>4259</v>
      </c>
      <c r="M6" s="96" t="s">
        <v>4260</v>
      </c>
    </row>
    <row r="7" customFormat="false" ht="15" hidden="false" customHeight="true" outlineLevel="0" collapsed="false">
      <c r="B7" s="149" t="s">
        <v>4261</v>
      </c>
    </row>
    <row r="8" customFormat="false" ht="15" hidden="false" customHeight="true" outlineLevel="0" collapsed="false">
      <c r="B8" s="1" t="s">
        <v>4262</v>
      </c>
      <c r="C8" s="143" t="n">
        <v>0.02</v>
      </c>
      <c r="G8" s="97" t="s">
        <v>4263</v>
      </c>
      <c r="H8" s="23" t="s">
        <v>4264</v>
      </c>
      <c r="I8" s="23" t="s">
        <v>4265</v>
      </c>
      <c r="J8" s="23"/>
      <c r="K8" s="23" t="s">
        <v>4266</v>
      </c>
    </row>
    <row r="9" customFormat="false" ht="15" hidden="false" customHeight="true" outlineLevel="0" collapsed="false">
      <c r="B9" s="1" t="s">
        <v>4267</v>
      </c>
      <c r="C9" s="143" t="n">
        <v>0.03</v>
      </c>
      <c r="F9" s="143" t="n">
        <v>0.025</v>
      </c>
      <c r="G9" s="97" t="s">
        <v>4268</v>
      </c>
      <c r="H9" s="23" t="s">
        <v>4269</v>
      </c>
      <c r="I9" s="23" t="s">
        <v>4270</v>
      </c>
      <c r="J9" s="23" t="s">
        <v>4271</v>
      </c>
      <c r="K9" s="23" t="s">
        <v>4266</v>
      </c>
    </row>
    <row r="10" customFormat="false" ht="15" hidden="false" customHeight="true" outlineLevel="0" collapsed="false">
      <c r="B10" s="1" t="s">
        <v>4272</v>
      </c>
      <c r="C10" s="143" t="n">
        <v>0.01</v>
      </c>
      <c r="F10" s="143" t="n">
        <v>0.007</v>
      </c>
      <c r="G10" s="97" t="s">
        <v>4273</v>
      </c>
      <c r="H10" s="23" t="s">
        <v>4274</v>
      </c>
      <c r="I10" s="23" t="s">
        <v>4275</v>
      </c>
      <c r="J10" s="23"/>
      <c r="K10" s="23" t="s">
        <v>4266</v>
      </c>
    </row>
    <row r="11" customFormat="false" ht="15" hidden="false" customHeight="true" outlineLevel="0" collapsed="false">
      <c r="B11" s="1" t="s">
        <v>4276</v>
      </c>
      <c r="C11" s="150" t="n">
        <f aca="false">ROUND(((1+Set_invGross-IF(ISNUMBER(Suggest_Fund_Charges),Suggest_Fund_Charges,0.01))^Deemed_Disposal_Years-Exit_Tax*((1+Set_invGross-IF(ISNUMBER(Suggest_Fund_Charges),Suggest_Fund_Charges,0.01))^Deemed_Disposal_Years-1))^(1/Deemed_Disposal_Years)-1,3)</f>
        <v>0.026</v>
      </c>
      <c r="F11" s="150" t="n">
        <f aca="false">ROUND(((1+Set_invGross-0.01-IF(ISNUMBER(Suggest_Fund_Charges),Suggest_Fund_Charges,0.01))^Deemed_Disposal_Years-Exit_Tax*((1+Set_invGross-0.01-IF(ISNUMBER(Suggest_Fund_Charges),Suggest_Fund_Charges,0.01))^Deemed_Disposal_Years-1))^(1/Deemed_Disposal_Years)-1,3)</f>
        <v>0.019</v>
      </c>
      <c r="G11" s="97"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4277</v>
      </c>
      <c r="I11" s="23" t="s">
        <v>4270</v>
      </c>
      <c r="J11" s="23" t="s">
        <v>4278</v>
      </c>
      <c r="K11" s="23" t="s">
        <v>4266</v>
      </c>
    </row>
    <row r="12" customFormat="false" ht="15" hidden="false" customHeight="true" outlineLevel="0" collapsed="false">
      <c r="B12" s="1" t="s">
        <v>4279</v>
      </c>
      <c r="C12" s="143" t="n">
        <v>0.05</v>
      </c>
      <c r="G12" s="97" t="s">
        <v>4280</v>
      </c>
      <c r="H12" s="23" t="s">
        <v>4281</v>
      </c>
      <c r="I12" s="23" t="s">
        <v>4270</v>
      </c>
      <c r="J12" s="23" t="s">
        <v>4282</v>
      </c>
      <c r="K12" s="23" t="s">
        <v>4266</v>
      </c>
    </row>
    <row r="13" customFormat="false" ht="15" hidden="false" customHeight="true" outlineLevel="0" collapsed="false">
      <c r="B13" s="1" t="s">
        <v>4283</v>
      </c>
      <c r="C13" s="143" t="n">
        <v>0.045</v>
      </c>
      <c r="F13" s="143" t="n">
        <v>0.04</v>
      </c>
      <c r="G13" s="97" t="s">
        <v>4284</v>
      </c>
      <c r="H13" s="23" t="s">
        <v>4285</v>
      </c>
      <c r="I13" s="23" t="s">
        <v>4270</v>
      </c>
      <c r="J13" s="23" t="s">
        <v>4286</v>
      </c>
      <c r="K13" s="23" t="s">
        <v>4266</v>
      </c>
    </row>
    <row r="14" customFormat="false" ht="15" hidden="false" customHeight="true" outlineLevel="0" collapsed="false">
      <c r="B14" s="1" t="s">
        <v>4287</v>
      </c>
      <c r="C14" s="143" t="n">
        <v>0.0315</v>
      </c>
      <c r="F14" s="143" t="n">
        <v>0.028</v>
      </c>
      <c r="G14" s="97" t="s">
        <v>4288</v>
      </c>
      <c r="H14" s="23" t="s">
        <v>4285</v>
      </c>
      <c r="I14" s="23" t="s">
        <v>4270</v>
      </c>
      <c r="J14" s="23" t="s">
        <v>4289</v>
      </c>
      <c r="K14" s="23" t="s">
        <v>4266</v>
      </c>
    </row>
    <row r="15" customFormat="false" ht="15" hidden="false" customHeight="true" outlineLevel="0" collapsed="false">
      <c r="B15" s="149" t="s">
        <v>3411</v>
      </c>
    </row>
    <row r="16" customFormat="false" ht="15" hidden="false" customHeight="true" outlineLevel="0" collapsed="false">
      <c r="B16" s="1" t="s">
        <v>4290</v>
      </c>
      <c r="C16" s="143" t="n">
        <v>0.03</v>
      </c>
      <c r="G16" s="97" t="s">
        <v>4291</v>
      </c>
      <c r="H16" s="23" t="s">
        <v>4292</v>
      </c>
      <c r="I16" s="23" t="s">
        <v>4270</v>
      </c>
      <c r="J16" s="23" t="s">
        <v>4293</v>
      </c>
      <c r="K16" s="23" t="s">
        <v>4294</v>
      </c>
    </row>
    <row r="17" customFormat="false" ht="15" hidden="false" customHeight="true" outlineLevel="0" collapsed="false">
      <c r="B17" s="1" t="s">
        <v>4295</v>
      </c>
      <c r="C17" s="143" t="n">
        <v>0.02</v>
      </c>
      <c r="G17" s="97" t="s">
        <v>4296</v>
      </c>
      <c r="H17" s="23" t="s">
        <v>4297</v>
      </c>
      <c r="I17" s="23" t="s">
        <v>4270</v>
      </c>
      <c r="J17" s="23" t="s">
        <v>4298</v>
      </c>
      <c r="K17" s="23" t="s">
        <v>4294</v>
      </c>
    </row>
    <row r="18" customFormat="false" ht="15" hidden="false" customHeight="true" outlineLevel="0" collapsed="false">
      <c r="B18" s="1" t="s">
        <v>4299</v>
      </c>
      <c r="C18" s="143" t="n">
        <v>0.01</v>
      </c>
      <c r="G18" s="97" t="s">
        <v>4300</v>
      </c>
      <c r="H18" s="23" t="s">
        <v>4301</v>
      </c>
      <c r="I18" s="23" t="s">
        <v>4270</v>
      </c>
      <c r="J18" s="23"/>
      <c r="K18" s="23" t="s">
        <v>4294</v>
      </c>
    </row>
    <row r="19" customFormat="false" ht="15" hidden="false" customHeight="true" outlineLevel="0" collapsed="false">
      <c r="B19" s="149" t="s">
        <v>4302</v>
      </c>
    </row>
    <row r="20" customFormat="false" ht="15" hidden="false" customHeight="true" outlineLevel="0" collapsed="false">
      <c r="B20" s="1" t="s">
        <v>4303</v>
      </c>
      <c r="C20" s="143" t="n">
        <v>0.5</v>
      </c>
      <c r="G20" s="97" t="s">
        <v>4304</v>
      </c>
      <c r="H20" s="23" t="s">
        <v>4305</v>
      </c>
      <c r="I20" s="23" t="s">
        <v>4270</v>
      </c>
      <c r="J20" s="23" t="s">
        <v>4306</v>
      </c>
      <c r="K20" s="23" t="s">
        <v>4307</v>
      </c>
    </row>
    <row r="21" customFormat="false" ht="15" hidden="false" customHeight="true" outlineLevel="0" collapsed="false">
      <c r="B21" s="1" t="s">
        <v>4308</v>
      </c>
      <c r="C21" s="97" t="n">
        <v>25</v>
      </c>
      <c r="G21" s="97" t="s">
        <v>4309</v>
      </c>
      <c r="H21" s="23" t="s">
        <v>4310</v>
      </c>
      <c r="I21" s="23" t="s">
        <v>4270</v>
      </c>
      <c r="J21" s="23" t="s">
        <v>4311</v>
      </c>
      <c r="K21" s="23" t="s">
        <v>4312</v>
      </c>
    </row>
    <row r="22" customFormat="false" ht="15" hidden="false" customHeight="true" outlineLevel="0" collapsed="false">
      <c r="B22" s="1" t="s">
        <v>4313</v>
      </c>
      <c r="C22" s="143" t="n">
        <v>0.8</v>
      </c>
      <c r="G22" s="97" t="s">
        <v>4314</v>
      </c>
      <c r="H22" s="23" t="s">
        <v>4315</v>
      </c>
      <c r="I22" s="23" t="s">
        <v>4270</v>
      </c>
      <c r="J22" s="23"/>
      <c r="K22" s="23" t="s">
        <v>4307</v>
      </c>
    </row>
    <row r="23" customFormat="false" ht="15" hidden="false" customHeight="true" outlineLevel="0" collapsed="false">
      <c r="B23" s="1" t="s">
        <v>4316</v>
      </c>
      <c r="C23" s="143" t="n">
        <v>0.25</v>
      </c>
      <c r="G23" s="97" t="s">
        <v>4317</v>
      </c>
      <c r="H23" s="23" t="s">
        <v>4318</v>
      </c>
      <c r="I23" s="23" t="s">
        <v>4319</v>
      </c>
      <c r="J23" s="23"/>
      <c r="K23" s="23" t="s">
        <v>4307</v>
      </c>
    </row>
    <row r="24" customFormat="false" ht="15" hidden="false" customHeight="true" outlineLevel="0" collapsed="false">
      <c r="B24" s="149" t="s">
        <v>4320</v>
      </c>
    </row>
    <row r="25" customFormat="false" ht="15" hidden="false" customHeight="true" outlineLevel="0" collapsed="false">
      <c r="B25" s="1" t="s">
        <v>4321</v>
      </c>
      <c r="C25" s="97" t="n">
        <v>6</v>
      </c>
      <c r="G25" s="97" t="s">
        <v>4322</v>
      </c>
      <c r="H25" s="23" t="s">
        <v>4323</v>
      </c>
      <c r="I25" s="23" t="s">
        <v>4270</v>
      </c>
      <c r="J25" s="23" t="s">
        <v>4324</v>
      </c>
      <c r="K25" s="23" t="s">
        <v>4325</v>
      </c>
    </row>
    <row r="26" customFormat="false" ht="15" hidden="false" customHeight="true" outlineLevel="0" collapsed="false">
      <c r="B26" s="1" t="s">
        <v>4326</v>
      </c>
      <c r="C26" s="97" t="n">
        <v>3</v>
      </c>
      <c r="G26" s="97" t="s">
        <v>4327</v>
      </c>
      <c r="H26" s="23" t="s">
        <v>4328</v>
      </c>
      <c r="I26" s="23" t="s">
        <v>4270</v>
      </c>
      <c r="J26" s="23"/>
      <c r="K26" s="23" t="s">
        <v>4325</v>
      </c>
    </row>
    <row r="27" customFormat="false" ht="15" hidden="false" customHeight="true" outlineLevel="0" collapsed="false">
      <c r="B27" s="1" t="s">
        <v>4329</v>
      </c>
      <c r="C27" s="97" t="n">
        <v>5</v>
      </c>
      <c r="G27" s="97" t="s">
        <v>4330</v>
      </c>
      <c r="H27" s="23" t="s">
        <v>4331</v>
      </c>
      <c r="I27" s="23" t="s">
        <v>4270</v>
      </c>
      <c r="J27" s="23" t="s">
        <v>4332</v>
      </c>
      <c r="K27" s="23" t="s">
        <v>4333</v>
      </c>
    </row>
    <row r="28" customFormat="false" ht="15" hidden="false" customHeight="true" outlineLevel="0" collapsed="false">
      <c r="B28" s="1" t="s">
        <v>4334</v>
      </c>
      <c r="C28" s="143" t="n">
        <v>0.4</v>
      </c>
      <c r="G28" s="97" t="s">
        <v>4335</v>
      </c>
      <c r="H28" s="23" t="s">
        <v>4336</v>
      </c>
      <c r="I28" s="23" t="s">
        <v>4270</v>
      </c>
      <c r="J28" s="23"/>
      <c r="K28" s="23" t="s">
        <v>4337</v>
      </c>
    </row>
    <row r="29" customFormat="false" ht="15" hidden="false" customHeight="true" outlineLevel="0" collapsed="false">
      <c r="B29" s="1" t="s">
        <v>4338</v>
      </c>
      <c r="C29" s="143" t="n">
        <v>0.5</v>
      </c>
      <c r="G29" s="97" t="s">
        <v>4339</v>
      </c>
      <c r="H29" s="23" t="s">
        <v>4340</v>
      </c>
      <c r="I29" s="23" t="s">
        <v>4270</v>
      </c>
      <c r="J29" s="23" t="s">
        <v>4341</v>
      </c>
      <c r="K29" s="23" t="s">
        <v>4337</v>
      </c>
    </row>
    <row r="30" customFormat="false" ht="15" hidden="false" customHeight="true" outlineLevel="0" collapsed="false">
      <c r="B30" s="1" t="s">
        <v>4342</v>
      </c>
      <c r="C30" s="142" t="n">
        <v>300</v>
      </c>
      <c r="G30" s="97" t="s">
        <v>4343</v>
      </c>
      <c r="H30" s="23" t="s">
        <v>4340</v>
      </c>
      <c r="I30" s="23" t="s">
        <v>4270</v>
      </c>
      <c r="J30" s="23" t="s">
        <v>4344</v>
      </c>
      <c r="K30" s="23" t="s">
        <v>4345</v>
      </c>
    </row>
    <row r="31" customFormat="false" ht="15" hidden="false" customHeight="true" outlineLevel="0" collapsed="false">
      <c r="B31" s="149" t="s">
        <v>80</v>
      </c>
    </row>
    <row r="32" customFormat="false" ht="15" hidden="false" customHeight="true" outlineLevel="0" collapsed="false">
      <c r="B32" s="1" t="s">
        <v>4346</v>
      </c>
      <c r="C32" s="143" t="n">
        <v>0.6</v>
      </c>
      <c r="G32" s="97" t="s">
        <v>4347</v>
      </c>
      <c r="H32" s="23" t="s">
        <v>4348</v>
      </c>
      <c r="I32" s="23" t="s">
        <v>4270</v>
      </c>
      <c r="J32" s="23"/>
      <c r="K32" s="23" t="s">
        <v>4349</v>
      </c>
    </row>
    <row r="33" customFormat="false" ht="15" hidden="false" customHeight="true" outlineLevel="0" collapsed="false">
      <c r="B33" s="1" t="s">
        <v>4350</v>
      </c>
      <c r="C33" s="97" t="n">
        <v>15</v>
      </c>
      <c r="G33" s="97" t="s">
        <v>4351</v>
      </c>
      <c r="H33" s="23" t="s">
        <v>4348</v>
      </c>
      <c r="I33" s="23" t="s">
        <v>4270</v>
      </c>
      <c r="J33" s="23"/>
      <c r="K33" s="23" t="s">
        <v>4352</v>
      </c>
    </row>
    <row r="34" customFormat="false" ht="15" hidden="false" customHeight="true" outlineLevel="0" collapsed="false">
      <c r="B34" s="149" t="s">
        <v>4353</v>
      </c>
    </row>
    <row r="35" customFormat="false" ht="15" hidden="false" customHeight="true" outlineLevel="0" collapsed="false">
      <c r="B35" s="1" t="s">
        <v>4354</v>
      </c>
      <c r="C35" s="151" t="n">
        <v>0.02</v>
      </c>
      <c r="D35" s="151" t="n">
        <v>0.04</v>
      </c>
      <c r="E35" s="151" t="n">
        <v>0.06</v>
      </c>
      <c r="G35" s="97" t="s">
        <v>4355</v>
      </c>
      <c r="H35" s="23" t="s">
        <v>4356</v>
      </c>
      <c r="I35" s="23" t="s">
        <v>4270</v>
      </c>
      <c r="J35" s="23" t="s">
        <v>4357</v>
      </c>
      <c r="K35" s="23" t="s">
        <v>4358</v>
      </c>
    </row>
    <row r="36" customFormat="false" ht="15" hidden="false" customHeight="true" outlineLevel="0" collapsed="false">
      <c r="B36" s="1" t="s">
        <v>4359</v>
      </c>
      <c r="C36" s="151" t="n">
        <v>0.05</v>
      </c>
      <c r="D36" s="151" t="n">
        <v>0.1</v>
      </c>
      <c r="E36" s="151" t="n">
        <v>0.16</v>
      </c>
      <c r="G36" s="97" t="s">
        <v>4355</v>
      </c>
      <c r="H36" s="23" t="s">
        <v>4356</v>
      </c>
      <c r="I36" s="23" t="s">
        <v>4270</v>
      </c>
      <c r="J36" s="23" t="s">
        <v>4360</v>
      </c>
      <c r="K36" s="23" t="s">
        <v>4358</v>
      </c>
    </row>
    <row r="37" customFormat="false" ht="15" hidden="false" customHeight="true" outlineLevel="0" collapsed="false">
      <c r="B37" s="1" t="s">
        <v>4361</v>
      </c>
      <c r="C37" s="151" t="n">
        <v>0.5</v>
      </c>
      <c r="D37" s="151" t="n">
        <v>0.3</v>
      </c>
      <c r="E37" s="151" t="n">
        <v>0.2</v>
      </c>
      <c r="G37" s="97" t="s">
        <v>4362</v>
      </c>
      <c r="H37" s="23" t="s">
        <v>4363</v>
      </c>
      <c r="I37" s="23" t="s">
        <v>4270</v>
      </c>
      <c r="J37" s="23"/>
      <c r="K37" s="23" t="s">
        <v>4358</v>
      </c>
    </row>
    <row r="38" customFormat="false" ht="15" hidden="false" customHeight="true" outlineLevel="0" collapsed="false">
      <c r="B38" s="149" t="s">
        <v>4364</v>
      </c>
    </row>
    <row r="39" customFormat="false" ht="15" hidden="false" customHeight="true" outlineLevel="0" collapsed="false">
      <c r="B39" s="1" t="s">
        <v>4365</v>
      </c>
      <c r="C39" s="97" t="s">
        <v>4366</v>
      </c>
      <c r="G39" s="97" t="s">
        <v>4367</v>
      </c>
      <c r="H39" s="23" t="s">
        <v>4368</v>
      </c>
      <c r="I39" s="23" t="s">
        <v>4270</v>
      </c>
      <c r="J39" s="23" t="s">
        <v>4369</v>
      </c>
      <c r="K39" s="23" t="s">
        <v>4370</v>
      </c>
    </row>
    <row r="40" customFormat="false" ht="15" hidden="false" customHeight="true" outlineLevel="0" collapsed="false">
      <c r="B40" s="1" t="s">
        <v>4371</v>
      </c>
      <c r="C40" s="97" t="s">
        <v>4366</v>
      </c>
      <c r="G40" s="97" t="s">
        <v>4372</v>
      </c>
      <c r="H40" s="23" t="s">
        <v>4373</v>
      </c>
      <c r="I40" s="23" t="s">
        <v>4270</v>
      </c>
      <c r="J40" s="23" t="s">
        <v>4374</v>
      </c>
      <c r="K40" s="23" t="s">
        <v>4370</v>
      </c>
    </row>
    <row r="41" customFormat="false" ht="15" hidden="false" customHeight="true" outlineLevel="0" collapsed="false">
      <c r="B41" s="1" t="s">
        <v>4375</v>
      </c>
      <c r="C41" s="97" t="s">
        <v>4376</v>
      </c>
      <c r="G41" s="97" t="s">
        <v>4377</v>
      </c>
      <c r="H41" s="23" t="s">
        <v>4378</v>
      </c>
      <c r="I41" s="23" t="s">
        <v>4270</v>
      </c>
      <c r="J41" s="23"/>
      <c r="K41" s="23" t="s">
        <v>4370</v>
      </c>
    </row>
    <row r="42" customFormat="false" ht="15" hidden="false" customHeight="true" outlineLevel="0" collapsed="false">
      <c r="B42" s="1" t="s">
        <v>4379</v>
      </c>
      <c r="C42" s="97" t="s">
        <v>1955</v>
      </c>
      <c r="G42" s="97" t="s">
        <v>4380</v>
      </c>
      <c r="H42" s="23" t="s">
        <v>4381</v>
      </c>
      <c r="I42" s="23" t="s">
        <v>4270</v>
      </c>
      <c r="J42" s="23"/>
      <c r="K42" s="23" t="s">
        <v>4370</v>
      </c>
    </row>
    <row r="43" customFormat="false" ht="15" hidden="false" customHeight="true" outlineLevel="0" collapsed="false">
      <c r="B43" s="1" t="s">
        <v>4382</v>
      </c>
      <c r="C43" s="97" t="n">
        <v>5</v>
      </c>
      <c r="G43" s="97" t="s">
        <v>4383</v>
      </c>
      <c r="H43" s="23" t="s">
        <v>4384</v>
      </c>
      <c r="I43" s="23" t="s">
        <v>4270</v>
      </c>
      <c r="J43" s="23"/>
      <c r="K43" s="23" t="s">
        <v>4385</v>
      </c>
    </row>
    <row r="44" customFormat="false" ht="15" hidden="false" customHeight="true" outlineLevel="0" collapsed="false">
      <c r="B44" s="1" t="s">
        <v>4386</v>
      </c>
      <c r="C44" s="97" t="n">
        <v>2</v>
      </c>
      <c r="G44" s="97" t="s">
        <v>4387</v>
      </c>
      <c r="H44" s="23" t="s">
        <v>4388</v>
      </c>
      <c r="I44" s="23" t="s">
        <v>4270</v>
      </c>
      <c r="J44" s="23"/>
      <c r="K44" s="23" t="s">
        <v>4389</v>
      </c>
    </row>
    <row r="45" customFormat="false" ht="15" hidden="false" customHeight="true" outlineLevel="0" collapsed="false">
      <c r="B45" s="149" t="s">
        <v>4390</v>
      </c>
    </row>
    <row r="46" customFormat="false" ht="15" hidden="false" customHeight="true" outlineLevel="0" collapsed="false">
      <c r="B46" s="1" t="s">
        <v>4391</v>
      </c>
      <c r="C46" s="143" t="n">
        <v>0.0348</v>
      </c>
      <c r="D46" s="143"/>
      <c r="G46" s="97" t="s">
        <v>4392</v>
      </c>
      <c r="H46" s="23" t="s">
        <v>4393</v>
      </c>
      <c r="I46" s="23" t="s">
        <v>4394</v>
      </c>
      <c r="J46" s="23" t="s">
        <v>4395</v>
      </c>
      <c r="K46" s="23" t="s">
        <v>4396</v>
      </c>
      <c r="L46" s="23" t="str">
        <f aca="false">IF(D46&lt;&gt;"","Suggested by "&amp;IF(Partner_Name="","your provider",Partner_Name),G46)</f>
        <v>Central Bank of Ireland: average rate on new mortgages, Jul 2026</v>
      </c>
      <c r="M46" s="101" t="n">
        <f aca="false">IF(D46&lt;&gt;"",D46,IF(C46&lt;&gt;"",C46,""))</f>
        <v>0.0348</v>
      </c>
    </row>
    <row r="47" customFormat="false" ht="15" hidden="false" customHeight="true" outlineLevel="0" collapsed="false">
      <c r="B47" s="1" t="s">
        <v>4397</v>
      </c>
      <c r="C47" s="143" t="n">
        <v>0.0672</v>
      </c>
      <c r="D47" s="143"/>
      <c r="G47" s="97" t="s">
        <v>4398</v>
      </c>
      <c r="H47" s="23" t="s">
        <v>4393</v>
      </c>
      <c r="I47" s="23" t="s">
        <v>4394</v>
      </c>
      <c r="J47" s="23" t="s">
        <v>4399</v>
      </c>
      <c r="K47" s="23" t="s">
        <v>4396</v>
      </c>
      <c r="L47" s="23" t="str">
        <f aca="false">IF(D47&lt;&gt;"","Suggested by "&amp;IF(Partner_Name="","your provider",Partner_Name),G47)</f>
        <v>Central Bank of Ireland: average rate on new consumer loans, Jul 2026</v>
      </c>
      <c r="M47" s="101" t="n">
        <f aca="false">IF(D47&lt;&gt;"",D47,IF(C47&lt;&gt;"",C47,""))</f>
        <v>0.0672</v>
      </c>
    </row>
    <row r="48" customFormat="false" ht="15" hidden="false" customHeight="true" outlineLevel="0" collapsed="false">
      <c r="B48" s="1" t="s">
        <v>4400</v>
      </c>
      <c r="C48" s="143"/>
      <c r="D48" s="143"/>
      <c r="G48" s="97" t="s">
        <v>4401</v>
      </c>
      <c r="H48" s="23" t="s">
        <v>4393</v>
      </c>
      <c r="I48" s="23" t="s">
        <v>4402</v>
      </c>
      <c r="J48" s="23" t="s">
        <v>4403</v>
      </c>
      <c r="K48" s="23" t="s">
        <v>4396</v>
      </c>
      <c r="L48" s="23" t="str">
        <f aca="false">IF(D48&lt;&gt;"","Suggested by "&amp;IF(Partner_Name="","your provider",Partner_Name),G48)</f>
        <v>No published average</v>
      </c>
      <c r="M48" s="101" t="str">
        <f aca="false">IF(D48&lt;&gt;"",D48,IF(C48&lt;&gt;"",C48,""))</f>
        <v/>
      </c>
    </row>
    <row r="49" customFormat="false" ht="15" hidden="false" customHeight="true" outlineLevel="0" collapsed="false">
      <c r="B49" s="1" t="s">
        <v>4404</v>
      </c>
      <c r="C49" s="143" t="n">
        <v>0.0192</v>
      </c>
      <c r="D49" s="143"/>
      <c r="G49" s="97" t="s">
        <v>4405</v>
      </c>
      <c r="H49" s="23" t="s">
        <v>4393</v>
      </c>
      <c r="I49" s="23" t="s">
        <v>4394</v>
      </c>
      <c r="J49" s="23" t="s">
        <v>4406</v>
      </c>
      <c r="K49" s="23" t="s">
        <v>4396</v>
      </c>
      <c r="L49" s="23" t="str">
        <f aca="false">IF(D49&lt;&gt;"","Suggested by "&amp;IF(Partner_Name="","your provider",Partner_Name),G49)</f>
        <v>Central Bank of Ireland: average rate on new fixed-term household deposits, Jul 2026</v>
      </c>
      <c r="M49" s="101" t="n">
        <f aca="false">IF(D49&lt;&gt;"",D49,IF(C49&lt;&gt;"",C49,""))</f>
        <v>0.0192</v>
      </c>
    </row>
    <row r="50" customFormat="false" ht="15" hidden="false" customHeight="true" outlineLevel="0" collapsed="false">
      <c r="B50" s="1" t="s">
        <v>4407</v>
      </c>
      <c r="C50" s="142"/>
      <c r="D50" s="142"/>
      <c r="G50" s="97" t="s">
        <v>4408</v>
      </c>
      <c r="H50" s="23" t="s">
        <v>4408</v>
      </c>
      <c r="I50" s="23" t="s">
        <v>4402</v>
      </c>
      <c r="J50" s="23"/>
      <c r="K50" s="23" t="s">
        <v>4409</v>
      </c>
      <c r="L50" s="23" t="str">
        <f aca="false">IF(D50&lt;&gt;"","Suggested by "&amp;IF(Partner_Name="","your provider",Partner_Name),G50)</f>
        <v>No published figure</v>
      </c>
      <c r="M50" s="102" t="str">
        <f aca="false">IF(D50&lt;&gt;"",D50,IF(C50&lt;&gt;"",C50,""))</f>
        <v/>
      </c>
    </row>
    <row r="51" customFormat="false" ht="15" hidden="false" customHeight="true" outlineLevel="0" collapsed="false">
      <c r="B51" s="1" t="s">
        <v>4410</v>
      </c>
      <c r="C51" s="143" t="n">
        <v>0.01</v>
      </c>
      <c r="D51" s="143"/>
      <c r="G51" s="97" t="s">
        <v>4411</v>
      </c>
      <c r="H51" s="23" t="s">
        <v>4412</v>
      </c>
      <c r="I51" s="23" t="s">
        <v>4270</v>
      </c>
      <c r="J51" s="23" t="s">
        <v>4413</v>
      </c>
      <c r="K51" s="23" t="s">
        <v>4396</v>
      </c>
      <c r="L51" s="23" t="str">
        <f aca="false">IF(D51&lt;&gt;"","Suggested by "&amp;IF(Partner_Name="","your provider",Partner_Name),G51)</f>
        <v>Pensions Authority pension calculator assumption</v>
      </c>
      <c r="M51" s="101" t="n">
        <f aca="false">IF(D51&lt;&gt;"",D51,IF(C51&lt;&gt;"",C51,""))</f>
        <v>0.01</v>
      </c>
    </row>
    <row r="52" customFormat="false" ht="15" hidden="false" customHeight="true" outlineLevel="0" collapsed="false">
      <c r="B52" s="149" t="s">
        <v>4414</v>
      </c>
    </row>
    <row r="53" customFormat="false" ht="15" hidden="false" customHeight="true" outlineLevel="0" collapsed="false">
      <c r="B53" s="1" t="s">
        <v>4415</v>
      </c>
      <c r="C53" s="97" t="n">
        <v>83</v>
      </c>
      <c r="G53" s="97" t="s">
        <v>4416</v>
      </c>
      <c r="H53" s="23" t="s">
        <v>4417</v>
      </c>
      <c r="I53" s="23" t="s">
        <v>4418</v>
      </c>
      <c r="J53" s="23"/>
      <c r="K53" s="23" t="s">
        <v>4419</v>
      </c>
    </row>
    <row r="54" customFormat="false" ht="15" hidden="false" customHeight="true" outlineLevel="0" collapsed="false">
      <c r="B54" s="1" t="s">
        <v>4420</v>
      </c>
      <c r="C54" s="97" t="n">
        <v>86</v>
      </c>
      <c r="G54" s="97" t="s">
        <v>4416</v>
      </c>
      <c r="H54" s="23" t="s">
        <v>4417</v>
      </c>
      <c r="I54" s="23" t="s">
        <v>4421</v>
      </c>
      <c r="J54" s="23"/>
      <c r="K54" s="23" t="s">
        <v>4419</v>
      </c>
    </row>
    <row r="55" customFormat="false" ht="15" hidden="false" customHeight="true" outlineLevel="0" collapsed="false">
      <c r="B55" s="149" t="s">
        <v>4422</v>
      </c>
    </row>
    <row r="56" customFormat="false" ht="15" hidden="false" customHeight="true" outlineLevel="0" collapsed="false">
      <c r="B56" s="1" t="s">
        <v>4423</v>
      </c>
      <c r="C56" s="117" t="n">
        <v>0.039</v>
      </c>
      <c r="G56" s="1" t="s">
        <v>4424</v>
      </c>
    </row>
    <row r="57" customFormat="false" ht="15" hidden="false" customHeight="true" outlineLevel="0" collapsed="false">
      <c r="B57" s="1" t="s">
        <v>4425</v>
      </c>
      <c r="C57" s="152" t="n">
        <v>0.23</v>
      </c>
      <c r="G57" s="1" t="s">
        <v>4426</v>
      </c>
      <c r="H57" s="1" t="s">
        <v>4427</v>
      </c>
      <c r="I57" s="1" t="s">
        <v>4428</v>
      </c>
    </row>
    <row r="59" customFormat="false" ht="15" hidden="false" customHeight="true" outlineLevel="0" collapsed="false">
      <c r="B59" s="1" t="s">
        <v>4429</v>
      </c>
      <c r="C59" s="97" t="n">
        <v>60</v>
      </c>
      <c r="G59" s="97" t="s">
        <v>4430</v>
      </c>
      <c r="H59" s="23" t="s">
        <v>4431</v>
      </c>
      <c r="I59" s="23" t="s">
        <v>4270</v>
      </c>
      <c r="J59" s="23" t="s">
        <v>4432</v>
      </c>
      <c r="K59" s="23" t="s">
        <v>4433</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7" t="s">
        <v>4434</v>
      </c>
    </row>
    <row r="2" customFormat="false" ht="15" hidden="false" customHeight="true" outlineLevel="0" collapsed="false">
      <c r="B2" s="153" t="s">
        <v>4435</v>
      </c>
    </row>
    <row r="3" customFormat="false" ht="39.75" hidden="false" customHeight="true" outlineLevel="0" collapsed="false">
      <c r="B3" s="154" t="s">
        <v>4436</v>
      </c>
      <c r="C3" s="154"/>
      <c r="D3" s="154"/>
      <c r="E3" s="154"/>
      <c r="F3" s="154"/>
      <c r="G3" s="154"/>
    </row>
    <row r="4" customFormat="false" ht="15" hidden="false" customHeight="true" outlineLevel="0" collapsed="false">
      <c r="B4" s="23" t="s">
        <v>4437</v>
      </c>
    </row>
    <row r="5" customFormat="false" ht="15" hidden="false" customHeight="true" outlineLevel="0" collapsed="false">
      <c r="B5" s="15" t="s">
        <v>4438</v>
      </c>
      <c r="C5" s="16"/>
      <c r="D5" s="16"/>
      <c r="E5" s="16"/>
      <c r="F5" s="16"/>
      <c r="G5" s="16"/>
      <c r="H5" s="16"/>
    </row>
    <row r="6" customFormat="false" ht="15" hidden="false" customHeight="true" outlineLevel="0" collapsed="false">
      <c r="B6" s="18" t="s">
        <v>4439</v>
      </c>
      <c r="C6" s="18" t="s">
        <v>1545</v>
      </c>
      <c r="D6" s="18" t="s">
        <v>4440</v>
      </c>
      <c r="E6" s="18" t="s">
        <v>4441</v>
      </c>
      <c r="F6" s="18" t="s">
        <v>4442</v>
      </c>
      <c r="G6" s="18" t="s">
        <v>4443</v>
      </c>
      <c r="H6" s="18" t="s">
        <v>4444</v>
      </c>
    </row>
    <row r="7" customFormat="false" ht="39.75" hidden="false" customHeight="true" outlineLevel="0" collapsed="false">
      <c r="B7" s="155"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55"/>
      <c r="D7" s="155"/>
      <c r="E7" s="156" t="s">
        <v>4445</v>
      </c>
    </row>
    <row r="8" customFormat="false" ht="15" hidden="false" customHeight="true" outlineLevel="0" collapsed="false">
      <c r="B8" s="15" t="s">
        <v>4446</v>
      </c>
      <c r="C8" s="16"/>
      <c r="D8" s="16"/>
      <c r="E8" s="16"/>
      <c r="F8" s="16"/>
      <c r="G8" s="16"/>
      <c r="H8" s="16"/>
    </row>
    <row r="9" customFormat="false" ht="15" hidden="false" customHeight="true" outlineLevel="0" collapsed="false">
      <c r="B9" s="18" t="s">
        <v>4439</v>
      </c>
      <c r="C9" s="18" t="s">
        <v>1545</v>
      </c>
      <c r="D9" s="18" t="s">
        <v>4440</v>
      </c>
      <c r="E9" s="18" t="s">
        <v>4441</v>
      </c>
      <c r="F9" s="18" t="s">
        <v>4442</v>
      </c>
      <c r="G9" s="18" t="s">
        <v>4443</v>
      </c>
      <c r="H9" s="18" t="s">
        <v>4444</v>
      </c>
    </row>
    <row r="10" customFormat="false" ht="24" hidden="false" customHeight="true" outlineLevel="0" collapsed="false">
      <c r="B10" s="9" t="s">
        <v>4447</v>
      </c>
      <c r="C10" s="157" t="n">
        <v>44000</v>
      </c>
      <c r="D10" s="19" t="s">
        <v>4448</v>
      </c>
      <c r="E10" s="156" t="s">
        <v>4449</v>
      </c>
      <c r="F10" s="19" t="s">
        <v>4450</v>
      </c>
      <c r="G10" s="158" t="s">
        <v>4451</v>
      </c>
      <c r="H10" s="156" t="s">
        <v>4452</v>
      </c>
    </row>
    <row r="11" customFormat="false" ht="24" hidden="false" customHeight="true" outlineLevel="0" collapsed="false">
      <c r="B11" s="9" t="s">
        <v>4453</v>
      </c>
      <c r="C11" s="157" t="n">
        <v>48000</v>
      </c>
      <c r="D11" s="19" t="s">
        <v>4454</v>
      </c>
      <c r="E11" s="156" t="s">
        <v>4455</v>
      </c>
      <c r="F11" s="19" t="s">
        <v>4450</v>
      </c>
      <c r="G11" s="158" t="s">
        <v>4456</v>
      </c>
      <c r="H11" s="156" t="s">
        <v>4457</v>
      </c>
    </row>
    <row r="12" customFormat="false" ht="24" hidden="false" customHeight="true" outlineLevel="0" collapsed="false">
      <c r="B12" s="9" t="s">
        <v>4458</v>
      </c>
      <c r="C12" s="157" t="n">
        <v>53000</v>
      </c>
      <c r="D12" s="19" t="s">
        <v>4454</v>
      </c>
      <c r="E12" s="156" t="s">
        <v>4449</v>
      </c>
      <c r="F12" s="19" t="s">
        <v>4450</v>
      </c>
      <c r="G12" s="158" t="s">
        <v>4451</v>
      </c>
      <c r="H12" s="156" t="s">
        <v>4459</v>
      </c>
    </row>
    <row r="13" customFormat="false" ht="24" hidden="false" customHeight="true" outlineLevel="0" collapsed="false">
      <c r="B13" s="9" t="s">
        <v>4460</v>
      </c>
      <c r="C13" s="157" t="n">
        <v>35000</v>
      </c>
      <c r="D13" s="19" t="s">
        <v>4454</v>
      </c>
      <c r="E13" s="156" t="s">
        <v>4449</v>
      </c>
      <c r="F13" s="19" t="s">
        <v>4450</v>
      </c>
      <c r="G13" s="158" t="s">
        <v>4451</v>
      </c>
      <c r="H13" s="156" t="s">
        <v>4461</v>
      </c>
    </row>
    <row r="14" customFormat="false" ht="24" hidden="false" customHeight="true" outlineLevel="0" collapsed="false">
      <c r="B14" s="9" t="s">
        <v>4462</v>
      </c>
      <c r="C14" s="159" t="n">
        <v>0.2</v>
      </c>
      <c r="D14" s="19" t="s">
        <v>4454</v>
      </c>
      <c r="E14" s="156" t="s">
        <v>4449</v>
      </c>
      <c r="F14" s="19" t="s">
        <v>4270</v>
      </c>
      <c r="G14" s="158" t="s">
        <v>4451</v>
      </c>
      <c r="H14" s="156" t="s">
        <v>4463</v>
      </c>
    </row>
    <row r="15" customFormat="false" ht="24" hidden="false" customHeight="true" outlineLevel="0" collapsed="false">
      <c r="B15" s="9" t="s">
        <v>4464</v>
      </c>
      <c r="C15" s="159" t="n">
        <v>0.4</v>
      </c>
      <c r="D15" s="19" t="s">
        <v>4465</v>
      </c>
      <c r="E15" s="156" t="s">
        <v>4449</v>
      </c>
      <c r="F15" s="19" t="s">
        <v>4270</v>
      </c>
      <c r="G15" s="158" t="s">
        <v>4451</v>
      </c>
      <c r="H15" s="156" t="s">
        <v>4463</v>
      </c>
    </row>
    <row r="16" customFormat="false" ht="24" hidden="false" customHeight="true" outlineLevel="0" collapsed="false">
      <c r="B16" s="9" t="s">
        <v>4466</v>
      </c>
      <c r="C16" s="157" t="n">
        <v>2000</v>
      </c>
      <c r="D16" s="19" t="s">
        <v>4454</v>
      </c>
      <c r="E16" s="156" t="s">
        <v>4449</v>
      </c>
      <c r="F16" s="19" t="s">
        <v>4270</v>
      </c>
      <c r="G16" s="158" t="s">
        <v>4451</v>
      </c>
      <c r="H16" s="156" t="s">
        <v>4467</v>
      </c>
    </row>
    <row r="17" customFormat="false" ht="24" hidden="false" customHeight="true" outlineLevel="0" collapsed="false">
      <c r="B17" s="9" t="s">
        <v>4468</v>
      </c>
      <c r="C17" s="157" t="n">
        <v>4000</v>
      </c>
      <c r="D17" s="19" t="s">
        <v>4454</v>
      </c>
      <c r="E17" s="156" t="s">
        <v>4449</v>
      </c>
      <c r="F17" s="19" t="s">
        <v>4270</v>
      </c>
      <c r="G17" s="158" t="s">
        <v>4451</v>
      </c>
      <c r="H17" s="156" t="s">
        <v>4467</v>
      </c>
    </row>
    <row r="18" customFormat="false" ht="24" hidden="false" customHeight="true" outlineLevel="0" collapsed="false">
      <c r="B18" s="9" t="s">
        <v>4469</v>
      </c>
      <c r="C18" s="157" t="n">
        <v>2000</v>
      </c>
      <c r="D18" s="19" t="s">
        <v>4454</v>
      </c>
      <c r="E18" s="156" t="s">
        <v>4470</v>
      </c>
      <c r="F18" s="19" t="s">
        <v>4270</v>
      </c>
      <c r="G18" s="158" t="s">
        <v>4451</v>
      </c>
      <c r="H18" s="156" t="s">
        <v>4471</v>
      </c>
    </row>
    <row r="19" customFormat="false" ht="24" hidden="false" customHeight="true" outlineLevel="0" collapsed="false">
      <c r="B19" s="9" t="s">
        <v>4472</v>
      </c>
      <c r="C19" s="159" t="n">
        <v>0.2</v>
      </c>
      <c r="D19" s="19" t="s">
        <v>4454</v>
      </c>
      <c r="E19" s="156" t="s">
        <v>4473</v>
      </c>
      <c r="F19" s="19" t="s">
        <v>4270</v>
      </c>
      <c r="G19" s="158" t="s">
        <v>4451</v>
      </c>
      <c r="H19" s="156" t="s">
        <v>4471</v>
      </c>
    </row>
    <row r="20" customFormat="false" ht="24" hidden="false" customHeight="true" outlineLevel="0" collapsed="false">
      <c r="B20" s="9" t="s">
        <v>4474</v>
      </c>
      <c r="C20" s="157" t="n">
        <v>1900</v>
      </c>
      <c r="D20" s="19" t="s">
        <v>4454</v>
      </c>
      <c r="E20" s="156" t="s">
        <v>4455</v>
      </c>
      <c r="F20" s="19" t="s">
        <v>4450</v>
      </c>
      <c r="G20" s="158" t="s">
        <v>4456</v>
      </c>
      <c r="H20" s="156" t="s">
        <v>4457</v>
      </c>
    </row>
    <row r="21" customFormat="false" ht="24" hidden="false" customHeight="true" outlineLevel="0" collapsed="false">
      <c r="B21" s="9" t="s">
        <v>4475</v>
      </c>
      <c r="C21" s="157" t="n">
        <v>1000</v>
      </c>
      <c r="D21" s="19" t="s">
        <v>4454</v>
      </c>
      <c r="E21" s="156" t="s">
        <v>4455</v>
      </c>
      <c r="F21" s="19" t="s">
        <v>4476</v>
      </c>
      <c r="G21" s="158" t="s">
        <v>4456</v>
      </c>
      <c r="H21" s="156" t="s">
        <v>4477</v>
      </c>
    </row>
    <row r="22" customFormat="false" ht="24" hidden="false" customHeight="true" outlineLevel="0" collapsed="false">
      <c r="B22" s="9" t="s">
        <v>4478</v>
      </c>
      <c r="C22" s="157" t="n">
        <v>2000</v>
      </c>
      <c r="D22" s="19" t="s">
        <v>4454</v>
      </c>
      <c r="E22" s="156" t="s">
        <v>4455</v>
      </c>
      <c r="F22" s="19" t="s">
        <v>4476</v>
      </c>
      <c r="G22" s="158" t="s">
        <v>4456</v>
      </c>
      <c r="H22" s="156" t="s">
        <v>4477</v>
      </c>
    </row>
    <row r="23" customFormat="false" ht="24" hidden="false" customHeight="true" outlineLevel="0" collapsed="false">
      <c r="B23" s="9" t="s">
        <v>4479</v>
      </c>
      <c r="C23" s="157" t="n">
        <v>1950</v>
      </c>
      <c r="D23" s="19" t="s">
        <v>4454</v>
      </c>
      <c r="E23" s="156" t="s">
        <v>4455</v>
      </c>
      <c r="F23" s="19" t="s">
        <v>4270</v>
      </c>
      <c r="G23" s="158" t="s">
        <v>4480</v>
      </c>
      <c r="H23" s="156" t="s">
        <v>4481</v>
      </c>
    </row>
    <row r="24" customFormat="false" ht="15" hidden="false" customHeight="true" outlineLevel="0" collapsed="false">
      <c r="B24" s="15" t="s">
        <v>4482</v>
      </c>
      <c r="C24" s="16"/>
      <c r="D24" s="16"/>
      <c r="E24" s="16"/>
      <c r="F24" s="16"/>
      <c r="G24" s="16"/>
      <c r="H24" s="16"/>
    </row>
    <row r="25" customFormat="false" ht="15" hidden="false" customHeight="true" outlineLevel="0" collapsed="false">
      <c r="B25" s="18" t="s">
        <v>4439</v>
      </c>
      <c r="C25" s="18" t="s">
        <v>1545</v>
      </c>
      <c r="D25" s="18" t="s">
        <v>4440</v>
      </c>
      <c r="E25" s="18" t="s">
        <v>4441</v>
      </c>
      <c r="F25" s="18" t="s">
        <v>4442</v>
      </c>
      <c r="G25" s="18" t="s">
        <v>4443</v>
      </c>
      <c r="H25" s="18" t="s">
        <v>4444</v>
      </c>
    </row>
    <row r="26" customFormat="false" ht="24" hidden="false" customHeight="true" outlineLevel="0" collapsed="false">
      <c r="B26" s="9" t="s">
        <v>4483</v>
      </c>
      <c r="C26" s="157" t="n">
        <v>13000</v>
      </c>
      <c r="D26" s="19" t="s">
        <v>4454</v>
      </c>
      <c r="E26" s="156" t="s">
        <v>4449</v>
      </c>
      <c r="F26" s="19" t="s">
        <v>4270</v>
      </c>
      <c r="G26" s="158" t="s">
        <v>4451</v>
      </c>
      <c r="H26" s="156" t="s">
        <v>4484</v>
      </c>
    </row>
    <row r="27" customFormat="false" ht="24" hidden="false" customHeight="true" outlineLevel="0" collapsed="false">
      <c r="B27" s="9" t="s">
        <v>4485</v>
      </c>
      <c r="C27" s="157" t="n">
        <v>12012</v>
      </c>
      <c r="D27" s="19" t="s">
        <v>4454</v>
      </c>
      <c r="E27" s="156" t="s">
        <v>4449</v>
      </c>
      <c r="F27" s="19" t="s">
        <v>4450</v>
      </c>
      <c r="G27" s="158" t="s">
        <v>4451</v>
      </c>
      <c r="H27" s="156" t="s">
        <v>4486</v>
      </c>
    </row>
    <row r="28" customFormat="false" ht="24" hidden="false" customHeight="true" outlineLevel="0" collapsed="false">
      <c r="B28" s="9" t="s">
        <v>4487</v>
      </c>
      <c r="C28" s="157" t="n">
        <v>28700</v>
      </c>
      <c r="D28" s="19" t="s">
        <v>4454</v>
      </c>
      <c r="E28" s="156" t="s">
        <v>4449</v>
      </c>
      <c r="F28" s="19" t="s">
        <v>4450</v>
      </c>
      <c r="G28" s="158" t="s">
        <v>4451</v>
      </c>
      <c r="H28" s="156" t="s">
        <v>4486</v>
      </c>
    </row>
    <row r="29" customFormat="false" ht="24" hidden="false" customHeight="true" outlineLevel="0" collapsed="false">
      <c r="B29" s="9" t="s">
        <v>4488</v>
      </c>
      <c r="C29" s="157" t="n">
        <v>70044</v>
      </c>
      <c r="D29" s="19" t="s">
        <v>4454</v>
      </c>
      <c r="E29" s="156" t="s">
        <v>4449</v>
      </c>
      <c r="F29" s="19" t="s">
        <v>4450</v>
      </c>
      <c r="G29" s="158" t="s">
        <v>4451</v>
      </c>
      <c r="H29" s="156" t="s">
        <v>4486</v>
      </c>
    </row>
    <row r="30" customFormat="false" ht="24" hidden="false" customHeight="true" outlineLevel="0" collapsed="false">
      <c r="B30" s="9" t="s">
        <v>4489</v>
      </c>
      <c r="C30" s="160" t="n">
        <v>0.005</v>
      </c>
      <c r="D30" s="19" t="s">
        <v>4454</v>
      </c>
      <c r="E30" s="156" t="s">
        <v>4449</v>
      </c>
      <c r="F30" s="19" t="s">
        <v>4270</v>
      </c>
      <c r="G30" s="158" t="s">
        <v>4451</v>
      </c>
      <c r="H30" s="156" t="s">
        <v>4486</v>
      </c>
    </row>
    <row r="31" customFormat="false" ht="24" hidden="false" customHeight="true" outlineLevel="0" collapsed="false">
      <c r="B31" s="9" t="s">
        <v>4490</v>
      </c>
      <c r="C31" s="160" t="n">
        <v>0.02</v>
      </c>
      <c r="D31" s="19" t="s">
        <v>4454</v>
      </c>
      <c r="E31" s="156" t="s">
        <v>4449</v>
      </c>
      <c r="F31" s="19" t="s">
        <v>4270</v>
      </c>
      <c r="G31" s="158" t="s">
        <v>4451</v>
      </c>
      <c r="H31" s="156" t="s">
        <v>4486</v>
      </c>
    </row>
    <row r="32" customFormat="false" ht="24" hidden="false" customHeight="true" outlineLevel="0" collapsed="false">
      <c r="B32" s="9" t="s">
        <v>4491</v>
      </c>
      <c r="C32" s="160" t="n">
        <v>0.03</v>
      </c>
      <c r="D32" s="19" t="s">
        <v>4454</v>
      </c>
      <c r="E32" s="156" t="s">
        <v>4449</v>
      </c>
      <c r="F32" s="19" t="s">
        <v>4270</v>
      </c>
      <c r="G32" s="158" t="s">
        <v>4451</v>
      </c>
      <c r="H32" s="156" t="s">
        <v>4486</v>
      </c>
    </row>
    <row r="33" customFormat="false" ht="24" hidden="false" customHeight="true" outlineLevel="0" collapsed="false">
      <c r="B33" s="9" t="s">
        <v>4492</v>
      </c>
      <c r="C33" s="160" t="n">
        <v>0.08</v>
      </c>
      <c r="D33" s="19" t="s">
        <v>4454</v>
      </c>
      <c r="E33" s="156" t="s">
        <v>4449</v>
      </c>
      <c r="F33" s="19" t="s">
        <v>4270</v>
      </c>
      <c r="G33" s="158" t="s">
        <v>4451</v>
      </c>
      <c r="H33" s="156" t="s">
        <v>4486</v>
      </c>
    </row>
    <row r="34" customFormat="false" ht="39.75" hidden="false" customHeight="true" outlineLevel="0" collapsed="false">
      <c r="B34" s="155" t="s">
        <v>4493</v>
      </c>
      <c r="C34" s="155"/>
      <c r="D34" s="155"/>
      <c r="E34" s="156" t="s">
        <v>4449</v>
      </c>
    </row>
    <row r="35" customFormat="false" ht="15" hidden="false" customHeight="true" outlineLevel="0" collapsed="false">
      <c r="B35" s="15" t="s">
        <v>4494</v>
      </c>
      <c r="C35" s="16"/>
      <c r="D35" s="16"/>
      <c r="E35" s="16"/>
      <c r="F35" s="16"/>
      <c r="G35" s="16"/>
      <c r="H35" s="16"/>
    </row>
    <row r="36" customFormat="false" ht="15" hidden="false" customHeight="true" outlineLevel="0" collapsed="false">
      <c r="B36" s="18" t="s">
        <v>4439</v>
      </c>
      <c r="C36" s="18" t="s">
        <v>1545</v>
      </c>
      <c r="D36" s="18" t="s">
        <v>4440</v>
      </c>
      <c r="E36" s="18" t="s">
        <v>4441</v>
      </c>
      <c r="F36" s="18" t="s">
        <v>4442</v>
      </c>
      <c r="G36" s="18" t="s">
        <v>4443</v>
      </c>
      <c r="H36" s="18" t="s">
        <v>4444</v>
      </c>
    </row>
    <row r="37" customFormat="false" ht="24" hidden="false" customHeight="true" outlineLevel="0" collapsed="false">
      <c r="B37" s="9" t="s">
        <v>4495</v>
      </c>
      <c r="C37" s="161" t="n">
        <v>0.0435</v>
      </c>
      <c r="D37" s="19" t="s">
        <v>4454</v>
      </c>
      <c r="E37" s="156" t="s">
        <v>4496</v>
      </c>
      <c r="F37" s="19" t="s">
        <v>4497</v>
      </c>
      <c r="G37" s="158" t="s">
        <v>4451</v>
      </c>
      <c r="H37" s="156" t="s">
        <v>4498</v>
      </c>
    </row>
    <row r="38" customFormat="false" ht="24" hidden="false" customHeight="true" outlineLevel="0" collapsed="false">
      <c r="B38" s="9" t="s">
        <v>4499</v>
      </c>
      <c r="C38" s="162" t="n">
        <v>0.042375</v>
      </c>
      <c r="D38" s="19" t="s">
        <v>4500</v>
      </c>
      <c r="E38" s="156" t="s">
        <v>4496</v>
      </c>
      <c r="F38" s="19" t="s">
        <v>4270</v>
      </c>
      <c r="G38" s="158" t="s">
        <v>4451</v>
      </c>
      <c r="H38" s="156" t="s">
        <v>4501</v>
      </c>
    </row>
    <row r="39" customFormat="false" ht="24" hidden="false" customHeight="true" outlineLevel="0" collapsed="false">
      <c r="B39" s="9" t="s">
        <v>4502</v>
      </c>
      <c r="C39" s="157" t="n">
        <v>352</v>
      </c>
      <c r="D39" s="19" t="s">
        <v>4454</v>
      </c>
      <c r="E39" s="156" t="s">
        <v>4503</v>
      </c>
      <c r="F39" s="19" t="s">
        <v>4270</v>
      </c>
      <c r="G39" s="158" t="s">
        <v>4451</v>
      </c>
      <c r="H39" s="156" t="s">
        <v>4504</v>
      </c>
    </row>
    <row r="40" customFormat="false" ht="24" hidden="false" customHeight="true" outlineLevel="0" collapsed="false">
      <c r="B40" s="9" t="s">
        <v>4505</v>
      </c>
      <c r="C40" s="157" t="n">
        <v>12</v>
      </c>
      <c r="D40" s="19" t="s">
        <v>4454</v>
      </c>
      <c r="E40" s="156" t="s">
        <v>4473</v>
      </c>
      <c r="F40" s="19" t="s">
        <v>4270</v>
      </c>
      <c r="G40" s="158" t="s">
        <v>4451</v>
      </c>
      <c r="H40" s="156" t="s">
        <v>4504</v>
      </c>
    </row>
    <row r="41" customFormat="false" ht="24" hidden="false" customHeight="true" outlineLevel="0" collapsed="false">
      <c r="B41" s="9" t="s">
        <v>4506</v>
      </c>
      <c r="C41" s="157" t="n">
        <v>424</v>
      </c>
      <c r="D41" s="19" t="s">
        <v>4454</v>
      </c>
      <c r="E41" s="156" t="s">
        <v>4473</v>
      </c>
      <c r="F41" s="19" t="s">
        <v>4270</v>
      </c>
      <c r="G41" s="158" t="s">
        <v>4451</v>
      </c>
      <c r="H41" s="156" t="s">
        <v>4504</v>
      </c>
    </row>
    <row r="42" customFormat="false" ht="24" hidden="false" customHeight="true" outlineLevel="0" collapsed="false">
      <c r="B42" s="9" t="s">
        <v>4507</v>
      </c>
      <c r="C42" s="163" t="n">
        <v>6</v>
      </c>
      <c r="D42" s="19" t="s">
        <v>4454</v>
      </c>
      <c r="E42" s="156" t="s">
        <v>4473</v>
      </c>
      <c r="F42" s="19" t="s">
        <v>4270</v>
      </c>
      <c r="G42" s="158" t="s">
        <v>4451</v>
      </c>
      <c r="H42" s="156" t="s">
        <v>4504</v>
      </c>
    </row>
    <row r="43" customFormat="false" ht="39.75" hidden="false" customHeight="true" outlineLevel="0" collapsed="false">
      <c r="B43" s="155" t="s">
        <v>4508</v>
      </c>
      <c r="C43" s="155"/>
      <c r="D43" s="155"/>
      <c r="E43" s="156" t="s">
        <v>4509</v>
      </c>
    </row>
    <row r="44" customFormat="false" ht="15" hidden="false" customHeight="true" outlineLevel="0" collapsed="false">
      <c r="B44" s="15" t="s">
        <v>4510</v>
      </c>
      <c r="C44" s="16"/>
      <c r="D44" s="16"/>
      <c r="E44" s="16"/>
      <c r="F44" s="16"/>
      <c r="G44" s="16"/>
      <c r="H44" s="16"/>
    </row>
    <row r="45" customFormat="false" ht="15" hidden="false" customHeight="true" outlineLevel="0" collapsed="false">
      <c r="B45" s="18" t="s">
        <v>4439</v>
      </c>
      <c r="C45" s="18" t="s">
        <v>1545</v>
      </c>
      <c r="D45" s="18" t="s">
        <v>4440</v>
      </c>
      <c r="E45" s="18" t="s">
        <v>4441</v>
      </c>
      <c r="F45" s="18" t="s">
        <v>4442</v>
      </c>
      <c r="G45" s="18" t="s">
        <v>4443</v>
      </c>
      <c r="H45" s="18" t="s">
        <v>4444</v>
      </c>
    </row>
    <row r="46" customFormat="false" ht="15" hidden="false" customHeight="true" outlineLevel="0" collapsed="false">
      <c r="B46" s="9" t="s">
        <v>4511</v>
      </c>
      <c r="C46" s="164" t="n">
        <v>0</v>
      </c>
      <c r="D46" s="159" t="n">
        <v>0.15</v>
      </c>
      <c r="E46" s="165" t="s">
        <v>4512</v>
      </c>
      <c r="F46" s="14" t="s">
        <v>4513</v>
      </c>
      <c r="G46" s="166" t="s">
        <v>4456</v>
      </c>
      <c r="H46" s="165" t="s">
        <v>4514</v>
      </c>
    </row>
    <row r="47" customFormat="false" ht="15" hidden="false" customHeight="true" outlineLevel="0" collapsed="false">
      <c r="B47" s="9" t="s">
        <v>4515</v>
      </c>
      <c r="C47" s="164" t="n">
        <v>30</v>
      </c>
      <c r="D47" s="159" t="n">
        <v>0.2</v>
      </c>
      <c r="E47" s="165" t="s">
        <v>4512</v>
      </c>
      <c r="F47" s="14" t="s">
        <v>4513</v>
      </c>
      <c r="G47" s="166" t="s">
        <v>4456</v>
      </c>
      <c r="H47" s="165" t="s">
        <v>4514</v>
      </c>
    </row>
    <row r="48" customFormat="false" ht="15" hidden="false" customHeight="true" outlineLevel="0" collapsed="false">
      <c r="B48" s="9" t="s">
        <v>4516</v>
      </c>
      <c r="C48" s="164" t="n">
        <v>40</v>
      </c>
      <c r="D48" s="159" t="n">
        <v>0.25</v>
      </c>
      <c r="E48" s="165" t="s">
        <v>4512</v>
      </c>
      <c r="F48" s="14" t="s">
        <v>4513</v>
      </c>
      <c r="G48" s="166" t="s">
        <v>4456</v>
      </c>
      <c r="H48" s="165" t="s">
        <v>4514</v>
      </c>
    </row>
    <row r="49" customFormat="false" ht="15" hidden="false" customHeight="true" outlineLevel="0" collapsed="false">
      <c r="B49" s="9" t="s">
        <v>4517</v>
      </c>
      <c r="C49" s="164" t="n">
        <v>50</v>
      </c>
      <c r="D49" s="159" t="n">
        <v>0.3</v>
      </c>
      <c r="E49" s="165" t="s">
        <v>4512</v>
      </c>
      <c r="F49" s="14" t="s">
        <v>4513</v>
      </c>
      <c r="G49" s="166" t="s">
        <v>4456</v>
      </c>
      <c r="H49" s="165" t="s">
        <v>4514</v>
      </c>
    </row>
    <row r="50" customFormat="false" ht="15" hidden="false" customHeight="true" outlineLevel="0" collapsed="false">
      <c r="B50" s="9" t="s">
        <v>4518</v>
      </c>
      <c r="C50" s="164" t="n">
        <v>55</v>
      </c>
      <c r="D50" s="159" t="n">
        <v>0.35</v>
      </c>
      <c r="E50" s="165" t="s">
        <v>4512</v>
      </c>
      <c r="F50" s="14" t="s">
        <v>4513</v>
      </c>
      <c r="G50" s="166" t="s">
        <v>4456</v>
      </c>
      <c r="H50" s="165" t="s">
        <v>4514</v>
      </c>
    </row>
    <row r="51" customFormat="false" ht="15" hidden="false" customHeight="true" outlineLevel="0" collapsed="false">
      <c r="B51" s="9" t="s">
        <v>4519</v>
      </c>
      <c r="C51" s="164" t="n">
        <v>60</v>
      </c>
      <c r="D51" s="159" t="n">
        <v>0.4</v>
      </c>
      <c r="E51" s="165" t="s">
        <v>4512</v>
      </c>
      <c r="F51" s="14" t="s">
        <v>4513</v>
      </c>
      <c r="G51" s="166" t="s">
        <v>4456</v>
      </c>
      <c r="H51" s="165" t="s">
        <v>4514</v>
      </c>
    </row>
    <row r="52" customFormat="false" ht="24" hidden="false" customHeight="true" outlineLevel="0" collapsed="false">
      <c r="B52" s="9" t="s">
        <v>4520</v>
      </c>
      <c r="C52" s="157" t="n">
        <v>115000</v>
      </c>
      <c r="D52" s="19" t="s">
        <v>138</v>
      </c>
      <c r="E52" s="156" t="s">
        <v>4512</v>
      </c>
      <c r="F52" s="19" t="s">
        <v>4513</v>
      </c>
      <c r="G52" s="158" t="s">
        <v>4456</v>
      </c>
      <c r="H52" s="156" t="s">
        <v>4521</v>
      </c>
    </row>
    <row r="53" customFormat="false" ht="24" hidden="false" customHeight="true" outlineLevel="0" collapsed="false">
      <c r="B53" s="9" t="s">
        <v>4522</v>
      </c>
      <c r="C53" s="159" t="n">
        <v>0.25</v>
      </c>
      <c r="D53" s="19" t="s">
        <v>59</v>
      </c>
      <c r="E53" s="156" t="s">
        <v>4523</v>
      </c>
      <c r="F53" s="19" t="s">
        <v>4524</v>
      </c>
      <c r="G53" s="158" t="s">
        <v>4456</v>
      </c>
      <c r="H53" s="156" t="s">
        <v>4525</v>
      </c>
    </row>
    <row r="54" customFormat="false" ht="24" hidden="false" customHeight="true" outlineLevel="0" collapsed="false">
      <c r="B54" s="9" t="s">
        <v>4526</v>
      </c>
      <c r="C54" s="157" t="n">
        <v>200000</v>
      </c>
      <c r="D54" s="19" t="s">
        <v>59</v>
      </c>
      <c r="E54" s="156" t="s">
        <v>4523</v>
      </c>
      <c r="F54" s="19" t="s">
        <v>4524</v>
      </c>
      <c r="G54" s="158" t="s">
        <v>4456</v>
      </c>
      <c r="H54" s="156" t="s">
        <v>4525</v>
      </c>
    </row>
    <row r="55" customFormat="false" ht="24" hidden="false" customHeight="true" outlineLevel="0" collapsed="false">
      <c r="B55" s="9" t="s">
        <v>4527</v>
      </c>
      <c r="C55" s="157" t="n">
        <v>500000</v>
      </c>
      <c r="D55" s="19" t="s">
        <v>59</v>
      </c>
      <c r="E55" s="156" t="s">
        <v>4523</v>
      </c>
      <c r="F55" s="19" t="s">
        <v>4524</v>
      </c>
      <c r="G55" s="158" t="s">
        <v>4456</v>
      </c>
      <c r="H55" s="156" t="s">
        <v>4525</v>
      </c>
    </row>
    <row r="56" customFormat="false" ht="24" hidden="false" customHeight="true" outlineLevel="0" collapsed="false">
      <c r="B56" s="9" t="s">
        <v>4528</v>
      </c>
      <c r="C56" s="159" t="n">
        <v>0.2</v>
      </c>
      <c r="D56" s="19" t="s">
        <v>59</v>
      </c>
      <c r="E56" s="156" t="s">
        <v>4523</v>
      </c>
      <c r="F56" s="19" t="s">
        <v>4524</v>
      </c>
      <c r="G56" s="158" t="s">
        <v>4456</v>
      </c>
      <c r="H56" s="156" t="s">
        <v>4525</v>
      </c>
    </row>
    <row r="57" customFormat="false" ht="24" hidden="false" customHeight="true" outlineLevel="0" collapsed="false">
      <c r="B57" s="9" t="s">
        <v>4529</v>
      </c>
      <c r="C57" s="157" t="n">
        <v>2200000</v>
      </c>
      <c r="D57" s="19" t="s">
        <v>4530</v>
      </c>
      <c r="E57" s="156" t="s">
        <v>4523</v>
      </c>
      <c r="F57" s="19" t="s">
        <v>4450</v>
      </c>
      <c r="G57" s="158" t="s">
        <v>4456</v>
      </c>
      <c r="H57" s="156" t="s">
        <v>4531</v>
      </c>
    </row>
    <row r="58" customFormat="false" ht="24" hidden="false" customHeight="true" outlineLevel="0" collapsed="false">
      <c r="B58" s="9" t="s">
        <v>4532</v>
      </c>
      <c r="C58" s="159" t="n">
        <v>0.4</v>
      </c>
      <c r="D58" s="19" t="s">
        <v>4530</v>
      </c>
      <c r="E58" s="156" t="s">
        <v>4523</v>
      </c>
      <c r="F58" s="19" t="s">
        <v>4533</v>
      </c>
      <c r="G58" s="158" t="s">
        <v>4456</v>
      </c>
      <c r="H58" s="156" t="s">
        <v>4531</v>
      </c>
    </row>
    <row r="59" customFormat="false" ht="24" hidden="false" customHeight="true" outlineLevel="0" collapsed="false">
      <c r="B59" s="9" t="s">
        <v>4534</v>
      </c>
      <c r="C59" s="163" t="n">
        <v>60</v>
      </c>
      <c r="D59" s="19" t="s">
        <v>4530</v>
      </c>
      <c r="E59" s="156" t="s">
        <v>4535</v>
      </c>
      <c r="F59" s="19" t="s">
        <v>4533</v>
      </c>
      <c r="G59" s="158" t="s">
        <v>4536</v>
      </c>
      <c r="H59" s="156" t="s">
        <v>4537</v>
      </c>
    </row>
    <row r="60" customFormat="false" ht="39.75" hidden="false" customHeight="true" outlineLevel="0" collapsed="false">
      <c r="B60" s="155" t="s">
        <v>4538</v>
      </c>
      <c r="C60" s="155"/>
      <c r="D60" s="155"/>
      <c r="E60" s="156" t="s">
        <v>4539</v>
      </c>
    </row>
    <row r="61" customFormat="false" ht="15" hidden="false" customHeight="true" outlineLevel="0" collapsed="false">
      <c r="B61" s="15" t="s">
        <v>4540</v>
      </c>
      <c r="C61" s="16"/>
      <c r="D61" s="16"/>
      <c r="E61" s="16"/>
      <c r="F61" s="16"/>
      <c r="G61" s="16"/>
      <c r="H61" s="16"/>
    </row>
    <row r="62" customFormat="false" ht="15" hidden="false" customHeight="true" outlineLevel="0" collapsed="false">
      <c r="B62" s="18" t="s">
        <v>4439</v>
      </c>
      <c r="C62" s="18" t="s">
        <v>1545</v>
      </c>
      <c r="D62" s="18" t="s">
        <v>4440</v>
      </c>
      <c r="E62" s="18" t="s">
        <v>4441</v>
      </c>
      <c r="F62" s="18" t="s">
        <v>4442</v>
      </c>
      <c r="G62" s="18" t="s">
        <v>4443</v>
      </c>
      <c r="H62" s="18" t="s">
        <v>4444</v>
      </c>
    </row>
    <row r="63" customFormat="false" ht="24" hidden="false" customHeight="true" outlineLevel="0" collapsed="false">
      <c r="B63" s="9" t="s">
        <v>4541</v>
      </c>
      <c r="C63" s="167" t="n">
        <v>299.3</v>
      </c>
      <c r="D63" s="19" t="s">
        <v>4542</v>
      </c>
      <c r="E63" s="156" t="s">
        <v>4543</v>
      </c>
      <c r="F63" s="19" t="s">
        <v>4450</v>
      </c>
      <c r="G63" s="158" t="s">
        <v>4451</v>
      </c>
      <c r="H63" s="156" t="s">
        <v>4544</v>
      </c>
    </row>
    <row r="64" customFormat="false" ht="24" hidden="false" customHeight="true" outlineLevel="0" collapsed="false">
      <c r="B64" s="9" t="s">
        <v>4545</v>
      </c>
      <c r="C64" s="167" t="n">
        <f aca="false">State_Pension_Week*Weeks_Per_Year</f>
        <v>15563.6</v>
      </c>
      <c r="D64" s="19" t="s">
        <v>4546</v>
      </c>
      <c r="E64" s="156" t="s">
        <v>4543</v>
      </c>
      <c r="F64" s="19" t="s">
        <v>4450</v>
      </c>
      <c r="G64" s="158" t="s">
        <v>4451</v>
      </c>
      <c r="H64" s="156" t="s">
        <v>4544</v>
      </c>
    </row>
    <row r="65" customFormat="false" ht="24" hidden="false" customHeight="true" outlineLevel="0" collapsed="false">
      <c r="B65" s="9" t="s">
        <v>4547</v>
      </c>
      <c r="C65" s="163" t="n">
        <v>66</v>
      </c>
      <c r="D65" s="19" t="s">
        <v>4548</v>
      </c>
      <c r="E65" s="156" t="s">
        <v>4549</v>
      </c>
      <c r="F65" s="19" t="s">
        <v>4533</v>
      </c>
      <c r="G65" s="158" t="s">
        <v>4451</v>
      </c>
      <c r="H65" s="156" t="s">
        <v>4550</v>
      </c>
    </row>
    <row r="66" customFormat="false" ht="24" hidden="false" customHeight="true" outlineLevel="0" collapsed="false">
      <c r="B66" s="9" t="s">
        <v>4551</v>
      </c>
      <c r="C66" s="167" t="n">
        <v>259.5</v>
      </c>
      <c r="D66" s="19" t="s">
        <v>78</v>
      </c>
      <c r="E66" s="156" t="s">
        <v>4552</v>
      </c>
      <c r="F66" s="19" t="s">
        <v>4450</v>
      </c>
      <c r="G66" s="158" t="s">
        <v>4456</v>
      </c>
      <c r="H66" s="156" t="s">
        <v>4553</v>
      </c>
    </row>
    <row r="67" customFormat="false" ht="24" hidden="false" customHeight="true" outlineLevel="0" collapsed="false">
      <c r="B67" s="9" t="s">
        <v>4554</v>
      </c>
      <c r="C67" s="167" t="n">
        <v>299.3</v>
      </c>
      <c r="D67" s="19" t="s">
        <v>4555</v>
      </c>
      <c r="E67" s="156" t="s">
        <v>4473</v>
      </c>
      <c r="F67" s="19" t="s">
        <v>4450</v>
      </c>
      <c r="G67" s="158" t="s">
        <v>4456</v>
      </c>
      <c r="H67" s="156" t="s">
        <v>4553</v>
      </c>
    </row>
    <row r="68" customFormat="false" ht="24" hidden="false" customHeight="true" outlineLevel="0" collapsed="false">
      <c r="B68" s="9" t="s">
        <v>4556</v>
      </c>
      <c r="C68" s="167" t="n">
        <v>254</v>
      </c>
      <c r="D68" s="19" t="s">
        <v>81</v>
      </c>
      <c r="E68" s="156" t="s">
        <v>4557</v>
      </c>
      <c r="F68" s="19" t="s">
        <v>4450</v>
      </c>
      <c r="G68" s="158" t="s">
        <v>4456</v>
      </c>
      <c r="H68" s="156" t="s">
        <v>4558</v>
      </c>
    </row>
    <row r="69" customFormat="false" ht="24" hidden="false" customHeight="true" outlineLevel="0" collapsed="false">
      <c r="B69" s="9" t="s">
        <v>4559</v>
      </c>
      <c r="C69" s="159" t="n">
        <v>0.75</v>
      </c>
      <c r="D69" s="19" t="s">
        <v>81</v>
      </c>
      <c r="E69" s="156" t="s">
        <v>4560</v>
      </c>
      <c r="F69" s="19" t="s">
        <v>4561</v>
      </c>
      <c r="G69" s="158" t="s">
        <v>4562</v>
      </c>
      <c r="H69" s="156" t="s">
        <v>4563</v>
      </c>
    </row>
    <row r="70" customFormat="false" ht="24" hidden="false" customHeight="true" outlineLevel="0" collapsed="false">
      <c r="B70" s="9" t="s">
        <v>4564</v>
      </c>
      <c r="C70" s="163" t="n">
        <v>52</v>
      </c>
      <c r="D70" s="19" t="s">
        <v>4565</v>
      </c>
      <c r="E70" s="156" t="s">
        <v>4566</v>
      </c>
      <c r="F70" s="19" t="s">
        <v>4402</v>
      </c>
      <c r="G70" s="156" t="s">
        <v>3</v>
      </c>
      <c r="H70" s="156" t="s">
        <v>4402</v>
      </c>
    </row>
    <row r="71" customFormat="false" ht="15" hidden="false" customHeight="true" outlineLevel="0" collapsed="false">
      <c r="B71" s="15" t="s">
        <v>4567</v>
      </c>
      <c r="C71" s="16"/>
      <c r="D71" s="16"/>
      <c r="E71" s="16"/>
      <c r="F71" s="16"/>
      <c r="G71" s="16"/>
      <c r="H71" s="16"/>
    </row>
    <row r="72" customFormat="false" ht="15" hidden="false" customHeight="true" outlineLevel="0" collapsed="false">
      <c r="B72" s="18" t="s">
        <v>4439</v>
      </c>
      <c r="C72" s="18" t="s">
        <v>1545</v>
      </c>
      <c r="D72" s="18" t="s">
        <v>4440</v>
      </c>
      <c r="E72" s="18" t="s">
        <v>4441</v>
      </c>
      <c r="F72" s="18" t="s">
        <v>4442</v>
      </c>
      <c r="G72" s="18" t="s">
        <v>4443</v>
      </c>
      <c r="H72" s="18" t="s">
        <v>4444</v>
      </c>
    </row>
    <row r="73" customFormat="false" ht="24" hidden="false" customHeight="true" outlineLevel="0" collapsed="false">
      <c r="B73" s="9" t="s">
        <v>4568</v>
      </c>
      <c r="C73" s="159" t="n">
        <v>0.33</v>
      </c>
      <c r="D73" s="19" t="s">
        <v>4569</v>
      </c>
      <c r="E73" s="156" t="s">
        <v>4570</v>
      </c>
      <c r="F73" s="19" t="s">
        <v>4270</v>
      </c>
      <c r="G73" s="158" t="s">
        <v>4456</v>
      </c>
      <c r="H73" s="156" t="s">
        <v>4571</v>
      </c>
    </row>
    <row r="74" customFormat="false" ht="24" hidden="false" customHeight="true" outlineLevel="0" collapsed="false">
      <c r="B74" s="9" t="s">
        <v>4572</v>
      </c>
      <c r="C74" s="159" t="n">
        <v>0.38</v>
      </c>
      <c r="D74" s="19" t="s">
        <v>4569</v>
      </c>
      <c r="E74" s="156" t="s">
        <v>4573</v>
      </c>
      <c r="F74" s="19" t="s">
        <v>4450</v>
      </c>
      <c r="G74" s="158" t="s">
        <v>4451</v>
      </c>
      <c r="H74" s="156" t="s">
        <v>4574</v>
      </c>
    </row>
    <row r="75" customFormat="false" ht="24" hidden="false" customHeight="true" outlineLevel="0" collapsed="false">
      <c r="B75" s="9" t="s">
        <v>4575</v>
      </c>
      <c r="C75" s="163" t="n">
        <v>8</v>
      </c>
      <c r="D75" s="19" t="s">
        <v>4576</v>
      </c>
      <c r="E75" s="156" t="s">
        <v>4577</v>
      </c>
      <c r="F75" s="19" t="s">
        <v>4270</v>
      </c>
      <c r="G75" s="158" t="s">
        <v>4456</v>
      </c>
      <c r="H75" s="156" t="s">
        <v>4578</v>
      </c>
    </row>
    <row r="76" customFormat="false" ht="24" hidden="false" customHeight="true" outlineLevel="0" collapsed="false">
      <c r="B76" s="9" t="s">
        <v>4579</v>
      </c>
      <c r="C76" s="159" t="n">
        <v>0.01</v>
      </c>
      <c r="D76" s="19" t="s">
        <v>4580</v>
      </c>
      <c r="E76" s="156" t="s">
        <v>4581</v>
      </c>
      <c r="F76" s="19" t="s">
        <v>4270</v>
      </c>
      <c r="G76" s="158" t="s">
        <v>4451</v>
      </c>
      <c r="H76" s="156" t="s">
        <v>4582</v>
      </c>
    </row>
    <row r="77" customFormat="false" ht="15" hidden="false" customHeight="true" outlineLevel="0" collapsed="false">
      <c r="B77" s="15" t="s">
        <v>4583</v>
      </c>
      <c r="C77" s="16"/>
      <c r="D77" s="16"/>
      <c r="E77" s="16"/>
      <c r="F77" s="16"/>
      <c r="G77" s="16"/>
      <c r="H77" s="16"/>
    </row>
    <row r="78" customFormat="false" ht="15" hidden="false" customHeight="true" outlineLevel="0" collapsed="false">
      <c r="B78" s="18" t="s">
        <v>4439</v>
      </c>
      <c r="C78" s="18" t="s">
        <v>1545</v>
      </c>
      <c r="D78" s="18" t="s">
        <v>4440</v>
      </c>
      <c r="E78" s="18" t="s">
        <v>4441</v>
      </c>
      <c r="F78" s="18" t="s">
        <v>4442</v>
      </c>
      <c r="G78" s="18" t="s">
        <v>4443</v>
      </c>
      <c r="H78" s="18" t="s">
        <v>4444</v>
      </c>
    </row>
    <row r="79" customFormat="false" ht="24" hidden="false" customHeight="true" outlineLevel="0" collapsed="false">
      <c r="B79" s="9" t="s">
        <v>4584</v>
      </c>
      <c r="C79" s="168" t="n">
        <v>4</v>
      </c>
      <c r="D79" s="19" t="s">
        <v>34</v>
      </c>
      <c r="E79" s="156" t="s">
        <v>4585</v>
      </c>
      <c r="F79" s="19" t="s">
        <v>4586</v>
      </c>
      <c r="G79" s="158" t="s">
        <v>4451</v>
      </c>
      <c r="H79" s="156" t="s">
        <v>4587</v>
      </c>
    </row>
    <row r="80" customFormat="false" ht="24" hidden="false" customHeight="true" outlineLevel="0" collapsed="false">
      <c r="B80" s="9" t="s">
        <v>4588</v>
      </c>
      <c r="C80" s="168" t="n">
        <v>3.5</v>
      </c>
      <c r="D80" s="19" t="s">
        <v>34</v>
      </c>
      <c r="E80" s="156" t="s">
        <v>4585</v>
      </c>
      <c r="F80" s="19" t="s">
        <v>4586</v>
      </c>
      <c r="G80" s="158" t="s">
        <v>4451</v>
      </c>
      <c r="H80" s="156" t="s">
        <v>4587</v>
      </c>
    </row>
    <row r="81" customFormat="false" ht="24" hidden="false" customHeight="true" outlineLevel="0" collapsed="false">
      <c r="B81" s="9" t="s">
        <v>4589</v>
      </c>
      <c r="C81" s="159" t="n">
        <v>0.9</v>
      </c>
      <c r="D81" s="19" t="s">
        <v>4590</v>
      </c>
      <c r="E81" s="156" t="s">
        <v>4585</v>
      </c>
      <c r="F81" s="19" t="s">
        <v>4586</v>
      </c>
      <c r="G81" s="158" t="s">
        <v>4451</v>
      </c>
      <c r="H81" s="156" t="s">
        <v>4591</v>
      </c>
    </row>
    <row r="82" customFormat="false" ht="24" hidden="false" customHeight="true" outlineLevel="0" collapsed="false">
      <c r="B82" s="9" t="s">
        <v>4592</v>
      </c>
      <c r="C82" s="159" t="n">
        <f aca="false">1-LTV_Max</f>
        <v>0.1</v>
      </c>
      <c r="D82" s="19" t="s">
        <v>4593</v>
      </c>
      <c r="E82" s="156" t="s">
        <v>4594</v>
      </c>
      <c r="F82" s="19" t="s">
        <v>4586</v>
      </c>
      <c r="G82" s="158" t="s">
        <v>4451</v>
      </c>
      <c r="H82" s="156" t="s">
        <v>4595</v>
      </c>
    </row>
    <row r="83" customFormat="false" ht="39.75" hidden="false" customHeight="true" outlineLevel="0" collapsed="false">
      <c r="B83" s="155" t="s">
        <v>4596</v>
      </c>
      <c r="C83" s="155"/>
      <c r="D83" s="155"/>
      <c r="E83" s="156" t="s">
        <v>4597</v>
      </c>
    </row>
    <row r="84" customFormat="false" ht="24" hidden="false" customHeight="true" outlineLevel="0" collapsed="false">
      <c r="B84" s="9" t="s">
        <v>4598</v>
      </c>
      <c r="C84" s="159" t="n">
        <v>0.01</v>
      </c>
      <c r="D84" s="19" t="s">
        <v>4599</v>
      </c>
      <c r="E84" s="156" t="s">
        <v>4600</v>
      </c>
      <c r="F84" s="19" t="s">
        <v>4601</v>
      </c>
      <c r="G84" s="158" t="s">
        <v>4456</v>
      </c>
      <c r="H84" s="156" t="s">
        <v>4602</v>
      </c>
    </row>
    <row r="85" customFormat="false" ht="24" hidden="false" customHeight="true" outlineLevel="0" collapsed="false">
      <c r="B85" s="9" t="s">
        <v>4603</v>
      </c>
      <c r="C85" s="157" t="n">
        <v>1000000</v>
      </c>
      <c r="D85" s="19" t="s">
        <v>4599</v>
      </c>
      <c r="E85" s="156" t="s">
        <v>4600</v>
      </c>
      <c r="F85" s="19" t="s">
        <v>4601</v>
      </c>
      <c r="G85" s="158" t="s">
        <v>4456</v>
      </c>
      <c r="H85" s="156" t="s">
        <v>4602</v>
      </c>
    </row>
    <row r="86" customFormat="false" ht="24" hidden="false" customHeight="true" outlineLevel="0" collapsed="false">
      <c r="B86" s="9" t="s">
        <v>4604</v>
      </c>
      <c r="C86" s="159" t="n">
        <v>0.02</v>
      </c>
      <c r="D86" s="19" t="s">
        <v>4599</v>
      </c>
      <c r="E86" s="156" t="s">
        <v>4600</v>
      </c>
      <c r="F86" s="19" t="s">
        <v>4601</v>
      </c>
      <c r="G86" s="158" t="s">
        <v>4456</v>
      </c>
      <c r="H86" s="156" t="s">
        <v>4602</v>
      </c>
    </row>
    <row r="87" customFormat="false" ht="24" hidden="false" customHeight="true" outlineLevel="0" collapsed="false">
      <c r="B87" s="9" t="s">
        <v>4605</v>
      </c>
      <c r="C87" s="157" t="n">
        <v>1500000</v>
      </c>
      <c r="D87" s="19" t="s">
        <v>4599</v>
      </c>
      <c r="E87" s="156" t="s">
        <v>4600</v>
      </c>
      <c r="F87" s="19" t="s">
        <v>4601</v>
      </c>
      <c r="G87" s="158" t="s">
        <v>4456</v>
      </c>
      <c r="H87" s="156" t="s">
        <v>4602</v>
      </c>
    </row>
    <row r="88" customFormat="false" ht="24" hidden="false" customHeight="true" outlineLevel="0" collapsed="false">
      <c r="B88" s="9" t="s">
        <v>4606</v>
      </c>
      <c r="C88" s="159" t="n">
        <v>0.06</v>
      </c>
      <c r="D88" s="19" t="s">
        <v>4599</v>
      </c>
      <c r="E88" s="156" t="s">
        <v>4600</v>
      </c>
      <c r="F88" s="19" t="s">
        <v>4601</v>
      </c>
      <c r="G88" s="158" t="s">
        <v>4456</v>
      </c>
      <c r="H88" s="156" t="s">
        <v>4602</v>
      </c>
    </row>
    <row r="89" customFormat="false" ht="39.75" hidden="false" customHeight="true" outlineLevel="0" collapsed="false">
      <c r="B89" s="155" t="s">
        <v>4607</v>
      </c>
      <c r="C89" s="155"/>
      <c r="D89" s="155"/>
      <c r="E89" s="156" t="s">
        <v>4608</v>
      </c>
    </row>
    <row r="90" customFormat="false" ht="15" hidden="false" customHeight="true" outlineLevel="0" collapsed="false">
      <c r="B90" s="15" t="s">
        <v>4609</v>
      </c>
      <c r="C90" s="16"/>
      <c r="D90" s="16"/>
      <c r="E90" s="16"/>
      <c r="F90" s="16"/>
      <c r="G90" s="16"/>
      <c r="H90" s="16"/>
    </row>
    <row r="91" customFormat="false" ht="15" hidden="false" customHeight="true" outlineLevel="0" collapsed="false">
      <c r="B91" s="18" t="s">
        <v>4439</v>
      </c>
      <c r="C91" s="18" t="s">
        <v>1545</v>
      </c>
      <c r="D91" s="18" t="s">
        <v>4440</v>
      </c>
      <c r="E91" s="18" t="s">
        <v>4441</v>
      </c>
      <c r="F91" s="18" t="s">
        <v>4442</v>
      </c>
      <c r="G91" s="18" t="s">
        <v>4443</v>
      </c>
      <c r="H91" s="18" t="s">
        <v>4444</v>
      </c>
    </row>
    <row r="92" customFormat="false" ht="24" hidden="false" customHeight="true" outlineLevel="0" collapsed="false">
      <c r="B92" s="9" t="s">
        <v>4610</v>
      </c>
      <c r="C92" s="159" t="n">
        <v>0.7</v>
      </c>
      <c r="D92" s="19" t="s">
        <v>76</v>
      </c>
      <c r="E92" s="156" t="s">
        <v>4611</v>
      </c>
      <c r="F92" s="19" t="s">
        <v>4402</v>
      </c>
      <c r="G92" s="156" t="s">
        <v>3</v>
      </c>
      <c r="H92" s="156" t="s">
        <v>4402</v>
      </c>
    </row>
    <row r="93" customFormat="false" ht="24" hidden="false" customHeight="true" outlineLevel="0" collapsed="false">
      <c r="B93" s="9" t="s">
        <v>4612</v>
      </c>
      <c r="C93" s="159" t="n">
        <v>0.4</v>
      </c>
      <c r="D93" s="19" t="s">
        <v>76</v>
      </c>
      <c r="E93" s="156" t="s">
        <v>4613</v>
      </c>
      <c r="F93" s="19" t="s">
        <v>4402</v>
      </c>
      <c r="G93" s="156" t="s">
        <v>3</v>
      </c>
      <c r="H93" s="156" t="s">
        <v>4402</v>
      </c>
    </row>
    <row r="94" customFormat="false" ht="24" hidden="false" customHeight="true" outlineLevel="0" collapsed="false">
      <c r="B94" s="9" t="s">
        <v>4614</v>
      </c>
      <c r="C94" s="163" t="n">
        <v>365</v>
      </c>
      <c r="D94" s="19" t="s">
        <v>4615</v>
      </c>
      <c r="E94" s="156" t="s">
        <v>4616</v>
      </c>
      <c r="F94" s="19" t="s">
        <v>4402</v>
      </c>
      <c r="G94" s="156" t="s">
        <v>3</v>
      </c>
      <c r="H94" s="156" t="s">
        <v>4402</v>
      </c>
    </row>
    <row r="95" customFormat="false" ht="24" hidden="false" customHeight="true" outlineLevel="0" collapsed="false">
      <c r="B95" s="9" t="s">
        <v>4617</v>
      </c>
      <c r="C95" s="159" t="n">
        <v>0.8</v>
      </c>
      <c r="D95" s="19" t="s">
        <v>4618</v>
      </c>
      <c r="E95" s="156" t="s">
        <v>4616</v>
      </c>
      <c r="F95" s="19" t="s">
        <v>4402</v>
      </c>
      <c r="G95" s="156" t="s">
        <v>3</v>
      </c>
      <c r="H95" s="156" t="s">
        <v>4402</v>
      </c>
    </row>
    <row r="96" customFormat="false" ht="15" hidden="false" customHeight="true" outlineLevel="0" collapsed="false">
      <c r="B96" s="15" t="s">
        <v>4619</v>
      </c>
      <c r="C96" s="16"/>
      <c r="D96" s="16"/>
      <c r="E96" s="16"/>
      <c r="F96" s="16"/>
      <c r="G96" s="16"/>
      <c r="H96" s="16"/>
    </row>
    <row r="97" customFormat="false" ht="15" hidden="false" customHeight="true" outlineLevel="0" collapsed="false">
      <c r="B97" s="18" t="s">
        <v>4439</v>
      </c>
      <c r="C97" s="18" t="s">
        <v>1545</v>
      </c>
      <c r="D97" s="18" t="s">
        <v>4440</v>
      </c>
      <c r="E97" s="18" t="s">
        <v>4441</v>
      </c>
      <c r="F97" s="18" t="s">
        <v>4442</v>
      </c>
      <c r="G97" s="18" t="s">
        <v>4443</v>
      </c>
      <c r="H97" s="18" t="s">
        <v>4444</v>
      </c>
    </row>
    <row r="98" customFormat="false" ht="24" hidden="false" customHeight="true" outlineLevel="0" collapsed="false">
      <c r="B98" s="9" t="s">
        <v>4620</v>
      </c>
      <c r="C98" s="163" t="n">
        <v>1200</v>
      </c>
      <c r="D98" s="19" t="s">
        <v>4621</v>
      </c>
      <c r="E98" s="156" t="s">
        <v>4622</v>
      </c>
      <c r="F98" s="19" t="s">
        <v>4402</v>
      </c>
      <c r="G98" s="156" t="s">
        <v>3</v>
      </c>
      <c r="H98" s="156" t="s">
        <v>4402</v>
      </c>
    </row>
    <row r="99" customFormat="false" ht="24" hidden="false" customHeight="true" outlineLevel="0" collapsed="false">
      <c r="B99" s="9" t="s">
        <v>4623</v>
      </c>
      <c r="C99" s="163" t="n">
        <v>60</v>
      </c>
      <c r="D99" s="19" t="s">
        <v>150</v>
      </c>
      <c r="E99" s="156" t="s">
        <v>4622</v>
      </c>
      <c r="F99" s="19" t="s">
        <v>4402</v>
      </c>
      <c r="G99" s="156" t="s">
        <v>3</v>
      </c>
      <c r="H99" s="156" t="s">
        <v>4402</v>
      </c>
    </row>
    <row r="100" customFormat="false" ht="24" hidden="false" customHeight="true" outlineLevel="0" collapsed="false">
      <c r="B100" s="9" t="s">
        <v>4624</v>
      </c>
      <c r="C100" s="163" t="n">
        <v>5</v>
      </c>
      <c r="D100" s="19" t="s">
        <v>83</v>
      </c>
      <c r="E100" s="156" t="s">
        <v>4622</v>
      </c>
      <c r="F100" s="19" t="s">
        <v>4402</v>
      </c>
      <c r="G100" s="156" t="s">
        <v>3</v>
      </c>
      <c r="H100" s="156" t="s">
        <v>4402</v>
      </c>
    </row>
    <row r="101" customFormat="false" ht="24" hidden="false" customHeight="true" outlineLevel="0" collapsed="false">
      <c r="B101" s="9" t="s">
        <v>4625</v>
      </c>
      <c r="C101" s="163" t="n">
        <v>10</v>
      </c>
      <c r="D101" s="19" t="s">
        <v>83</v>
      </c>
      <c r="E101" s="156" t="s">
        <v>4622</v>
      </c>
      <c r="F101" s="19" t="s">
        <v>4402</v>
      </c>
      <c r="G101" s="156" t="s">
        <v>3</v>
      </c>
      <c r="H101" s="156" t="s">
        <v>4402</v>
      </c>
    </row>
    <row r="102" customFormat="false" ht="24" hidden="false" customHeight="true" outlineLevel="0" collapsed="false">
      <c r="B102" s="9" t="s">
        <v>4626</v>
      </c>
      <c r="C102" s="163" t="n">
        <v>15</v>
      </c>
      <c r="D102" s="19" t="s">
        <v>83</v>
      </c>
      <c r="E102" s="156" t="s">
        <v>4622</v>
      </c>
      <c r="F102" s="19" t="s">
        <v>4402</v>
      </c>
      <c r="G102" s="156" t="s">
        <v>3</v>
      </c>
      <c r="H102" s="156" t="s">
        <v>4402</v>
      </c>
    </row>
    <row r="103" customFormat="false" ht="24" hidden="false" customHeight="true" outlineLevel="0" collapsed="false">
      <c r="B103" s="9" t="s">
        <v>4627</v>
      </c>
      <c r="C103" s="169" t="n">
        <v>1.645</v>
      </c>
      <c r="D103" s="19" t="s">
        <v>76</v>
      </c>
      <c r="E103" s="156" t="s">
        <v>4628</v>
      </c>
      <c r="F103" s="19" t="s">
        <v>4402</v>
      </c>
      <c r="G103" s="156" t="s">
        <v>3</v>
      </c>
      <c r="H103" s="156" t="s">
        <v>4629</v>
      </c>
    </row>
    <row r="104" customFormat="false" ht="15" hidden="false" customHeight="true" outlineLevel="0" collapsed="false">
      <c r="B104" s="9" t="s">
        <v>4630</v>
      </c>
      <c r="C104" s="164" t="s">
        <v>2960</v>
      </c>
      <c r="D104" s="14" t="s">
        <v>76</v>
      </c>
      <c r="E104" s="165" t="s">
        <v>4631</v>
      </c>
      <c r="G104" s="59" t="s">
        <v>3</v>
      </c>
    </row>
    <row r="105" customFormat="false" ht="15" hidden="false" customHeight="true" outlineLevel="0" collapsed="false">
      <c r="B105" s="9" t="s">
        <v>4632</v>
      </c>
      <c r="C105" s="164" t="s">
        <v>2962</v>
      </c>
      <c r="D105" s="14" t="s">
        <v>76</v>
      </c>
      <c r="E105" s="165" t="s">
        <v>4631</v>
      </c>
      <c r="G105" s="59" t="s">
        <v>3</v>
      </c>
    </row>
    <row r="106" customFormat="false" ht="15" hidden="false" customHeight="true" outlineLevel="0" collapsed="false">
      <c r="B106" s="9" t="s">
        <v>4633</v>
      </c>
      <c r="C106" s="164" t="s">
        <v>4634</v>
      </c>
      <c r="D106" s="14" t="s">
        <v>76</v>
      </c>
      <c r="E106" s="165" t="s">
        <v>4631</v>
      </c>
      <c r="G106" s="59"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4635</v>
      </c>
      <c r="D121" s="19" t="s">
        <v>122</v>
      </c>
      <c r="E121" s="19" t="s">
        <v>123</v>
      </c>
    </row>
    <row r="123" customFormat="false" ht="15" hidden="false" customHeight="true" outlineLevel="0" collapsed="false">
      <c r="B123" s="15" t="s">
        <v>4636</v>
      </c>
    </row>
    <row r="124" customFormat="false" ht="81.75" hidden="false" customHeight="true" outlineLevel="0" collapsed="false">
      <c r="B124" s="120"/>
    </row>
    <row r="125" customFormat="false" ht="15" hidden="false" customHeight="true" outlineLevel="0" collapsed="false">
      <c r="B125" s="9" t="s">
        <v>4637</v>
      </c>
      <c r="C125" s="164" t="n">
        <v>2026</v>
      </c>
      <c r="D125" s="14" t="s">
        <v>4638</v>
      </c>
      <c r="E125" s="165"/>
      <c r="G125" s="59"/>
    </row>
    <row r="126" customFormat="false" ht="15" hidden="false" customHeight="true" outlineLevel="0" collapsed="false">
      <c r="B126" s="9" t="s">
        <v>4639</v>
      </c>
      <c r="C126" s="164" t="n">
        <v>2027</v>
      </c>
      <c r="D126" s="14" t="s">
        <v>4638</v>
      </c>
      <c r="E126" s="165"/>
      <c r="G126" s="59"/>
    </row>
    <row r="127" customFormat="false" ht="15" hidden="false" customHeight="true" outlineLevel="0" collapsed="false">
      <c r="B127" s="9" t="s">
        <v>4640</v>
      </c>
      <c r="C127" s="164" t="n">
        <v>50</v>
      </c>
      <c r="D127" s="14" t="s">
        <v>4641</v>
      </c>
      <c r="E127" s="165"/>
      <c r="G127" s="59"/>
    </row>
    <row r="128" customFormat="false" ht="15" hidden="false" customHeight="true" outlineLevel="0" collapsed="false">
      <c r="B128" s="9" t="s">
        <v>4642</v>
      </c>
      <c r="C128" s="170" t="n">
        <v>200000</v>
      </c>
      <c r="D128" s="14" t="s">
        <v>4643</v>
      </c>
      <c r="E128" s="165"/>
      <c r="G128" s="59"/>
    </row>
    <row r="129" customFormat="false" ht="15" hidden="false" customHeight="true" outlineLevel="0" collapsed="false">
      <c r="C129" s="171"/>
    </row>
    <row r="130" customFormat="false" ht="15" hidden="false" customHeight="true" outlineLevel="0" collapsed="false">
      <c r="C130" s="171"/>
    </row>
    <row r="131" customFormat="false" ht="15" hidden="false" customHeight="true" outlineLevel="0" collapsed="false">
      <c r="C131" s="172"/>
    </row>
    <row r="132" customFormat="false" ht="15" hidden="false" customHeight="true" outlineLevel="0" collapsed="false">
      <c r="C132" s="171"/>
    </row>
    <row r="133" customFormat="false" ht="15" hidden="false" customHeight="true" outlineLevel="0" collapsed="false">
      <c r="C133" s="152"/>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3" t="s">
        <v>4644</v>
      </c>
    </row>
    <row r="2" customFormat="false" ht="63.75" hidden="false" customHeight="true" outlineLevel="0" collapsed="false">
      <c r="B2" s="94" t="s">
        <v>4645</v>
      </c>
      <c r="C2" s="94"/>
      <c r="D2" s="94"/>
      <c r="E2" s="94"/>
      <c r="F2" s="94"/>
      <c r="G2" s="94"/>
      <c r="H2" s="94"/>
    </row>
    <row r="4" customFormat="false" ht="15" hidden="false" customHeight="true" outlineLevel="0" collapsed="false">
      <c r="B4" s="103" t="s">
        <v>4646</v>
      </c>
      <c r="C4" s="103" t="s">
        <v>4647</v>
      </c>
      <c r="D4" s="103" t="s">
        <v>4648</v>
      </c>
      <c r="E4" s="103" t="s">
        <v>1546</v>
      </c>
      <c r="F4" s="103" t="s">
        <v>4649</v>
      </c>
      <c r="G4" s="103" t="s">
        <v>4650</v>
      </c>
      <c r="H4" s="103" t="s">
        <v>4651</v>
      </c>
    </row>
    <row r="5" customFormat="false" ht="27.75" hidden="false" customHeight="true" outlineLevel="0" collapsed="false">
      <c r="B5" s="120" t="s">
        <v>4652</v>
      </c>
      <c r="C5" s="120" t="s">
        <v>4653</v>
      </c>
      <c r="D5" s="120" t="s">
        <v>4654</v>
      </c>
      <c r="E5" s="120" t="s">
        <v>4655</v>
      </c>
      <c r="F5" s="120" t="s">
        <v>4656</v>
      </c>
      <c r="G5" s="120" t="s">
        <v>4657</v>
      </c>
      <c r="H5" s="120" t="s">
        <v>4658</v>
      </c>
    </row>
    <row r="6" customFormat="false" ht="27.75" hidden="false" customHeight="true" outlineLevel="0" collapsed="false">
      <c r="B6" s="120" t="s">
        <v>4652</v>
      </c>
      <c r="C6" s="120" t="s">
        <v>4659</v>
      </c>
      <c r="D6" s="120" t="s">
        <v>4660</v>
      </c>
      <c r="E6" s="120" t="s">
        <v>4661</v>
      </c>
      <c r="F6" s="120" t="s">
        <v>4662</v>
      </c>
      <c r="G6" s="120" t="s">
        <v>4663</v>
      </c>
      <c r="H6" s="120" t="s">
        <v>4658</v>
      </c>
    </row>
    <row r="7" customFormat="false" ht="27.75" hidden="false" customHeight="true" outlineLevel="0" collapsed="false">
      <c r="B7" s="120" t="s">
        <v>4664</v>
      </c>
      <c r="C7" s="120" t="s">
        <v>4665</v>
      </c>
      <c r="D7" s="120" t="s">
        <v>4666</v>
      </c>
      <c r="E7" s="120" t="s">
        <v>4667</v>
      </c>
      <c r="F7" s="120" t="s">
        <v>4668</v>
      </c>
      <c r="G7" s="120" t="s">
        <v>4663</v>
      </c>
      <c r="H7" s="120" t="s">
        <v>4658</v>
      </c>
    </row>
    <row r="8" customFormat="false" ht="27.75" hidden="false" customHeight="true" outlineLevel="0" collapsed="false">
      <c r="B8" s="120" t="s">
        <v>4664</v>
      </c>
      <c r="C8" s="120" t="s">
        <v>4669</v>
      </c>
      <c r="D8" s="120" t="s">
        <v>4670</v>
      </c>
      <c r="E8" s="120" t="s">
        <v>4671</v>
      </c>
      <c r="F8" s="120" t="s">
        <v>4672</v>
      </c>
      <c r="G8" s="120" t="s">
        <v>4663</v>
      </c>
      <c r="H8" s="120" t="s">
        <v>4658</v>
      </c>
    </row>
    <row r="9" customFormat="false" ht="54.75" hidden="false" customHeight="true" outlineLevel="0" collapsed="false">
      <c r="B9" s="120" t="s">
        <v>4664</v>
      </c>
      <c r="C9" s="120" t="s">
        <v>4673</v>
      </c>
      <c r="D9" s="120" t="s">
        <v>4674</v>
      </c>
      <c r="E9" s="120" t="s">
        <v>4675</v>
      </c>
      <c r="F9" s="120" t="s">
        <v>4676</v>
      </c>
      <c r="G9" s="120" t="s">
        <v>4677</v>
      </c>
      <c r="H9" s="120" t="s">
        <v>4658</v>
      </c>
    </row>
    <row r="10" customFormat="false" ht="41.25" hidden="false" customHeight="true" outlineLevel="0" collapsed="false">
      <c r="B10" s="120" t="s">
        <v>4678</v>
      </c>
      <c r="C10" s="120" t="s">
        <v>4679</v>
      </c>
      <c r="D10" s="120" t="s">
        <v>4680</v>
      </c>
      <c r="E10" s="120" t="s">
        <v>4681</v>
      </c>
      <c r="F10" s="120" t="s">
        <v>4682</v>
      </c>
      <c r="G10" s="120" t="s">
        <v>4663</v>
      </c>
      <c r="H10" s="120" t="s">
        <v>4658</v>
      </c>
    </row>
    <row r="11" customFormat="false" ht="41.25" hidden="false" customHeight="true" outlineLevel="0" collapsed="false">
      <c r="B11" s="120" t="s">
        <v>4678</v>
      </c>
      <c r="C11" s="120" t="s">
        <v>4683</v>
      </c>
      <c r="D11" s="120" t="s">
        <v>4684</v>
      </c>
      <c r="E11" s="120" t="s">
        <v>4685</v>
      </c>
      <c r="F11" s="120" t="s">
        <v>4686</v>
      </c>
      <c r="G11" s="120" t="s">
        <v>4677</v>
      </c>
      <c r="H11" s="120" t="s">
        <v>4658</v>
      </c>
    </row>
    <row r="12" customFormat="false" ht="41.25" hidden="false" customHeight="true" outlineLevel="0" collapsed="false">
      <c r="B12" s="120" t="s">
        <v>4678</v>
      </c>
      <c r="C12" s="120" t="s">
        <v>4687</v>
      </c>
      <c r="D12" s="120" t="s">
        <v>4688</v>
      </c>
      <c r="E12" s="120" t="s">
        <v>4689</v>
      </c>
      <c r="F12" s="120" t="s">
        <v>4656</v>
      </c>
      <c r="G12" s="120" t="s">
        <v>4657</v>
      </c>
      <c r="H12" s="120" t="s">
        <v>4658</v>
      </c>
    </row>
    <row r="13" customFormat="false" ht="41.25" hidden="false" customHeight="true" outlineLevel="0" collapsed="false">
      <c r="B13" s="120" t="s">
        <v>4690</v>
      </c>
      <c r="C13" s="120" t="s">
        <v>4691</v>
      </c>
      <c r="D13" s="120" t="s">
        <v>4692</v>
      </c>
      <c r="E13" s="120" t="s">
        <v>4693</v>
      </c>
      <c r="F13" s="120" t="s">
        <v>4694</v>
      </c>
      <c r="G13" s="120" t="s">
        <v>4677</v>
      </c>
      <c r="H13" s="120" t="s">
        <v>4658</v>
      </c>
    </row>
    <row r="14" customFormat="false" ht="41.25" hidden="false" customHeight="true" outlineLevel="0" collapsed="false">
      <c r="B14" s="120" t="s">
        <v>4690</v>
      </c>
      <c r="C14" s="120" t="s">
        <v>4695</v>
      </c>
      <c r="D14" s="120" t="s">
        <v>4696</v>
      </c>
      <c r="E14" s="120" t="s">
        <v>4697</v>
      </c>
      <c r="F14" s="120" t="s">
        <v>4698</v>
      </c>
      <c r="G14" s="120" t="s">
        <v>4677</v>
      </c>
      <c r="H14" s="120" t="s">
        <v>4658</v>
      </c>
    </row>
    <row r="15" customFormat="false" ht="41.25" hidden="false" customHeight="true" outlineLevel="0" collapsed="false">
      <c r="B15" s="120" t="s">
        <v>4690</v>
      </c>
      <c r="C15" s="120" t="s">
        <v>4699</v>
      </c>
      <c r="D15" s="120" t="s">
        <v>4700</v>
      </c>
      <c r="E15" s="120" t="s">
        <v>4701</v>
      </c>
      <c r="F15" s="120" t="s">
        <v>4702</v>
      </c>
      <c r="G15" s="120" t="s">
        <v>4677</v>
      </c>
      <c r="H15" s="120" t="s">
        <v>4658</v>
      </c>
    </row>
    <row r="16" customFormat="false" ht="27.75" hidden="false" customHeight="true" outlineLevel="0" collapsed="false">
      <c r="B16" s="120" t="s">
        <v>4690</v>
      </c>
      <c r="C16" s="120" t="s">
        <v>4703</v>
      </c>
      <c r="D16" s="120" t="s">
        <v>4704</v>
      </c>
      <c r="E16" s="120" t="s">
        <v>4705</v>
      </c>
      <c r="F16" s="120" t="s">
        <v>4706</v>
      </c>
      <c r="G16" s="120" t="s">
        <v>4663</v>
      </c>
      <c r="H16" s="120" t="s">
        <v>4658</v>
      </c>
    </row>
    <row r="17" customFormat="false" ht="41.25" hidden="false" customHeight="true" outlineLevel="0" collapsed="false">
      <c r="B17" s="120" t="s">
        <v>4707</v>
      </c>
      <c r="C17" s="120" t="s">
        <v>4708</v>
      </c>
      <c r="D17" s="120" t="s">
        <v>4709</v>
      </c>
      <c r="E17" s="120" t="s">
        <v>4710</v>
      </c>
      <c r="F17" s="120" t="s">
        <v>4711</v>
      </c>
      <c r="G17" s="120" t="s">
        <v>4677</v>
      </c>
      <c r="H17" s="120" t="s">
        <v>4658</v>
      </c>
    </row>
    <row r="18" customFormat="false" ht="27.75" hidden="false" customHeight="true" outlineLevel="0" collapsed="false">
      <c r="B18" s="120" t="s">
        <v>4712</v>
      </c>
      <c r="C18" s="120" t="s">
        <v>4713</v>
      </c>
      <c r="D18" s="120" t="s">
        <v>4714</v>
      </c>
      <c r="E18" s="120" t="s">
        <v>4715</v>
      </c>
      <c r="F18" s="120" t="s">
        <v>4716</v>
      </c>
      <c r="G18" s="120" t="s">
        <v>4663</v>
      </c>
      <c r="H18" s="120" t="s">
        <v>4658</v>
      </c>
    </row>
    <row r="19" customFormat="false" ht="27.75" hidden="false" customHeight="true" outlineLevel="0" collapsed="false">
      <c r="B19" s="120" t="s">
        <v>4712</v>
      </c>
      <c r="C19" s="120" t="s">
        <v>4717</v>
      </c>
      <c r="D19" s="120" t="s">
        <v>4718</v>
      </c>
      <c r="E19" s="120" t="s">
        <v>4719</v>
      </c>
      <c r="F19" s="120" t="s">
        <v>4720</v>
      </c>
      <c r="G19" s="120" t="s">
        <v>4677</v>
      </c>
      <c r="H19" s="120" t="s">
        <v>4658</v>
      </c>
    </row>
    <row r="20" customFormat="false" ht="41.25" hidden="false" customHeight="true" outlineLevel="0" collapsed="false">
      <c r="B20" s="120" t="s">
        <v>4712</v>
      </c>
      <c r="C20" s="120" t="s">
        <v>4721</v>
      </c>
      <c r="D20" s="120" t="s">
        <v>4722</v>
      </c>
      <c r="E20" s="120" t="s">
        <v>4723</v>
      </c>
      <c r="F20" s="120" t="s">
        <v>4724</v>
      </c>
      <c r="G20" s="120" t="s">
        <v>4677</v>
      </c>
      <c r="H20" s="120" t="s">
        <v>4658</v>
      </c>
    </row>
    <row r="21" customFormat="false" ht="27.75" hidden="false" customHeight="true" outlineLevel="0" collapsed="false">
      <c r="B21" s="120" t="s">
        <v>4712</v>
      </c>
      <c r="C21" s="120" t="s">
        <v>4725</v>
      </c>
      <c r="D21" s="120" t="s">
        <v>4726</v>
      </c>
      <c r="E21" s="120" t="s">
        <v>4727</v>
      </c>
      <c r="F21" s="120" t="s">
        <v>4728</v>
      </c>
      <c r="G21" s="120" t="s">
        <v>4677</v>
      </c>
      <c r="H21" s="120" t="s">
        <v>4658</v>
      </c>
    </row>
    <row r="22" customFormat="false" ht="27.75" hidden="false" customHeight="true" outlineLevel="0" collapsed="false">
      <c r="B22" s="120" t="s">
        <v>4729</v>
      </c>
      <c r="C22" s="120" t="s">
        <v>4730</v>
      </c>
      <c r="D22" s="120" t="s">
        <v>4731</v>
      </c>
      <c r="E22" s="120" t="s">
        <v>4732</v>
      </c>
      <c r="F22" s="120" t="s">
        <v>4733</v>
      </c>
      <c r="G22" s="120" t="s">
        <v>4677</v>
      </c>
      <c r="H22" s="120" t="s">
        <v>4658</v>
      </c>
    </row>
    <row r="23" customFormat="false" ht="27.75" hidden="false" customHeight="true" outlineLevel="0" collapsed="false">
      <c r="B23" s="120" t="s">
        <v>4729</v>
      </c>
      <c r="C23" s="120" t="s">
        <v>4734</v>
      </c>
      <c r="D23" s="120" t="s">
        <v>4735</v>
      </c>
      <c r="E23" s="120" t="s">
        <v>4736</v>
      </c>
      <c r="F23" s="120" t="s">
        <v>4737</v>
      </c>
      <c r="G23" s="120" t="s">
        <v>4677</v>
      </c>
      <c r="H23" s="120" t="s">
        <v>4658</v>
      </c>
    </row>
    <row r="24" customFormat="false" ht="27.75" hidden="false" customHeight="true" outlineLevel="0" collapsed="false">
      <c r="B24" s="120" t="s">
        <v>4738</v>
      </c>
      <c r="C24" s="120" t="s">
        <v>4739</v>
      </c>
      <c r="D24" s="120" t="s">
        <v>4740</v>
      </c>
      <c r="E24" s="120" t="s">
        <v>4741</v>
      </c>
      <c r="F24" s="120" t="s">
        <v>4742</v>
      </c>
      <c r="G24" s="120" t="s">
        <v>4677</v>
      </c>
      <c r="H24" s="120" t="s">
        <v>4658</v>
      </c>
    </row>
    <row r="25" customFormat="false" ht="27.75" hidden="false" customHeight="true" outlineLevel="0" collapsed="false">
      <c r="B25" s="120" t="s">
        <v>4738</v>
      </c>
      <c r="C25" s="120" t="s">
        <v>4743</v>
      </c>
      <c r="D25" s="120" t="s">
        <v>4744</v>
      </c>
      <c r="E25" s="120" t="s">
        <v>4745</v>
      </c>
      <c r="F25" s="120" t="s">
        <v>4656</v>
      </c>
      <c r="G25" s="120" t="s">
        <v>4657</v>
      </c>
      <c r="H25" s="120" t="s">
        <v>4658</v>
      </c>
    </row>
    <row r="26" customFormat="false" ht="41.25" hidden="false" customHeight="true" outlineLevel="0" collapsed="false">
      <c r="B26" s="120" t="s">
        <v>4738</v>
      </c>
      <c r="C26" s="120" t="s">
        <v>4746</v>
      </c>
      <c r="D26" s="120" t="s">
        <v>4747</v>
      </c>
      <c r="E26" s="120" t="s">
        <v>4748</v>
      </c>
      <c r="F26" s="120" t="s">
        <v>4749</v>
      </c>
      <c r="G26" s="120" t="s">
        <v>4677</v>
      </c>
      <c r="H26" s="120" t="s">
        <v>4658</v>
      </c>
    </row>
    <row r="27" customFormat="false" ht="54.75" hidden="false" customHeight="true" outlineLevel="0" collapsed="false">
      <c r="B27" s="120" t="s">
        <v>4738</v>
      </c>
      <c r="C27" s="120" t="s">
        <v>4750</v>
      </c>
      <c r="D27" s="120" t="s">
        <v>4751</v>
      </c>
      <c r="E27" s="120" t="s">
        <v>4752</v>
      </c>
      <c r="F27" s="120" t="s">
        <v>4753</v>
      </c>
      <c r="G27" s="120" t="s">
        <v>4677</v>
      </c>
      <c r="H27" s="120" t="s">
        <v>4658</v>
      </c>
    </row>
    <row r="28" customFormat="false" ht="27.75" hidden="false" customHeight="true" outlineLevel="0" collapsed="false">
      <c r="B28" s="120" t="s">
        <v>4738</v>
      </c>
      <c r="C28" s="120" t="s">
        <v>4754</v>
      </c>
      <c r="D28" s="120" t="s">
        <v>4755</v>
      </c>
      <c r="E28" s="120" t="s">
        <v>4756</v>
      </c>
      <c r="F28" s="120" t="s">
        <v>4757</v>
      </c>
      <c r="G28" s="120" t="s">
        <v>4657</v>
      </c>
      <c r="H28" s="120" t="s">
        <v>4658</v>
      </c>
    </row>
    <row r="29" customFormat="false" ht="27.75" hidden="false" customHeight="true" outlineLevel="0" collapsed="false">
      <c r="B29" s="120" t="s">
        <v>4738</v>
      </c>
      <c r="C29" s="120" t="s">
        <v>4758</v>
      </c>
      <c r="D29" s="120" t="s">
        <v>4759</v>
      </c>
      <c r="E29" s="120" t="s">
        <v>4760</v>
      </c>
      <c r="F29" s="120" t="s">
        <v>4761</v>
      </c>
      <c r="G29" s="120" t="s">
        <v>4677</v>
      </c>
      <c r="H29" s="120" t="s">
        <v>4658</v>
      </c>
    </row>
    <row r="30" customFormat="false" ht="41.25" hidden="false" customHeight="true" outlineLevel="0" collapsed="false">
      <c r="B30" s="120" t="s">
        <v>4738</v>
      </c>
      <c r="C30" s="120" t="s">
        <v>4762</v>
      </c>
      <c r="D30" s="120" t="s">
        <v>4763</v>
      </c>
      <c r="E30" s="120" t="s">
        <v>4764</v>
      </c>
      <c r="F30" s="120" t="s">
        <v>4765</v>
      </c>
      <c r="G30" s="120" t="s">
        <v>4677</v>
      </c>
      <c r="H30" s="120" t="s">
        <v>4658</v>
      </c>
    </row>
    <row r="31" customFormat="false" ht="27.75" hidden="false" customHeight="true" outlineLevel="0" collapsed="false">
      <c r="B31" s="120" t="s">
        <v>4738</v>
      </c>
      <c r="C31" s="120" t="s">
        <v>4766</v>
      </c>
      <c r="D31" s="120" t="s">
        <v>4767</v>
      </c>
      <c r="E31" s="120" t="s">
        <v>4768</v>
      </c>
      <c r="F31" s="120" t="s">
        <v>4656</v>
      </c>
      <c r="G31" s="120" t="s">
        <v>4657</v>
      </c>
      <c r="H31" s="120" t="s">
        <v>4658</v>
      </c>
    </row>
    <row r="32" customFormat="false" ht="27.75" hidden="false" customHeight="true" outlineLevel="0" collapsed="false">
      <c r="B32" s="120" t="s">
        <v>4769</v>
      </c>
      <c r="C32" s="120" t="s">
        <v>4770</v>
      </c>
      <c r="D32" s="120" t="s">
        <v>4771</v>
      </c>
      <c r="E32" s="120" t="s">
        <v>4772</v>
      </c>
      <c r="F32" s="120" t="s">
        <v>4773</v>
      </c>
      <c r="G32" s="120" t="s">
        <v>4663</v>
      </c>
      <c r="H32" s="120" t="s">
        <v>4658</v>
      </c>
    </row>
    <row r="33" customFormat="false" ht="27.75" hidden="false" customHeight="true" outlineLevel="0" collapsed="false">
      <c r="B33" s="120" t="s">
        <v>4769</v>
      </c>
      <c r="C33" s="120" t="s">
        <v>4774</v>
      </c>
      <c r="D33" s="120" t="s">
        <v>4775</v>
      </c>
      <c r="E33" s="120" t="s">
        <v>4776</v>
      </c>
      <c r="F33" s="120" t="s">
        <v>4777</v>
      </c>
      <c r="G33" s="120" t="s">
        <v>4677</v>
      </c>
      <c r="H33" s="120" t="s">
        <v>4658</v>
      </c>
    </row>
    <row r="34" customFormat="false" ht="41.25" hidden="false" customHeight="true" outlineLevel="0" collapsed="false">
      <c r="B34" s="120" t="s">
        <v>4778</v>
      </c>
      <c r="C34" s="120" t="s">
        <v>4779</v>
      </c>
      <c r="D34" s="120" t="s">
        <v>4780</v>
      </c>
      <c r="E34" s="120" t="s">
        <v>4781</v>
      </c>
      <c r="F34" s="120" t="s">
        <v>4782</v>
      </c>
      <c r="G34" s="120" t="s">
        <v>4677</v>
      </c>
      <c r="H34" s="120" t="s">
        <v>4658</v>
      </c>
    </row>
    <row r="35" customFormat="false" ht="41.25" hidden="false" customHeight="true" outlineLevel="0" collapsed="false">
      <c r="B35" s="120" t="s">
        <v>4783</v>
      </c>
      <c r="C35" s="120" t="s">
        <v>4784</v>
      </c>
      <c r="D35" s="120" t="s">
        <v>4785</v>
      </c>
      <c r="E35" s="120" t="s">
        <v>4786</v>
      </c>
      <c r="F35" s="120" t="s">
        <v>4787</v>
      </c>
      <c r="G35" s="120" t="s">
        <v>4663</v>
      </c>
      <c r="H35" s="120" t="s">
        <v>4658</v>
      </c>
    </row>
    <row r="36" customFormat="false" ht="27.75" hidden="false" customHeight="true" outlineLevel="0" collapsed="false">
      <c r="B36" s="120" t="s">
        <v>4788</v>
      </c>
      <c r="C36" s="120" t="s">
        <v>4789</v>
      </c>
      <c r="D36" s="120" t="s">
        <v>4790</v>
      </c>
      <c r="E36" s="120" t="s">
        <v>4791</v>
      </c>
      <c r="F36" s="120" t="s">
        <v>4728</v>
      </c>
      <c r="G36" s="120" t="s">
        <v>4677</v>
      </c>
      <c r="H36" s="120" t="s">
        <v>4658</v>
      </c>
    </row>
    <row r="37" customFormat="false" ht="27.75" hidden="false" customHeight="true" outlineLevel="0" collapsed="false">
      <c r="B37" s="120" t="s">
        <v>4788</v>
      </c>
      <c r="C37" s="120" t="s">
        <v>4792</v>
      </c>
      <c r="D37" s="120" t="s">
        <v>4793</v>
      </c>
      <c r="E37" s="120" t="s">
        <v>4794</v>
      </c>
      <c r="F37" s="120" t="s">
        <v>4795</v>
      </c>
      <c r="G37" s="120" t="s">
        <v>4677</v>
      </c>
      <c r="H37" s="120" t="s">
        <v>4658</v>
      </c>
    </row>
    <row r="38" customFormat="false" ht="27.75" hidden="false" customHeight="true" outlineLevel="0" collapsed="false">
      <c r="B38" s="120" t="s">
        <v>4796</v>
      </c>
      <c r="C38" s="120" t="s">
        <v>4797</v>
      </c>
      <c r="D38" s="120" t="s">
        <v>4798</v>
      </c>
      <c r="E38" s="120" t="s">
        <v>4799</v>
      </c>
      <c r="F38" s="120" t="s">
        <v>4800</v>
      </c>
      <c r="G38" s="120" t="s">
        <v>4663</v>
      </c>
      <c r="H38" s="120" t="s">
        <v>4658</v>
      </c>
    </row>
    <row r="40" customFormat="false" ht="15" hidden="false" customHeight="true" outlineLevel="0" collapsed="false">
      <c r="B40" s="116" t="s">
        <v>4801</v>
      </c>
    </row>
    <row r="41" customFormat="false" ht="15" hidden="false" customHeight="true" outlineLevel="0" collapsed="false">
      <c r="B41" s="1" t="s">
        <v>4802</v>
      </c>
      <c r="D41" s="105" t="n">
        <v>0.18</v>
      </c>
    </row>
    <row r="42" customFormat="false" ht="15" hidden="false" customHeight="true" outlineLevel="0" collapsed="false">
      <c r="B42" s="1" t="s">
        <v>4803</v>
      </c>
      <c r="D42" s="106" t="n">
        <v>50</v>
      </c>
    </row>
    <row r="43" customFormat="false" ht="15" hidden="false" customHeight="true" outlineLevel="0" collapsed="false">
      <c r="B43" s="1" t="s">
        <v>4804</v>
      </c>
      <c r="D43" s="111" t="n">
        <f aca="false">'Plan cashflow'!$G$8/12</f>
        <v>0</v>
      </c>
    </row>
    <row r="44" customFormat="false" ht="15" hidden="false" customHeight="true" outlineLevel="0" collapsed="false">
      <c r="B44" s="1" t="s">
        <v>4805</v>
      </c>
      <c r="D44" s="111" t="n">
        <f aca="false">MAX(Rep_Step,ROUND(Rep_SharePct*Rep_TakeHomeM/Rep_Step,0)*Rep_Step)</f>
        <v>50</v>
      </c>
    </row>
    <row r="45" customFormat="false" ht="15" hidden="false" customHeight="true" outlineLevel="0" collapsed="false">
      <c r="B45" s="1" t="s">
        <v>4806</v>
      </c>
      <c r="D45" s="111" t="n">
        <f aca="false">ROUND(Rep_MoreM/2,0)</f>
        <v>25</v>
      </c>
    </row>
    <row r="46" customFormat="false" ht="15" hidden="false" customHeight="true" outlineLevel="0" collapsed="false">
      <c r="B46" s="1" t="s">
        <v>4807</v>
      </c>
      <c r="D46" s="105" t="n">
        <f aca="false">IF(F_Income&gt;IF(F_Married=1,Band_Married+MIN(In_pIncome,Band_Second_Earner_Max),IF(F_Spccc=1,Band_Single_Parent,Band_Single)),Rate_Higher,Rate_Standard)</f>
        <v>0.2</v>
      </c>
    </row>
    <row r="47" customFormat="false" ht="15" hidden="false" customHeight="true" outlineLevel="0" collapsed="false">
      <c r="B47" s="1" t="s">
        <v>4808</v>
      </c>
      <c r="D47" s="111" t="n">
        <f aca="false">MAX(0,INT((LOOKUP(F_Age,Relief_Age_From,Relief_Age_Pct)*MIN(F_Income,Relief_Earnings_Cap)-12*F_Own)/12))</f>
        <v>0</v>
      </c>
    </row>
    <row r="48" customFormat="false" ht="15" hidden="false" customHeight="true" outlineLevel="0" collapsed="false">
      <c r="B48" s="1" t="s">
        <v>4809</v>
      </c>
      <c r="D48" s="111" t="n">
        <f aca="false">ROUND(Rep_LimitM*(1-Rep_TaxRate),0)</f>
        <v>0</v>
      </c>
    </row>
    <row r="49" customFormat="false" ht="15" hidden="false" customHeight="true" outlineLevel="0" collapsed="false">
      <c r="B49" s="1" t="s">
        <v>4810</v>
      </c>
      <c r="D49" s="111" t="n">
        <f aca="false">ROUND(Rep_MoreM/(1-Rep_TaxRate),0)</f>
        <v>63</v>
      </c>
    </row>
    <row r="50" customFormat="false" ht="15" hidden="false" customHeight="true" outlineLevel="0" collapsed="false">
      <c r="B50" s="1" t="s">
        <v>4811</v>
      </c>
      <c r="D50" s="111" t="n">
        <f aca="false">ROUND(Rep_MoreM2/(1-Rep_TaxRate),0)</f>
        <v>31</v>
      </c>
    </row>
    <row r="52" customFormat="false" ht="15" hidden="false" customHeight="true" outlineLevel="0" collapsed="false">
      <c r="B52" s="116" t="s">
        <v>4812</v>
      </c>
    </row>
    <row r="53" customFormat="false" ht="15" hidden="false" customHeight="true" outlineLevel="0" collapsed="false">
      <c r="B53" s="96" t="s">
        <v>4813</v>
      </c>
      <c r="C53" s="96" t="s">
        <v>4814</v>
      </c>
      <c r="D53" s="96" t="s">
        <v>4815</v>
      </c>
      <c r="E53" s="96" t="s">
        <v>4816</v>
      </c>
    </row>
    <row r="54" customFormat="false" ht="15" hidden="false" customHeight="true" outlineLevel="0" collapsed="false">
      <c r="B54" s="120" t="s">
        <v>4817</v>
      </c>
      <c r="C54" s="120" t="s">
        <v>4818</v>
      </c>
      <c r="D54" s="120" t="s">
        <v>4819</v>
      </c>
      <c r="E54" s="120" t="s">
        <v>4820</v>
      </c>
    </row>
    <row r="55" customFormat="false" ht="54.75" hidden="false" customHeight="true" outlineLevel="0" collapsed="false">
      <c r="B55" s="120" t="s">
        <v>4821</v>
      </c>
      <c r="C55" s="120" t="s">
        <v>4746</v>
      </c>
      <c r="D55" s="120" t="s">
        <v>4822</v>
      </c>
      <c r="E55" s="120" t="s">
        <v>4823</v>
      </c>
    </row>
    <row r="56" customFormat="false" ht="15" hidden="false" customHeight="true" outlineLevel="0" collapsed="false">
      <c r="B56" s="120" t="s">
        <v>4824</v>
      </c>
      <c r="C56" s="120" t="s">
        <v>4825</v>
      </c>
      <c r="D56" s="120" t="s">
        <v>4826</v>
      </c>
      <c r="E56" s="120" t="s">
        <v>4823</v>
      </c>
    </row>
    <row r="57" customFormat="false" ht="41.25" hidden="false" customHeight="true" outlineLevel="0" collapsed="false">
      <c r="B57" s="120" t="s">
        <v>1446</v>
      </c>
      <c r="C57" s="120" t="s">
        <v>4750</v>
      </c>
      <c r="D57" s="120" t="s">
        <v>4827</v>
      </c>
      <c r="E57" s="120" t="s">
        <v>4823</v>
      </c>
    </row>
    <row r="58" customFormat="false" ht="41.25" hidden="false" customHeight="true" outlineLevel="0" collapsed="false">
      <c r="B58" s="120" t="s">
        <v>4828</v>
      </c>
      <c r="C58" s="120" t="s">
        <v>4754</v>
      </c>
      <c r="D58" s="120" t="s">
        <v>4829</v>
      </c>
      <c r="E58" s="120" t="s">
        <v>4823</v>
      </c>
    </row>
    <row r="59" customFormat="false" ht="41.25" hidden="false" customHeight="true" outlineLevel="0" collapsed="false">
      <c r="B59" s="120" t="s">
        <v>4830</v>
      </c>
      <c r="C59" s="120" t="s">
        <v>4831</v>
      </c>
      <c r="D59" s="120" t="s">
        <v>4832</v>
      </c>
      <c r="E59" s="120" t="s">
        <v>4823</v>
      </c>
    </row>
    <row r="60" customFormat="false" ht="41.25" hidden="false" customHeight="true" outlineLevel="0" collapsed="false">
      <c r="B60" s="120" t="s">
        <v>4833</v>
      </c>
      <c r="C60" s="120" t="s">
        <v>4834</v>
      </c>
      <c r="D60" s="120" t="s">
        <v>4835</v>
      </c>
      <c r="E60" s="120" t="s">
        <v>4823</v>
      </c>
    </row>
    <row r="61" customFormat="false" ht="27.75" hidden="false" customHeight="true" outlineLevel="0" collapsed="false">
      <c r="B61" s="120" t="s">
        <v>4836</v>
      </c>
      <c r="C61" s="120" t="s">
        <v>4837</v>
      </c>
      <c r="D61" s="120" t="s">
        <v>4838</v>
      </c>
      <c r="E61" s="120" t="s">
        <v>4823</v>
      </c>
    </row>
    <row r="62" customFormat="false" ht="41.25" hidden="false" customHeight="true" outlineLevel="0" collapsed="false">
      <c r="B62" s="120" t="s">
        <v>4839</v>
      </c>
      <c r="C62" s="120" t="s">
        <v>4840</v>
      </c>
      <c r="D62" s="120" t="s">
        <v>4841</v>
      </c>
      <c r="E62" s="120" t="s">
        <v>4823</v>
      </c>
    </row>
    <row r="64" customFormat="false" ht="33.75" hidden="false" customHeight="true" outlineLevel="0" collapsed="false">
      <c r="B64" s="173" t="s">
        <v>4842</v>
      </c>
      <c r="C64" s="173"/>
      <c r="D64" s="173"/>
      <c r="E64" s="173"/>
      <c r="F64" s="173"/>
      <c r="G64" s="173"/>
      <c r="H64" s="173"/>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52"/>
    <col collapsed="false" customWidth="true" hidden="false" outlineLevel="0" max="4" min="4" style="0" width="16"/>
    <col collapsed="false" customWidth="true" hidden="false" outlineLevel="0" max="5" min="5" style="0" width="20"/>
    <col collapsed="false" customWidth="true" hidden="false" outlineLevel="0" max="6" min="6" style="0" width="26"/>
    <col collapsed="false" customWidth="true" hidden="false" outlineLevel="0" max="7" min="7" style="0" width="48"/>
    <col collapsed="false" customWidth="true" hidden="false" outlineLevel="0" max="8" min="8" style="0" width="52"/>
    <col collapsed="false" customWidth="true" hidden="false" outlineLevel="0" max="9" min="9" style="0" width="22"/>
  </cols>
  <sheetData>
    <row r="1" customFormat="false" ht="19.7" hidden="false" customHeight="false" outlineLevel="0" collapsed="false">
      <c r="A1" s="24" t="s">
        <v>221</v>
      </c>
    </row>
    <row r="2" customFormat="false" ht="48" hidden="false" customHeight="true" outlineLevel="0" collapsed="false">
      <c r="A2" s="94" t="s">
        <v>4843</v>
      </c>
      <c r="B2" s="94"/>
      <c r="C2" s="94"/>
      <c r="D2" s="94"/>
      <c r="E2" s="94"/>
      <c r="F2" s="94"/>
      <c r="G2" s="94"/>
      <c r="H2" s="94"/>
      <c r="I2" s="94"/>
    </row>
    <row r="4" customFormat="false" ht="15" hidden="false" customHeight="false" outlineLevel="0" collapsed="false">
      <c r="A4" s="174" t="s">
        <v>2510</v>
      </c>
      <c r="B4" s="174" t="s">
        <v>33</v>
      </c>
      <c r="C4" s="174" t="s">
        <v>4844</v>
      </c>
      <c r="D4" s="174" t="s">
        <v>4845</v>
      </c>
      <c r="E4" s="174" t="s">
        <v>100</v>
      </c>
      <c r="F4" s="174" t="s">
        <v>4442</v>
      </c>
      <c r="G4" s="174" t="s">
        <v>4255</v>
      </c>
      <c r="H4" s="174" t="s">
        <v>4846</v>
      </c>
      <c r="I4" s="174" t="s">
        <v>4847</v>
      </c>
    </row>
    <row r="5" customFormat="false" ht="41.75" hidden="false" customHeight="false" outlineLevel="0" collapsed="false">
      <c r="A5" s="26" t="s">
        <v>4848</v>
      </c>
      <c r="B5" s="26" t="s">
        <v>3931</v>
      </c>
      <c r="C5" s="26" t="s">
        <v>4849</v>
      </c>
      <c r="D5" s="175" t="n">
        <v>44000</v>
      </c>
      <c r="E5" s="176" t="s">
        <v>4850</v>
      </c>
      <c r="F5" s="26" t="s">
        <v>4851</v>
      </c>
      <c r="G5" s="26" t="s">
        <v>4852</v>
      </c>
      <c r="H5" s="26" t="s">
        <v>4853</v>
      </c>
      <c r="I5" s="26" t="s">
        <v>4854</v>
      </c>
    </row>
    <row r="6" customFormat="false" ht="41.75" hidden="false" customHeight="false" outlineLevel="0" collapsed="false">
      <c r="A6" s="26" t="s">
        <v>4855</v>
      </c>
      <c r="B6" s="26" t="s">
        <v>3931</v>
      </c>
      <c r="C6" s="26" t="s">
        <v>4856</v>
      </c>
      <c r="D6" s="175" t="n">
        <v>48000</v>
      </c>
      <c r="E6" s="176" t="s">
        <v>4850</v>
      </c>
      <c r="F6" s="26" t="s">
        <v>4851</v>
      </c>
      <c r="G6" s="26" t="s">
        <v>4852</v>
      </c>
      <c r="H6" s="26" t="s">
        <v>4857</v>
      </c>
      <c r="I6" s="26" t="s">
        <v>4854</v>
      </c>
    </row>
    <row r="7" customFormat="false" ht="41.75" hidden="false" customHeight="false" outlineLevel="0" collapsed="false">
      <c r="A7" s="26" t="s">
        <v>4858</v>
      </c>
      <c r="B7" s="26" t="s">
        <v>3931</v>
      </c>
      <c r="C7" s="26" t="s">
        <v>4859</v>
      </c>
      <c r="D7" s="175" t="n">
        <v>53000</v>
      </c>
      <c r="E7" s="176" t="s">
        <v>4850</v>
      </c>
      <c r="F7" s="26" t="s">
        <v>4851</v>
      </c>
      <c r="G7" s="26" t="s">
        <v>4852</v>
      </c>
      <c r="H7" s="26" t="s">
        <v>4860</v>
      </c>
      <c r="I7" s="26" t="s">
        <v>4854</v>
      </c>
    </row>
    <row r="8" customFormat="false" ht="41.75" hidden="false" customHeight="false" outlineLevel="0" collapsed="false">
      <c r="A8" s="26" t="s">
        <v>4861</v>
      </c>
      <c r="B8" s="26" t="s">
        <v>3931</v>
      </c>
      <c r="C8" s="26" t="s">
        <v>4862</v>
      </c>
      <c r="D8" s="175" t="n">
        <v>35000</v>
      </c>
      <c r="E8" s="176" t="s">
        <v>4850</v>
      </c>
      <c r="F8" s="26" t="s">
        <v>4851</v>
      </c>
      <c r="G8" s="26" t="s">
        <v>4852</v>
      </c>
      <c r="H8" s="26" t="s">
        <v>4863</v>
      </c>
      <c r="I8" s="26" t="s">
        <v>4854</v>
      </c>
    </row>
    <row r="9" customFormat="false" ht="15" hidden="false" customHeight="false" outlineLevel="0" collapsed="false">
      <c r="A9" s="26" t="s">
        <v>4864</v>
      </c>
      <c r="B9" s="26" t="s">
        <v>3931</v>
      </c>
      <c r="C9" s="26" t="s">
        <v>4865</v>
      </c>
      <c r="D9" s="177" t="n">
        <v>0.2</v>
      </c>
      <c r="E9" s="176" t="s">
        <v>4850</v>
      </c>
      <c r="F9" s="26" t="s">
        <v>4270</v>
      </c>
      <c r="G9" s="26" t="s">
        <v>4866</v>
      </c>
      <c r="H9" s="26"/>
      <c r="I9" s="26" t="s">
        <v>4854</v>
      </c>
    </row>
    <row r="10" customFormat="false" ht="15" hidden="false" customHeight="false" outlineLevel="0" collapsed="false">
      <c r="A10" s="26" t="s">
        <v>4867</v>
      </c>
      <c r="B10" s="26" t="s">
        <v>3931</v>
      </c>
      <c r="C10" s="26" t="s">
        <v>4868</v>
      </c>
      <c r="D10" s="177" t="n">
        <v>0.4</v>
      </c>
      <c r="E10" s="176" t="s">
        <v>4850</v>
      </c>
      <c r="F10" s="26" t="s">
        <v>4270</v>
      </c>
      <c r="G10" s="26" t="s">
        <v>4866</v>
      </c>
      <c r="H10" s="26"/>
      <c r="I10" s="26" t="s">
        <v>4854</v>
      </c>
    </row>
    <row r="11" customFormat="false" ht="41.75" hidden="false" customHeight="false" outlineLevel="0" collapsed="false">
      <c r="A11" s="26" t="s">
        <v>4869</v>
      </c>
      <c r="B11" s="26" t="s">
        <v>3931</v>
      </c>
      <c r="C11" s="26" t="s">
        <v>4870</v>
      </c>
      <c r="D11" s="175" t="n">
        <v>2000</v>
      </c>
      <c r="E11" s="176" t="s">
        <v>4850</v>
      </c>
      <c r="F11" s="26" t="s">
        <v>4851</v>
      </c>
      <c r="G11" s="26" t="s">
        <v>4852</v>
      </c>
      <c r="H11" s="26" t="s">
        <v>4871</v>
      </c>
      <c r="I11" s="26" t="s">
        <v>4854</v>
      </c>
    </row>
    <row r="12" customFormat="false" ht="41.75" hidden="false" customHeight="false" outlineLevel="0" collapsed="false">
      <c r="A12" s="26" t="s">
        <v>4872</v>
      </c>
      <c r="B12" s="26" t="s">
        <v>3931</v>
      </c>
      <c r="C12" s="26" t="s">
        <v>4873</v>
      </c>
      <c r="D12" s="175" t="n">
        <v>4000</v>
      </c>
      <c r="E12" s="176" t="s">
        <v>4850</v>
      </c>
      <c r="F12" s="26" t="s">
        <v>4851</v>
      </c>
      <c r="G12" s="26" t="s">
        <v>4852</v>
      </c>
      <c r="H12" s="26" t="s">
        <v>4874</v>
      </c>
      <c r="I12" s="26" t="s">
        <v>4854</v>
      </c>
    </row>
    <row r="13" customFormat="false" ht="41.75" hidden="false" customHeight="false" outlineLevel="0" collapsed="false">
      <c r="A13" s="26" t="s">
        <v>4875</v>
      </c>
      <c r="B13" s="26" t="s">
        <v>3931</v>
      </c>
      <c r="C13" s="26" t="s">
        <v>4876</v>
      </c>
      <c r="D13" s="175" t="n">
        <v>2000</v>
      </c>
      <c r="E13" s="176" t="s">
        <v>4850</v>
      </c>
      <c r="F13" s="26" t="s">
        <v>4851</v>
      </c>
      <c r="G13" s="26" t="s">
        <v>4852</v>
      </c>
      <c r="H13" s="26" t="s">
        <v>4877</v>
      </c>
      <c r="I13" s="26" t="s">
        <v>4854</v>
      </c>
    </row>
    <row r="14" customFormat="false" ht="41.75" hidden="false" customHeight="false" outlineLevel="0" collapsed="false">
      <c r="A14" s="26" t="s">
        <v>4878</v>
      </c>
      <c r="B14" s="26" t="s">
        <v>3931</v>
      </c>
      <c r="C14" s="26" t="s">
        <v>4879</v>
      </c>
      <c r="D14" s="175" t="n">
        <v>2000</v>
      </c>
      <c r="E14" s="176" t="s">
        <v>4850</v>
      </c>
      <c r="F14" s="26" t="s">
        <v>4851</v>
      </c>
      <c r="G14" s="26" t="s">
        <v>4852</v>
      </c>
      <c r="H14" s="26" t="s">
        <v>4880</v>
      </c>
      <c r="I14" s="26" t="s">
        <v>4854</v>
      </c>
    </row>
    <row r="15" customFormat="false" ht="41.75" hidden="false" customHeight="false" outlineLevel="0" collapsed="false">
      <c r="A15" s="26" t="s">
        <v>4881</v>
      </c>
      <c r="B15" s="26" t="s">
        <v>3931</v>
      </c>
      <c r="C15" s="26" t="s">
        <v>4882</v>
      </c>
      <c r="D15" s="177" t="n">
        <v>0.2</v>
      </c>
      <c r="E15" s="176" t="s">
        <v>4850</v>
      </c>
      <c r="F15" s="26" t="s">
        <v>4270</v>
      </c>
      <c r="G15" s="26" t="s">
        <v>4470</v>
      </c>
      <c r="H15" s="26"/>
      <c r="I15" s="26" t="s">
        <v>4854</v>
      </c>
    </row>
    <row r="16" customFormat="false" ht="41.75" hidden="false" customHeight="false" outlineLevel="0" collapsed="false">
      <c r="A16" s="26" t="s">
        <v>4883</v>
      </c>
      <c r="B16" s="26" t="s">
        <v>3931</v>
      </c>
      <c r="C16" s="26" t="s">
        <v>1567</v>
      </c>
      <c r="D16" s="175" t="n">
        <v>1000</v>
      </c>
      <c r="E16" s="176" t="s">
        <v>4850</v>
      </c>
      <c r="F16" s="26" t="s">
        <v>4884</v>
      </c>
      <c r="G16" s="26" t="s">
        <v>4852</v>
      </c>
      <c r="H16" s="26" t="s">
        <v>4885</v>
      </c>
      <c r="I16" s="26" t="s">
        <v>4854</v>
      </c>
    </row>
    <row r="17" customFormat="false" ht="41.75" hidden="false" customHeight="false" outlineLevel="0" collapsed="false">
      <c r="A17" s="26" t="s">
        <v>4886</v>
      </c>
      <c r="B17" s="26" t="s">
        <v>3931</v>
      </c>
      <c r="C17" s="26" t="s">
        <v>4887</v>
      </c>
      <c r="D17" s="175" t="n">
        <v>2000</v>
      </c>
      <c r="E17" s="176" t="s">
        <v>4850</v>
      </c>
      <c r="F17" s="26" t="s">
        <v>4884</v>
      </c>
      <c r="G17" s="26" t="s">
        <v>4852</v>
      </c>
      <c r="H17" s="26" t="s">
        <v>4888</v>
      </c>
      <c r="I17" s="26" t="s">
        <v>4854</v>
      </c>
    </row>
    <row r="18" customFormat="false" ht="15" hidden="false" customHeight="false" outlineLevel="0" collapsed="false">
      <c r="A18" s="26" t="s">
        <v>4889</v>
      </c>
      <c r="B18" s="26" t="s">
        <v>3931</v>
      </c>
      <c r="C18" s="26" t="s">
        <v>1571</v>
      </c>
      <c r="D18" s="175" t="n">
        <v>2028</v>
      </c>
      <c r="E18" s="176" t="s">
        <v>4850</v>
      </c>
      <c r="F18" s="26" t="s">
        <v>4890</v>
      </c>
      <c r="G18" s="26" t="s">
        <v>4891</v>
      </c>
      <c r="H18" s="26"/>
      <c r="I18" s="26" t="s">
        <v>4854</v>
      </c>
    </row>
    <row r="19" customFormat="false" ht="28.35" hidden="false" customHeight="false" outlineLevel="0" collapsed="false">
      <c r="A19" s="26" t="s">
        <v>4892</v>
      </c>
      <c r="B19" s="26" t="s">
        <v>3931</v>
      </c>
      <c r="C19" s="26" t="s">
        <v>4893</v>
      </c>
      <c r="D19" s="175" t="n">
        <v>1900</v>
      </c>
      <c r="E19" s="176" t="s">
        <v>4850</v>
      </c>
      <c r="F19" s="26" t="s">
        <v>4450</v>
      </c>
      <c r="G19" s="26" t="s">
        <v>4894</v>
      </c>
      <c r="H19" s="26"/>
      <c r="I19" s="26" t="s">
        <v>4854</v>
      </c>
    </row>
    <row r="20" customFormat="false" ht="41.75" hidden="false" customHeight="false" outlineLevel="0" collapsed="false">
      <c r="A20" s="26" t="s">
        <v>4895</v>
      </c>
      <c r="B20" s="26" t="s">
        <v>3931</v>
      </c>
      <c r="C20" s="26" t="s">
        <v>4896</v>
      </c>
      <c r="D20" s="175" t="n">
        <v>1950</v>
      </c>
      <c r="E20" s="176" t="s">
        <v>4850</v>
      </c>
      <c r="F20" s="26" t="s">
        <v>4851</v>
      </c>
      <c r="G20" s="26" t="s">
        <v>4852</v>
      </c>
      <c r="H20" s="26" t="s">
        <v>4897</v>
      </c>
      <c r="I20" s="26" t="s">
        <v>4854</v>
      </c>
    </row>
    <row r="21" customFormat="false" ht="15" hidden="false" customHeight="false" outlineLevel="0" collapsed="false">
      <c r="A21" s="26" t="s">
        <v>4898</v>
      </c>
      <c r="B21" s="26" t="s">
        <v>3931</v>
      </c>
      <c r="C21" s="26" t="s">
        <v>4899</v>
      </c>
      <c r="D21" s="175" t="n">
        <v>7200</v>
      </c>
      <c r="E21" s="176" t="s">
        <v>4850</v>
      </c>
      <c r="F21" s="26" t="s">
        <v>4900</v>
      </c>
      <c r="G21" s="26" t="s">
        <v>4891</v>
      </c>
      <c r="H21" s="26"/>
      <c r="I21" s="26" t="s">
        <v>4854</v>
      </c>
    </row>
    <row r="22" customFormat="false" ht="28.35" hidden="false" customHeight="false" outlineLevel="0" collapsed="false">
      <c r="A22" s="26" t="s">
        <v>4901</v>
      </c>
      <c r="B22" s="26" t="s">
        <v>3931</v>
      </c>
      <c r="C22" s="26" t="s">
        <v>4902</v>
      </c>
      <c r="D22" s="175" t="n">
        <v>65</v>
      </c>
      <c r="E22" s="176" t="s">
        <v>4850</v>
      </c>
      <c r="F22" s="26" t="s">
        <v>4270</v>
      </c>
      <c r="G22" s="26" t="s">
        <v>4903</v>
      </c>
      <c r="H22" s="26"/>
      <c r="I22" s="26" t="s">
        <v>4854</v>
      </c>
    </row>
    <row r="23" customFormat="false" ht="28.35" hidden="false" customHeight="false" outlineLevel="0" collapsed="false">
      <c r="A23" s="26" t="s">
        <v>4904</v>
      </c>
      <c r="B23" s="26" t="s">
        <v>3931</v>
      </c>
      <c r="C23" s="26" t="s">
        <v>4905</v>
      </c>
      <c r="D23" s="175" t="n">
        <v>245</v>
      </c>
      <c r="E23" s="176" t="s">
        <v>4850</v>
      </c>
      <c r="F23" s="26" t="s">
        <v>4270</v>
      </c>
      <c r="G23" s="26" t="s">
        <v>4903</v>
      </c>
      <c r="H23" s="26"/>
      <c r="I23" s="26" t="s">
        <v>4854</v>
      </c>
    </row>
    <row r="24" customFormat="false" ht="28.35" hidden="false" customHeight="false" outlineLevel="0" collapsed="false">
      <c r="A24" s="26" t="s">
        <v>4906</v>
      </c>
      <c r="B24" s="26" t="s">
        <v>3931</v>
      </c>
      <c r="C24" s="26" t="s">
        <v>4907</v>
      </c>
      <c r="D24" s="175" t="n">
        <v>18000</v>
      </c>
      <c r="E24" s="176" t="s">
        <v>4850</v>
      </c>
      <c r="F24" s="26" t="s">
        <v>4270</v>
      </c>
      <c r="G24" s="26" t="s">
        <v>4903</v>
      </c>
      <c r="H24" s="26"/>
      <c r="I24" s="26" t="s">
        <v>4854</v>
      </c>
    </row>
    <row r="25" customFormat="false" ht="28.35" hidden="false" customHeight="false" outlineLevel="0" collapsed="false">
      <c r="A25" s="26" t="s">
        <v>4908</v>
      </c>
      <c r="B25" s="26" t="s">
        <v>3931</v>
      </c>
      <c r="C25" s="26" t="s">
        <v>4909</v>
      </c>
      <c r="D25" s="175" t="n">
        <v>36000</v>
      </c>
      <c r="E25" s="176" t="s">
        <v>4850</v>
      </c>
      <c r="F25" s="26" t="s">
        <v>4270</v>
      </c>
      <c r="G25" s="26" t="s">
        <v>4903</v>
      </c>
      <c r="H25" s="26"/>
      <c r="I25" s="26" t="s">
        <v>4854</v>
      </c>
    </row>
    <row r="26" customFormat="false" ht="28.35" hidden="false" customHeight="false" outlineLevel="0" collapsed="false">
      <c r="A26" s="26" t="s">
        <v>4910</v>
      </c>
      <c r="B26" s="26" t="s">
        <v>3931</v>
      </c>
      <c r="C26" s="26" t="s">
        <v>4911</v>
      </c>
      <c r="D26" s="177" t="n">
        <v>0.4</v>
      </c>
      <c r="E26" s="176" t="s">
        <v>4850</v>
      </c>
      <c r="F26" s="26" t="s">
        <v>4533</v>
      </c>
      <c r="G26" s="26" t="s">
        <v>4903</v>
      </c>
      <c r="H26" s="26"/>
      <c r="I26" s="26" t="s">
        <v>4854</v>
      </c>
    </row>
    <row r="27" customFormat="false" ht="55.2" hidden="false" customHeight="false" outlineLevel="0" collapsed="false">
      <c r="A27" s="26" t="s">
        <v>4912</v>
      </c>
      <c r="B27" s="26" t="s">
        <v>3952</v>
      </c>
      <c r="C27" s="26" t="s">
        <v>4913</v>
      </c>
      <c r="D27" s="26" t="s">
        <v>4914</v>
      </c>
      <c r="E27" s="176" t="s">
        <v>4850</v>
      </c>
      <c r="F27" s="26" t="s">
        <v>4851</v>
      </c>
      <c r="G27" s="26" t="s">
        <v>4852</v>
      </c>
      <c r="H27" s="26" t="s">
        <v>4915</v>
      </c>
      <c r="I27" s="26" t="s">
        <v>4854</v>
      </c>
    </row>
    <row r="28" customFormat="false" ht="15" hidden="false" customHeight="false" outlineLevel="0" collapsed="false">
      <c r="A28" s="26" t="s">
        <v>4916</v>
      </c>
      <c r="B28" s="26" t="s">
        <v>3952</v>
      </c>
      <c r="C28" s="26" t="s">
        <v>4917</v>
      </c>
      <c r="D28" s="175" t="n">
        <v>13000</v>
      </c>
      <c r="E28" s="176" t="s">
        <v>4850</v>
      </c>
      <c r="F28" s="26" t="s">
        <v>4270</v>
      </c>
      <c r="G28" s="26" t="s">
        <v>4866</v>
      </c>
      <c r="H28" s="26"/>
      <c r="I28" s="26" t="s">
        <v>4854</v>
      </c>
    </row>
    <row r="29" customFormat="false" ht="28.35" hidden="false" customHeight="false" outlineLevel="0" collapsed="false">
      <c r="A29" s="26" t="s">
        <v>4918</v>
      </c>
      <c r="B29" s="26" t="s">
        <v>3952</v>
      </c>
      <c r="C29" s="26" t="s">
        <v>4919</v>
      </c>
      <c r="D29" s="175" t="n">
        <v>70</v>
      </c>
      <c r="E29" s="176" t="s">
        <v>4850</v>
      </c>
      <c r="F29" s="26" t="s">
        <v>4270</v>
      </c>
      <c r="G29" s="26" t="s">
        <v>4903</v>
      </c>
      <c r="H29" s="26"/>
      <c r="I29" s="26" t="s">
        <v>4854</v>
      </c>
    </row>
    <row r="30" customFormat="false" ht="28.35" hidden="false" customHeight="false" outlineLevel="0" collapsed="false">
      <c r="A30" s="26" t="s">
        <v>4920</v>
      </c>
      <c r="B30" s="26" t="s">
        <v>3952</v>
      </c>
      <c r="C30" s="26" t="s">
        <v>4921</v>
      </c>
      <c r="D30" s="175" t="n">
        <v>60000</v>
      </c>
      <c r="E30" s="176" t="s">
        <v>4850</v>
      </c>
      <c r="F30" s="26" t="s">
        <v>4270</v>
      </c>
      <c r="G30" s="26" t="s">
        <v>4903</v>
      </c>
      <c r="H30" s="26"/>
      <c r="I30" s="26" t="s">
        <v>4854</v>
      </c>
    </row>
    <row r="31" customFormat="false" ht="28.35" hidden="false" customHeight="false" outlineLevel="0" collapsed="false">
      <c r="A31" s="26" t="s">
        <v>4922</v>
      </c>
      <c r="B31" s="26" t="s">
        <v>3952</v>
      </c>
      <c r="C31" s="26" t="s">
        <v>4923</v>
      </c>
      <c r="D31" s="26" t="s">
        <v>4924</v>
      </c>
      <c r="E31" s="176" t="s">
        <v>4850</v>
      </c>
      <c r="F31" s="26" t="s">
        <v>4270</v>
      </c>
      <c r="G31" s="26" t="s">
        <v>4903</v>
      </c>
      <c r="H31" s="26"/>
      <c r="I31" s="26" t="s">
        <v>4854</v>
      </c>
    </row>
    <row r="32" customFormat="false" ht="15" hidden="false" customHeight="false" outlineLevel="0" collapsed="false">
      <c r="A32" s="26" t="s">
        <v>4925</v>
      </c>
      <c r="B32" s="26" t="s">
        <v>3952</v>
      </c>
      <c r="C32" s="26" t="s">
        <v>4926</v>
      </c>
      <c r="D32" s="177" t="n">
        <v>0.03</v>
      </c>
      <c r="E32" s="176" t="s">
        <v>4850</v>
      </c>
      <c r="F32" s="26" t="s">
        <v>4270</v>
      </c>
      <c r="G32" s="26" t="s">
        <v>4866</v>
      </c>
      <c r="H32" s="26"/>
      <c r="I32" s="26" t="s">
        <v>4854</v>
      </c>
    </row>
    <row r="33" customFormat="false" ht="28.35" hidden="false" customHeight="false" outlineLevel="0" collapsed="false">
      <c r="A33" s="26" t="s">
        <v>4927</v>
      </c>
      <c r="B33" s="26" t="s">
        <v>3952</v>
      </c>
      <c r="C33" s="26" t="s">
        <v>4928</v>
      </c>
      <c r="D33" s="175" t="n">
        <v>100000</v>
      </c>
      <c r="E33" s="176" t="s">
        <v>4850</v>
      </c>
      <c r="F33" s="26" t="s">
        <v>4270</v>
      </c>
      <c r="G33" s="26" t="s">
        <v>4866</v>
      </c>
      <c r="H33" s="26"/>
      <c r="I33" s="26" t="s">
        <v>4854</v>
      </c>
    </row>
    <row r="34" customFormat="false" ht="95.5" hidden="false" customHeight="false" outlineLevel="0" collapsed="false">
      <c r="A34" s="26" t="s">
        <v>4929</v>
      </c>
      <c r="B34" s="26" t="s">
        <v>4930</v>
      </c>
      <c r="C34" s="26" t="s">
        <v>4931</v>
      </c>
      <c r="D34" s="26" t="s">
        <v>4932</v>
      </c>
      <c r="E34" s="176" t="s">
        <v>4850</v>
      </c>
      <c r="F34" s="26" t="s">
        <v>4933</v>
      </c>
      <c r="G34" s="26" t="s">
        <v>4934</v>
      </c>
      <c r="H34" s="26"/>
      <c r="I34" s="26" t="s">
        <v>4854</v>
      </c>
    </row>
    <row r="35" customFormat="false" ht="15" hidden="false" customHeight="false" outlineLevel="0" collapsed="false">
      <c r="A35" s="26" t="s">
        <v>4935</v>
      </c>
      <c r="B35" s="26" t="s">
        <v>4930</v>
      </c>
      <c r="C35" s="26" t="s">
        <v>4936</v>
      </c>
      <c r="D35" s="175" t="n">
        <v>352</v>
      </c>
      <c r="E35" s="176" t="s">
        <v>4850</v>
      </c>
      <c r="F35" s="26" t="s">
        <v>4270</v>
      </c>
      <c r="G35" s="26" t="s">
        <v>4937</v>
      </c>
      <c r="H35" s="26"/>
      <c r="I35" s="26" t="s">
        <v>4854</v>
      </c>
    </row>
    <row r="36" customFormat="false" ht="15" hidden="false" customHeight="false" outlineLevel="0" collapsed="false">
      <c r="A36" s="26" t="s">
        <v>4938</v>
      </c>
      <c r="B36" s="26" t="s">
        <v>4930</v>
      </c>
      <c r="C36" s="26" t="s">
        <v>4939</v>
      </c>
      <c r="D36" s="175" t="n">
        <v>12</v>
      </c>
      <c r="E36" s="176" t="s">
        <v>4850</v>
      </c>
      <c r="F36" s="26" t="s">
        <v>4270</v>
      </c>
      <c r="G36" s="26" t="s">
        <v>4937</v>
      </c>
      <c r="H36" s="26"/>
      <c r="I36" s="26" t="s">
        <v>4854</v>
      </c>
    </row>
    <row r="37" customFormat="false" ht="15" hidden="false" customHeight="false" outlineLevel="0" collapsed="false">
      <c r="A37" s="26" t="s">
        <v>4940</v>
      </c>
      <c r="B37" s="26" t="s">
        <v>4930</v>
      </c>
      <c r="C37" s="26" t="s">
        <v>4941</v>
      </c>
      <c r="D37" s="175" t="n">
        <v>424</v>
      </c>
      <c r="E37" s="176" t="s">
        <v>4850</v>
      </c>
      <c r="F37" s="26" t="s">
        <v>4270</v>
      </c>
      <c r="G37" s="26" t="s">
        <v>4937</v>
      </c>
      <c r="H37" s="26"/>
      <c r="I37" s="26" t="s">
        <v>4854</v>
      </c>
    </row>
    <row r="38" customFormat="false" ht="15" hidden="false" customHeight="false" outlineLevel="0" collapsed="false">
      <c r="A38" s="26" t="s">
        <v>4942</v>
      </c>
      <c r="B38" s="26" t="s">
        <v>4930</v>
      </c>
      <c r="C38" s="26" t="s">
        <v>4943</v>
      </c>
      <c r="D38" s="175" t="n">
        <v>6</v>
      </c>
      <c r="E38" s="176" t="s">
        <v>4850</v>
      </c>
      <c r="F38" s="26" t="s">
        <v>4270</v>
      </c>
      <c r="G38" s="26" t="s">
        <v>4937</v>
      </c>
      <c r="H38" s="26"/>
      <c r="I38" s="26" t="s">
        <v>4854</v>
      </c>
    </row>
    <row r="39" customFormat="false" ht="28.35" hidden="false" customHeight="false" outlineLevel="0" collapsed="false">
      <c r="A39" s="26" t="s">
        <v>4944</v>
      </c>
      <c r="B39" s="26" t="s">
        <v>4930</v>
      </c>
      <c r="C39" s="26" t="s">
        <v>4945</v>
      </c>
      <c r="D39" s="175" t="n">
        <v>66</v>
      </c>
      <c r="E39" s="176" t="s">
        <v>4850</v>
      </c>
      <c r="F39" s="26" t="s">
        <v>4533</v>
      </c>
      <c r="G39" s="26" t="s">
        <v>4946</v>
      </c>
      <c r="H39" s="26"/>
      <c r="I39" s="26" t="s">
        <v>4854</v>
      </c>
    </row>
    <row r="40" customFormat="false" ht="28.35" hidden="false" customHeight="false" outlineLevel="0" collapsed="false">
      <c r="A40" s="26" t="s">
        <v>4947</v>
      </c>
      <c r="B40" s="26" t="s">
        <v>4930</v>
      </c>
      <c r="C40" s="26" t="s">
        <v>4948</v>
      </c>
      <c r="D40" s="175" t="n">
        <v>5000</v>
      </c>
      <c r="E40" s="176" t="s">
        <v>4850</v>
      </c>
      <c r="F40" s="26" t="s">
        <v>4270</v>
      </c>
      <c r="G40" s="26" t="s">
        <v>4949</v>
      </c>
      <c r="H40" s="26"/>
      <c r="I40" s="26" t="s">
        <v>4854</v>
      </c>
    </row>
    <row r="41" customFormat="false" ht="28.35" hidden="false" customHeight="false" outlineLevel="0" collapsed="false">
      <c r="A41" s="26" t="s">
        <v>4950</v>
      </c>
      <c r="B41" s="26" t="s">
        <v>4930</v>
      </c>
      <c r="C41" s="26" t="s">
        <v>4951</v>
      </c>
      <c r="D41" s="175" t="n">
        <v>650</v>
      </c>
      <c r="E41" s="176" t="s">
        <v>4850</v>
      </c>
      <c r="F41" s="26" t="s">
        <v>4270</v>
      </c>
      <c r="G41" s="26" t="s">
        <v>4949</v>
      </c>
      <c r="H41" s="26"/>
      <c r="I41" s="26" t="s">
        <v>4854</v>
      </c>
    </row>
    <row r="42" customFormat="false" ht="176.1" hidden="false" customHeight="false" outlineLevel="0" collapsed="false">
      <c r="A42" s="26" t="s">
        <v>4952</v>
      </c>
      <c r="B42" s="26" t="s">
        <v>4930</v>
      </c>
      <c r="C42" s="26" t="s">
        <v>4953</v>
      </c>
      <c r="D42" s="175" t="n">
        <f aca="false">TRUE()</f>
        <v>1</v>
      </c>
      <c r="E42" s="176" t="s">
        <v>4850</v>
      </c>
      <c r="F42" s="26" t="s">
        <v>4954</v>
      </c>
      <c r="G42" s="26" t="s">
        <v>4955</v>
      </c>
      <c r="H42" s="26" t="s">
        <v>4954</v>
      </c>
      <c r="I42" s="26" t="s">
        <v>4854</v>
      </c>
    </row>
    <row r="43" customFormat="false" ht="68.65" hidden="false" customHeight="false" outlineLevel="0" collapsed="false">
      <c r="A43" s="26" t="s">
        <v>4956</v>
      </c>
      <c r="B43" s="26" t="s">
        <v>4930</v>
      </c>
      <c r="C43" s="26" t="s">
        <v>4957</v>
      </c>
      <c r="D43" s="175" t="n">
        <v>70</v>
      </c>
      <c r="E43" s="176" t="s">
        <v>4850</v>
      </c>
      <c r="F43" s="26" t="s">
        <v>4958</v>
      </c>
      <c r="G43" s="26" t="s">
        <v>4955</v>
      </c>
      <c r="H43" s="26" t="s">
        <v>4958</v>
      </c>
      <c r="I43" s="26" t="s">
        <v>4854</v>
      </c>
    </row>
    <row r="44" customFormat="false" ht="28.35" hidden="false" customHeight="false" outlineLevel="0" collapsed="false">
      <c r="A44" s="26" t="s">
        <v>4959</v>
      </c>
      <c r="B44" s="26" t="s">
        <v>4930</v>
      </c>
      <c r="C44" s="26" t="s">
        <v>4960</v>
      </c>
      <c r="D44" s="175" t="n">
        <v>5000</v>
      </c>
      <c r="E44" s="176" t="s">
        <v>4850</v>
      </c>
      <c r="F44" s="26" t="s">
        <v>4270</v>
      </c>
      <c r="G44" s="26" t="s">
        <v>4949</v>
      </c>
      <c r="H44" s="26"/>
      <c r="I44" s="26" t="s">
        <v>4854</v>
      </c>
    </row>
    <row r="45" customFormat="false" ht="55.2" hidden="false" customHeight="false" outlineLevel="0" collapsed="false">
      <c r="A45" s="26" t="s">
        <v>4961</v>
      </c>
      <c r="B45" s="26" t="s">
        <v>1184</v>
      </c>
      <c r="C45" s="26" t="s">
        <v>4962</v>
      </c>
      <c r="D45" s="26" t="s">
        <v>4963</v>
      </c>
      <c r="E45" s="176" t="s">
        <v>4850</v>
      </c>
      <c r="F45" s="26" t="s">
        <v>4513</v>
      </c>
      <c r="G45" s="26" t="s">
        <v>4964</v>
      </c>
      <c r="H45" s="26"/>
      <c r="I45" s="26" t="s">
        <v>4854</v>
      </c>
    </row>
    <row r="46" customFormat="false" ht="28.35" hidden="false" customHeight="false" outlineLevel="0" collapsed="false">
      <c r="A46" s="26" t="s">
        <v>4965</v>
      </c>
      <c r="B46" s="26" t="s">
        <v>1184</v>
      </c>
      <c r="C46" s="26" t="s">
        <v>1666</v>
      </c>
      <c r="D46" s="175" t="n">
        <v>115000</v>
      </c>
      <c r="E46" s="176" t="s">
        <v>4850</v>
      </c>
      <c r="F46" s="26" t="s">
        <v>4513</v>
      </c>
      <c r="G46" s="26" t="s">
        <v>4964</v>
      </c>
      <c r="H46" s="26"/>
      <c r="I46" s="26" t="s">
        <v>4854</v>
      </c>
    </row>
    <row r="47" customFormat="false" ht="28.35" hidden="false" customHeight="false" outlineLevel="0" collapsed="false">
      <c r="A47" s="26" t="s">
        <v>4966</v>
      </c>
      <c r="B47" s="26" t="s">
        <v>1184</v>
      </c>
      <c r="C47" s="26" t="s">
        <v>4967</v>
      </c>
      <c r="D47" s="177" t="n">
        <v>0.25</v>
      </c>
      <c r="E47" s="176" t="s">
        <v>4850</v>
      </c>
      <c r="F47" s="26" t="s">
        <v>4524</v>
      </c>
      <c r="G47" s="26" t="s">
        <v>4968</v>
      </c>
      <c r="H47" s="26"/>
      <c r="I47" s="26" t="s">
        <v>4854</v>
      </c>
    </row>
    <row r="48" customFormat="false" ht="28.35" hidden="false" customHeight="false" outlineLevel="0" collapsed="false">
      <c r="A48" s="26" t="s">
        <v>4969</v>
      </c>
      <c r="B48" s="26" t="s">
        <v>1184</v>
      </c>
      <c r="C48" s="26" t="s">
        <v>4970</v>
      </c>
      <c r="D48" s="175" t="n">
        <v>200000</v>
      </c>
      <c r="E48" s="176" t="s">
        <v>4850</v>
      </c>
      <c r="F48" s="26" t="s">
        <v>4971</v>
      </c>
      <c r="G48" s="26" t="s">
        <v>4968</v>
      </c>
      <c r="H48" s="26"/>
      <c r="I48" s="26" t="s">
        <v>4854</v>
      </c>
    </row>
    <row r="49" customFormat="false" ht="28.35" hidden="false" customHeight="false" outlineLevel="0" collapsed="false">
      <c r="A49" s="26" t="s">
        <v>4972</v>
      </c>
      <c r="B49" s="26" t="s">
        <v>1184</v>
      </c>
      <c r="C49" s="26" t="s">
        <v>4973</v>
      </c>
      <c r="D49" s="175" t="n">
        <v>500000</v>
      </c>
      <c r="E49" s="176" t="s">
        <v>4850</v>
      </c>
      <c r="F49" s="26" t="s">
        <v>4974</v>
      </c>
      <c r="G49" s="26" t="s">
        <v>4968</v>
      </c>
      <c r="H49" s="26"/>
      <c r="I49" s="26" t="s">
        <v>4854</v>
      </c>
    </row>
    <row r="50" customFormat="false" ht="28.35" hidden="false" customHeight="false" outlineLevel="0" collapsed="false">
      <c r="A50" s="26" t="s">
        <v>4975</v>
      </c>
      <c r="B50" s="26" t="s">
        <v>1184</v>
      </c>
      <c r="C50" s="26" t="s">
        <v>4976</v>
      </c>
      <c r="D50" s="177" t="n">
        <v>0.2</v>
      </c>
      <c r="E50" s="176" t="s">
        <v>4850</v>
      </c>
      <c r="F50" s="26" t="s">
        <v>4524</v>
      </c>
      <c r="G50" s="26" t="s">
        <v>4968</v>
      </c>
      <c r="H50" s="26"/>
      <c r="I50" s="26" t="s">
        <v>4854</v>
      </c>
    </row>
    <row r="51" customFormat="false" ht="68.65" hidden="false" customHeight="false" outlineLevel="0" collapsed="false">
      <c r="A51" s="26" t="s">
        <v>4977</v>
      </c>
      <c r="B51" s="26" t="s">
        <v>1184</v>
      </c>
      <c r="C51" s="26" t="s">
        <v>4978</v>
      </c>
      <c r="D51" s="26" t="s">
        <v>4979</v>
      </c>
      <c r="E51" s="176" t="s">
        <v>4850</v>
      </c>
      <c r="F51" s="26" t="s">
        <v>4450</v>
      </c>
      <c r="G51" s="26" t="s">
        <v>4980</v>
      </c>
      <c r="H51" s="26"/>
      <c r="I51" s="26" t="s">
        <v>4854</v>
      </c>
    </row>
    <row r="52" customFormat="false" ht="28.35" hidden="false" customHeight="false" outlineLevel="0" collapsed="false">
      <c r="A52" s="26" t="s">
        <v>4981</v>
      </c>
      <c r="B52" s="26" t="s">
        <v>1184</v>
      </c>
      <c r="C52" s="26" t="s">
        <v>1904</v>
      </c>
      <c r="D52" s="177" t="n">
        <v>0.4</v>
      </c>
      <c r="E52" s="176" t="s">
        <v>4850</v>
      </c>
      <c r="F52" s="26" t="s">
        <v>4533</v>
      </c>
      <c r="G52" s="26" t="s">
        <v>4980</v>
      </c>
      <c r="H52" s="26"/>
      <c r="I52" s="26" t="s">
        <v>4854</v>
      </c>
    </row>
    <row r="53" customFormat="false" ht="28.35" hidden="false" customHeight="false" outlineLevel="0" collapsed="false">
      <c r="A53" s="26" t="s">
        <v>4982</v>
      </c>
      <c r="B53" s="26" t="s">
        <v>1184</v>
      </c>
      <c r="C53" s="26" t="s">
        <v>4983</v>
      </c>
      <c r="D53" s="177" t="n">
        <v>0.04</v>
      </c>
      <c r="E53" s="176" t="s">
        <v>4850</v>
      </c>
      <c r="F53" s="26" t="s">
        <v>4533</v>
      </c>
      <c r="G53" s="26" t="s">
        <v>4984</v>
      </c>
      <c r="H53" s="26"/>
      <c r="I53" s="26" t="s">
        <v>4854</v>
      </c>
    </row>
    <row r="54" customFormat="false" ht="28.35" hidden="false" customHeight="false" outlineLevel="0" collapsed="false">
      <c r="A54" s="26" t="s">
        <v>4985</v>
      </c>
      <c r="B54" s="26" t="s">
        <v>1184</v>
      </c>
      <c r="C54" s="26" t="s">
        <v>4986</v>
      </c>
      <c r="D54" s="177" t="n">
        <v>0.05</v>
      </c>
      <c r="E54" s="176" t="s">
        <v>4850</v>
      </c>
      <c r="F54" s="26" t="s">
        <v>4533</v>
      </c>
      <c r="G54" s="26" t="s">
        <v>4984</v>
      </c>
      <c r="H54" s="26"/>
      <c r="I54" s="26" t="s">
        <v>4854</v>
      </c>
    </row>
    <row r="55" customFormat="false" ht="28.35" hidden="false" customHeight="false" outlineLevel="0" collapsed="false">
      <c r="A55" s="26" t="s">
        <v>4987</v>
      </c>
      <c r="B55" s="26" t="s">
        <v>1184</v>
      </c>
      <c r="C55" s="26" t="s">
        <v>4988</v>
      </c>
      <c r="D55" s="177" t="n">
        <v>0.06</v>
      </c>
      <c r="E55" s="176" t="s">
        <v>4850</v>
      </c>
      <c r="F55" s="26" t="s">
        <v>4533</v>
      </c>
      <c r="G55" s="26" t="s">
        <v>4984</v>
      </c>
      <c r="H55" s="26"/>
      <c r="I55" s="26" t="s">
        <v>4854</v>
      </c>
    </row>
    <row r="56" customFormat="false" ht="28.35" hidden="false" customHeight="false" outlineLevel="0" collapsed="false">
      <c r="A56" s="26" t="s">
        <v>4989</v>
      </c>
      <c r="B56" s="26" t="s">
        <v>1184</v>
      </c>
      <c r="C56" s="26" t="s">
        <v>4990</v>
      </c>
      <c r="D56" s="175" t="n">
        <v>2000000</v>
      </c>
      <c r="E56" s="176" t="s">
        <v>4850</v>
      </c>
      <c r="F56" s="26" t="s">
        <v>4533</v>
      </c>
      <c r="G56" s="26" t="s">
        <v>4984</v>
      </c>
      <c r="H56" s="26"/>
      <c r="I56" s="26" t="s">
        <v>4854</v>
      </c>
    </row>
    <row r="57" customFormat="false" ht="28.35" hidden="false" customHeight="false" outlineLevel="0" collapsed="false">
      <c r="A57" s="26" t="s">
        <v>4991</v>
      </c>
      <c r="B57" s="26" t="s">
        <v>1184</v>
      </c>
      <c r="C57" s="26" t="s">
        <v>4992</v>
      </c>
      <c r="D57" s="175" t="n">
        <v>60</v>
      </c>
      <c r="E57" s="176" t="s">
        <v>4850</v>
      </c>
      <c r="F57" s="26" t="s">
        <v>4993</v>
      </c>
      <c r="G57" s="26" t="s">
        <v>4994</v>
      </c>
      <c r="H57" s="26"/>
      <c r="I57" s="26" t="s">
        <v>4854</v>
      </c>
    </row>
    <row r="58" customFormat="false" ht="28.35" hidden="false" customHeight="false" outlineLevel="0" collapsed="false">
      <c r="A58" s="26" t="s">
        <v>4995</v>
      </c>
      <c r="B58" s="26" t="s">
        <v>4996</v>
      </c>
      <c r="C58" s="26" t="s">
        <v>4997</v>
      </c>
      <c r="D58" s="175" t="n">
        <v>2026</v>
      </c>
      <c r="E58" s="176" t="s">
        <v>4850</v>
      </c>
      <c r="F58" s="26" t="s">
        <v>4450</v>
      </c>
      <c r="G58" s="26" t="s">
        <v>4998</v>
      </c>
      <c r="H58" s="26"/>
      <c r="I58" s="26" t="s">
        <v>4854</v>
      </c>
    </row>
    <row r="59" customFormat="false" ht="28.35" hidden="false" customHeight="false" outlineLevel="0" collapsed="false">
      <c r="A59" s="26" t="s">
        <v>4999</v>
      </c>
      <c r="B59" s="26" t="s">
        <v>4996</v>
      </c>
      <c r="C59" s="26" t="s">
        <v>5000</v>
      </c>
      <c r="D59" s="175" t="n">
        <v>23</v>
      </c>
      <c r="E59" s="176" t="s">
        <v>4850</v>
      </c>
      <c r="F59" s="26" t="s">
        <v>4450</v>
      </c>
      <c r="G59" s="26" t="s">
        <v>4998</v>
      </c>
      <c r="H59" s="26"/>
      <c r="I59" s="26" t="s">
        <v>4854</v>
      </c>
    </row>
    <row r="60" customFormat="false" ht="28.35" hidden="false" customHeight="false" outlineLevel="0" collapsed="false">
      <c r="A60" s="26" t="s">
        <v>5001</v>
      </c>
      <c r="B60" s="26" t="s">
        <v>4996</v>
      </c>
      <c r="C60" s="26" t="s">
        <v>5002</v>
      </c>
      <c r="D60" s="175" t="n">
        <v>60</v>
      </c>
      <c r="E60" s="176" t="s">
        <v>4850</v>
      </c>
      <c r="F60" s="26" t="s">
        <v>4450</v>
      </c>
      <c r="G60" s="26" t="s">
        <v>4998</v>
      </c>
      <c r="H60" s="26"/>
      <c r="I60" s="26" t="s">
        <v>4854</v>
      </c>
    </row>
    <row r="61" customFormat="false" ht="28.35" hidden="false" customHeight="false" outlineLevel="0" collapsed="false">
      <c r="A61" s="26" t="s">
        <v>5003</v>
      </c>
      <c r="B61" s="26" t="s">
        <v>4996</v>
      </c>
      <c r="C61" s="26" t="s">
        <v>5004</v>
      </c>
      <c r="D61" s="175" t="n">
        <v>20000</v>
      </c>
      <c r="E61" s="176" t="s">
        <v>4850</v>
      </c>
      <c r="F61" s="26" t="s">
        <v>4450</v>
      </c>
      <c r="G61" s="26" t="s">
        <v>4998</v>
      </c>
      <c r="H61" s="26"/>
      <c r="I61" s="26" t="s">
        <v>4854</v>
      </c>
    </row>
    <row r="62" customFormat="false" ht="28.35" hidden="false" customHeight="false" outlineLevel="0" collapsed="false">
      <c r="A62" s="26" t="s">
        <v>5005</v>
      </c>
      <c r="B62" s="26" t="s">
        <v>4996</v>
      </c>
      <c r="C62" s="26" t="s">
        <v>5006</v>
      </c>
      <c r="D62" s="175" t="n">
        <v>80000</v>
      </c>
      <c r="E62" s="176" t="s">
        <v>4850</v>
      </c>
      <c r="F62" s="26" t="s">
        <v>4450</v>
      </c>
      <c r="G62" s="26" t="s">
        <v>4998</v>
      </c>
      <c r="H62" s="26"/>
      <c r="I62" s="26" t="s">
        <v>4854</v>
      </c>
    </row>
    <row r="63" customFormat="false" ht="28.35" hidden="false" customHeight="false" outlineLevel="0" collapsed="false">
      <c r="A63" s="26" t="s">
        <v>5007</v>
      </c>
      <c r="B63" s="26" t="s">
        <v>4996</v>
      </c>
      <c r="C63" s="26" t="s">
        <v>5008</v>
      </c>
      <c r="D63" s="177" t="n">
        <v>0.015</v>
      </c>
      <c r="E63" s="176" t="s">
        <v>4850</v>
      </c>
      <c r="F63" s="26" t="s">
        <v>5009</v>
      </c>
      <c r="G63" s="26" t="s">
        <v>4998</v>
      </c>
      <c r="H63" s="26"/>
      <c r="I63" s="26" t="s">
        <v>4854</v>
      </c>
    </row>
    <row r="64" customFormat="false" ht="28.35" hidden="false" customHeight="false" outlineLevel="0" collapsed="false">
      <c r="A64" s="26" t="s">
        <v>5010</v>
      </c>
      <c r="B64" s="26" t="s">
        <v>4996</v>
      </c>
      <c r="C64" s="26" t="s">
        <v>5011</v>
      </c>
      <c r="D64" s="177" t="n">
        <v>0.015</v>
      </c>
      <c r="E64" s="176" t="s">
        <v>4850</v>
      </c>
      <c r="F64" s="26" t="s">
        <v>5009</v>
      </c>
      <c r="G64" s="26" t="s">
        <v>4998</v>
      </c>
      <c r="H64" s="26"/>
      <c r="I64" s="26" t="s">
        <v>4854</v>
      </c>
    </row>
    <row r="65" customFormat="false" ht="28.35" hidden="false" customHeight="false" outlineLevel="0" collapsed="false">
      <c r="A65" s="26" t="s">
        <v>5012</v>
      </c>
      <c r="B65" s="26" t="s">
        <v>4996</v>
      </c>
      <c r="C65" s="26" t="s">
        <v>5013</v>
      </c>
      <c r="D65" s="177" t="n">
        <v>0.005</v>
      </c>
      <c r="E65" s="176" t="s">
        <v>4850</v>
      </c>
      <c r="F65" s="26" t="s">
        <v>5009</v>
      </c>
      <c r="G65" s="26" t="s">
        <v>4998</v>
      </c>
      <c r="H65" s="26"/>
      <c r="I65" s="26" t="s">
        <v>4854</v>
      </c>
    </row>
    <row r="66" customFormat="false" ht="28.35" hidden="false" customHeight="false" outlineLevel="0" collapsed="false">
      <c r="A66" s="26" t="s">
        <v>5014</v>
      </c>
      <c r="B66" s="26" t="s">
        <v>5015</v>
      </c>
      <c r="C66" s="26" t="s">
        <v>5016</v>
      </c>
      <c r="D66" s="178" t="n">
        <v>299.3</v>
      </c>
      <c r="E66" s="176" t="s">
        <v>4850</v>
      </c>
      <c r="F66" s="26" t="s">
        <v>5017</v>
      </c>
      <c r="G66" s="26" t="s">
        <v>5018</v>
      </c>
      <c r="H66" s="26" t="s">
        <v>5019</v>
      </c>
      <c r="I66" s="26" t="s">
        <v>4854</v>
      </c>
    </row>
    <row r="67" customFormat="false" ht="28.35" hidden="false" customHeight="false" outlineLevel="0" collapsed="false">
      <c r="A67" s="26" t="s">
        <v>5020</v>
      </c>
      <c r="B67" s="26" t="s">
        <v>5015</v>
      </c>
      <c r="C67" s="26" t="s">
        <v>5021</v>
      </c>
      <c r="D67" s="175" t="n">
        <v>66</v>
      </c>
      <c r="E67" s="176" t="s">
        <v>4850</v>
      </c>
      <c r="F67" s="26" t="s">
        <v>4533</v>
      </c>
      <c r="G67" s="26" t="s">
        <v>4549</v>
      </c>
      <c r="H67" s="26"/>
      <c r="I67" s="26" t="s">
        <v>4854</v>
      </c>
    </row>
    <row r="68" customFormat="false" ht="28.35" hidden="false" customHeight="false" outlineLevel="0" collapsed="false">
      <c r="A68" s="26" t="s">
        <v>5022</v>
      </c>
      <c r="B68" s="26" t="s">
        <v>5015</v>
      </c>
      <c r="C68" s="26" t="s">
        <v>5023</v>
      </c>
      <c r="D68" s="175" t="n">
        <v>10</v>
      </c>
      <c r="E68" s="176" t="s">
        <v>4850</v>
      </c>
      <c r="F68" s="26" t="s">
        <v>4270</v>
      </c>
      <c r="G68" s="26" t="s">
        <v>5024</v>
      </c>
      <c r="H68" s="26"/>
      <c r="I68" s="26" t="s">
        <v>4854</v>
      </c>
    </row>
    <row r="69" customFormat="false" ht="41.75" hidden="false" customHeight="false" outlineLevel="0" collapsed="false">
      <c r="A69" s="26" t="s">
        <v>5025</v>
      </c>
      <c r="B69" s="26" t="s">
        <v>5015</v>
      </c>
      <c r="C69" s="26" t="s">
        <v>5026</v>
      </c>
      <c r="D69" s="178" t="n">
        <v>268.4</v>
      </c>
      <c r="E69" s="176" t="s">
        <v>4850</v>
      </c>
      <c r="F69" s="26" t="s">
        <v>4450</v>
      </c>
      <c r="G69" s="26" t="s">
        <v>5024</v>
      </c>
      <c r="H69" s="26" t="s">
        <v>5027</v>
      </c>
      <c r="I69" s="26" t="s">
        <v>4854</v>
      </c>
    </row>
    <row r="70" customFormat="false" ht="41.75" hidden="false" customHeight="false" outlineLevel="0" collapsed="false">
      <c r="A70" s="26" t="s">
        <v>5028</v>
      </c>
      <c r="B70" s="26" t="s">
        <v>5015</v>
      </c>
      <c r="C70" s="26" t="s">
        <v>5029</v>
      </c>
      <c r="D70" s="178" t="n">
        <v>199.4</v>
      </c>
      <c r="E70" s="176" t="s">
        <v>4850</v>
      </c>
      <c r="F70" s="26" t="s">
        <v>4450</v>
      </c>
      <c r="G70" s="26" t="s">
        <v>4557</v>
      </c>
      <c r="H70" s="26" t="s">
        <v>5030</v>
      </c>
      <c r="I70" s="26" t="s">
        <v>4854</v>
      </c>
    </row>
    <row r="71" customFormat="false" ht="28.35" hidden="false" customHeight="false" outlineLevel="0" collapsed="false">
      <c r="A71" s="26" t="s">
        <v>5031</v>
      </c>
      <c r="B71" s="26" t="s">
        <v>5015</v>
      </c>
      <c r="C71" s="26" t="s">
        <v>5032</v>
      </c>
      <c r="D71" s="175" t="n">
        <v>40</v>
      </c>
      <c r="E71" s="176" t="s">
        <v>4850</v>
      </c>
      <c r="F71" s="26" t="s">
        <v>4533</v>
      </c>
      <c r="G71" s="26" t="s">
        <v>5033</v>
      </c>
      <c r="H71" s="26"/>
      <c r="I71" s="26" t="s">
        <v>4854</v>
      </c>
    </row>
    <row r="72" customFormat="false" ht="28.35" hidden="false" customHeight="false" outlineLevel="0" collapsed="false">
      <c r="A72" s="26" t="s">
        <v>5034</v>
      </c>
      <c r="B72" s="26" t="s">
        <v>5015</v>
      </c>
      <c r="C72" s="26" t="s">
        <v>5035</v>
      </c>
      <c r="D72" s="175" t="n">
        <v>10</v>
      </c>
      <c r="E72" s="176" t="s">
        <v>4850</v>
      </c>
      <c r="F72" s="26" t="s">
        <v>4533</v>
      </c>
      <c r="G72" s="26" t="s">
        <v>5033</v>
      </c>
      <c r="H72" s="26"/>
      <c r="I72" s="26" t="s">
        <v>4854</v>
      </c>
    </row>
    <row r="73" customFormat="false" ht="55.2" hidden="false" customHeight="false" outlineLevel="0" collapsed="false">
      <c r="A73" s="26" t="s">
        <v>5036</v>
      </c>
      <c r="B73" s="26" t="s">
        <v>5015</v>
      </c>
      <c r="C73" s="26" t="s">
        <v>5037</v>
      </c>
      <c r="D73" s="175" t="n">
        <v>254</v>
      </c>
      <c r="E73" s="176" t="s">
        <v>4850</v>
      </c>
      <c r="F73" s="26" t="s">
        <v>4450</v>
      </c>
      <c r="G73" s="26" t="s">
        <v>4557</v>
      </c>
      <c r="H73" s="26" t="s">
        <v>5038</v>
      </c>
      <c r="I73" s="26" t="s">
        <v>4854</v>
      </c>
    </row>
    <row r="74" customFormat="false" ht="41.75" hidden="false" customHeight="false" outlineLevel="0" collapsed="false">
      <c r="A74" s="26" t="s">
        <v>5039</v>
      </c>
      <c r="B74" s="26" t="s">
        <v>5015</v>
      </c>
      <c r="C74" s="26" t="s">
        <v>5040</v>
      </c>
      <c r="D74" s="178" t="n">
        <v>259.5</v>
      </c>
      <c r="E74" s="176" t="s">
        <v>4850</v>
      </c>
      <c r="F74" s="26" t="s">
        <v>4450</v>
      </c>
      <c r="G74" s="26" t="s">
        <v>5041</v>
      </c>
      <c r="H74" s="26" t="s">
        <v>5042</v>
      </c>
      <c r="I74" s="26" t="s">
        <v>4854</v>
      </c>
    </row>
    <row r="75" customFormat="false" ht="41.75" hidden="false" customHeight="false" outlineLevel="0" collapsed="false">
      <c r="A75" s="26" t="s">
        <v>5043</v>
      </c>
      <c r="B75" s="26" t="s">
        <v>5015</v>
      </c>
      <c r="C75" s="26" t="s">
        <v>5044</v>
      </c>
      <c r="D75" s="178" t="n">
        <v>299.3</v>
      </c>
      <c r="E75" s="176" t="s">
        <v>4850</v>
      </c>
      <c r="F75" s="26" t="s">
        <v>4450</v>
      </c>
      <c r="G75" s="26" t="s">
        <v>5041</v>
      </c>
      <c r="H75" s="26" t="s">
        <v>5045</v>
      </c>
      <c r="I75" s="26" t="s">
        <v>4854</v>
      </c>
    </row>
    <row r="76" customFormat="false" ht="28.35" hidden="false" customHeight="false" outlineLevel="0" collapsed="false">
      <c r="A76" s="26" t="s">
        <v>5046</v>
      </c>
      <c r="B76" s="26" t="s">
        <v>5015</v>
      </c>
      <c r="C76" s="26" t="s">
        <v>5047</v>
      </c>
      <c r="D76" s="175" t="n">
        <v>52</v>
      </c>
      <c r="E76" s="26" t="s">
        <v>5048</v>
      </c>
      <c r="F76" s="26" t="s">
        <v>4402</v>
      </c>
      <c r="G76" s="26" t="s">
        <v>4566</v>
      </c>
      <c r="H76" s="26"/>
      <c r="I76" s="26" t="s">
        <v>4854</v>
      </c>
    </row>
    <row r="77" customFormat="false" ht="55.2" hidden="false" customHeight="false" outlineLevel="0" collapsed="false">
      <c r="A77" s="26" t="s">
        <v>5049</v>
      </c>
      <c r="B77" s="26" t="s">
        <v>5015</v>
      </c>
      <c r="C77" s="26" t="s">
        <v>5050</v>
      </c>
      <c r="D77" s="175" t="n">
        <v>310</v>
      </c>
      <c r="E77" s="26" t="s">
        <v>5051</v>
      </c>
      <c r="F77" s="26" t="s">
        <v>5052</v>
      </c>
      <c r="G77" s="26" t="s">
        <v>5053</v>
      </c>
      <c r="H77" s="26" t="s">
        <v>5054</v>
      </c>
      <c r="I77" s="26" t="s">
        <v>4854</v>
      </c>
    </row>
    <row r="78" customFormat="false" ht="41.75" hidden="false" customHeight="false" outlineLevel="0" collapsed="false">
      <c r="A78" s="26" t="s">
        <v>5055</v>
      </c>
      <c r="B78" s="26" t="s">
        <v>5015</v>
      </c>
      <c r="C78" s="26" t="s">
        <v>5056</v>
      </c>
      <c r="D78" s="175" t="n">
        <v>288</v>
      </c>
      <c r="E78" s="176" t="s">
        <v>4850</v>
      </c>
      <c r="F78" s="26" t="s">
        <v>5057</v>
      </c>
      <c r="G78" s="26" t="s">
        <v>5058</v>
      </c>
      <c r="H78" s="26" t="s">
        <v>5059</v>
      </c>
      <c r="I78" s="26" t="s">
        <v>4854</v>
      </c>
    </row>
    <row r="79" customFormat="false" ht="55.2" hidden="false" customHeight="false" outlineLevel="0" collapsed="false">
      <c r="A79" s="26" t="s">
        <v>5060</v>
      </c>
      <c r="B79" s="26" t="s">
        <v>5015</v>
      </c>
      <c r="C79" s="26" t="s">
        <v>5061</v>
      </c>
      <c r="D79" s="178" t="n">
        <v>168.6</v>
      </c>
      <c r="E79" s="176" t="s">
        <v>4850</v>
      </c>
      <c r="F79" s="26" t="s">
        <v>5057</v>
      </c>
      <c r="G79" s="26" t="s">
        <v>5058</v>
      </c>
      <c r="H79" s="26" t="s">
        <v>5062</v>
      </c>
      <c r="I79" s="26" t="s">
        <v>4854</v>
      </c>
    </row>
    <row r="80" customFormat="false" ht="28.35" hidden="false" customHeight="false" outlineLevel="0" collapsed="false">
      <c r="A80" s="26" t="s">
        <v>5063</v>
      </c>
      <c r="B80" s="26" t="s">
        <v>5064</v>
      </c>
      <c r="C80" s="26" t="s">
        <v>5065</v>
      </c>
      <c r="D80" s="177" t="n">
        <v>0.33</v>
      </c>
      <c r="E80" s="176" t="s">
        <v>4850</v>
      </c>
      <c r="F80" s="26" t="s">
        <v>4270</v>
      </c>
      <c r="G80" s="26" t="s">
        <v>4570</v>
      </c>
      <c r="H80" s="26"/>
      <c r="I80" s="26" t="s">
        <v>5066</v>
      </c>
    </row>
    <row r="81" customFormat="false" ht="55.2" hidden="false" customHeight="false" outlineLevel="0" collapsed="false">
      <c r="A81" s="26" t="s">
        <v>5067</v>
      </c>
      <c r="B81" s="26" t="s">
        <v>5064</v>
      </c>
      <c r="C81" s="26" t="s">
        <v>5068</v>
      </c>
      <c r="D81" s="177" t="n">
        <v>0.38</v>
      </c>
      <c r="E81" s="176" t="s">
        <v>4850</v>
      </c>
      <c r="F81" s="26" t="s">
        <v>4851</v>
      </c>
      <c r="G81" s="26" t="s">
        <v>4852</v>
      </c>
      <c r="H81" s="26" t="s">
        <v>5069</v>
      </c>
      <c r="I81" s="26" t="s">
        <v>5070</v>
      </c>
    </row>
    <row r="82" customFormat="false" ht="15" hidden="false" customHeight="false" outlineLevel="0" collapsed="false">
      <c r="A82" s="26" t="s">
        <v>5071</v>
      </c>
      <c r="B82" s="26" t="s">
        <v>5064</v>
      </c>
      <c r="C82" s="26" t="s">
        <v>5072</v>
      </c>
      <c r="D82" s="175" t="n">
        <v>8</v>
      </c>
      <c r="E82" s="176" t="s">
        <v>4850</v>
      </c>
      <c r="F82" s="26" t="s">
        <v>4270</v>
      </c>
      <c r="G82" s="26" t="s">
        <v>4577</v>
      </c>
      <c r="H82" s="26"/>
      <c r="I82" s="26" t="s">
        <v>5073</v>
      </c>
    </row>
    <row r="83" customFormat="false" ht="55.2" hidden="false" customHeight="false" outlineLevel="0" collapsed="false">
      <c r="A83" s="26" t="s">
        <v>5074</v>
      </c>
      <c r="B83" s="26" t="s">
        <v>5064</v>
      </c>
      <c r="C83" s="26" t="s">
        <v>5075</v>
      </c>
      <c r="D83" s="177" t="n">
        <v>0.31</v>
      </c>
      <c r="E83" s="26" t="s">
        <v>5051</v>
      </c>
      <c r="F83" s="26" t="s">
        <v>5076</v>
      </c>
      <c r="G83" s="26" t="s">
        <v>5077</v>
      </c>
      <c r="H83" s="26"/>
      <c r="I83" s="26" t="s">
        <v>5070</v>
      </c>
    </row>
    <row r="84" customFormat="false" ht="28.35" hidden="false" customHeight="false" outlineLevel="0" collapsed="false">
      <c r="A84" s="26" t="s">
        <v>5078</v>
      </c>
      <c r="B84" s="26" t="s">
        <v>5064</v>
      </c>
      <c r="C84" s="26" t="s">
        <v>5079</v>
      </c>
      <c r="D84" s="177" t="n">
        <v>0.33</v>
      </c>
      <c r="E84" s="26" t="s">
        <v>5051</v>
      </c>
      <c r="F84" s="26" t="s">
        <v>5080</v>
      </c>
      <c r="G84" s="26" t="s">
        <v>5077</v>
      </c>
      <c r="H84" s="26"/>
      <c r="I84" s="26" t="s">
        <v>5070</v>
      </c>
    </row>
    <row r="85" customFormat="false" ht="28.35" hidden="false" customHeight="false" outlineLevel="0" collapsed="false">
      <c r="A85" s="26" t="s">
        <v>5081</v>
      </c>
      <c r="B85" s="26" t="s">
        <v>5064</v>
      </c>
      <c r="C85" s="26" t="s">
        <v>5082</v>
      </c>
      <c r="D85" s="26" t="s">
        <v>5083</v>
      </c>
      <c r="E85" s="26" t="s">
        <v>5051</v>
      </c>
      <c r="F85" s="26" t="s">
        <v>5084</v>
      </c>
      <c r="G85" s="26" t="s">
        <v>5077</v>
      </c>
      <c r="H85" s="26"/>
      <c r="I85" s="26" t="s">
        <v>5070</v>
      </c>
    </row>
    <row r="86" customFormat="false" ht="28.35" hidden="false" customHeight="false" outlineLevel="0" collapsed="false">
      <c r="A86" s="26" t="s">
        <v>5085</v>
      </c>
      <c r="B86" s="26" t="s">
        <v>5064</v>
      </c>
      <c r="C86" s="26" t="s">
        <v>5086</v>
      </c>
      <c r="D86" s="177" t="n">
        <v>0.33</v>
      </c>
      <c r="E86" s="176" t="s">
        <v>4850</v>
      </c>
      <c r="F86" s="26" t="s">
        <v>5087</v>
      </c>
      <c r="G86" s="26" t="s">
        <v>5077</v>
      </c>
      <c r="H86" s="26"/>
      <c r="I86" s="26" t="s">
        <v>4854</v>
      </c>
    </row>
    <row r="87" customFormat="false" ht="149.25" hidden="false" customHeight="false" outlineLevel="0" collapsed="false">
      <c r="A87" s="26" t="s">
        <v>5088</v>
      </c>
      <c r="B87" s="26" t="s">
        <v>5064</v>
      </c>
      <c r="C87" s="26" t="s">
        <v>5089</v>
      </c>
      <c r="D87" s="175" t="n">
        <v>1270</v>
      </c>
      <c r="E87" s="176" t="s">
        <v>4850</v>
      </c>
      <c r="F87" s="26" t="s">
        <v>5090</v>
      </c>
      <c r="G87" s="26" t="s">
        <v>5091</v>
      </c>
      <c r="H87" s="26"/>
      <c r="I87" s="26" t="s">
        <v>5070</v>
      </c>
    </row>
    <row r="88" customFormat="false" ht="41.75" hidden="false" customHeight="false" outlineLevel="0" collapsed="false">
      <c r="A88" s="26" t="s">
        <v>5092</v>
      </c>
      <c r="B88" s="26" t="s">
        <v>5064</v>
      </c>
      <c r="C88" s="26" t="s">
        <v>5093</v>
      </c>
      <c r="D88" s="175" t="n">
        <v>420000</v>
      </c>
      <c r="E88" s="176" t="s">
        <v>4850</v>
      </c>
      <c r="F88" s="26" t="s">
        <v>5094</v>
      </c>
      <c r="G88" s="26" t="s">
        <v>4852</v>
      </c>
      <c r="H88" s="26"/>
      <c r="I88" s="26" t="s">
        <v>4854</v>
      </c>
    </row>
    <row r="89" customFormat="false" ht="41.75" hidden="false" customHeight="false" outlineLevel="0" collapsed="false">
      <c r="A89" s="26" t="s">
        <v>5095</v>
      </c>
      <c r="B89" s="26" t="s">
        <v>3411</v>
      </c>
      <c r="C89" s="26" t="s">
        <v>5096</v>
      </c>
      <c r="D89" s="175" t="n">
        <v>4</v>
      </c>
      <c r="E89" s="176" t="s">
        <v>4850</v>
      </c>
      <c r="F89" s="26" t="s">
        <v>4586</v>
      </c>
      <c r="G89" s="26" t="s">
        <v>4585</v>
      </c>
      <c r="H89" s="26"/>
      <c r="I89" s="26" t="s">
        <v>4854</v>
      </c>
    </row>
    <row r="90" customFormat="false" ht="41.75" hidden="false" customHeight="false" outlineLevel="0" collapsed="false">
      <c r="A90" s="26" t="s">
        <v>5097</v>
      </c>
      <c r="B90" s="26" t="s">
        <v>3411</v>
      </c>
      <c r="C90" s="26" t="s">
        <v>5098</v>
      </c>
      <c r="D90" s="178" t="n">
        <v>3.5</v>
      </c>
      <c r="E90" s="176" t="s">
        <v>4850</v>
      </c>
      <c r="F90" s="26" t="s">
        <v>4586</v>
      </c>
      <c r="G90" s="26" t="s">
        <v>4585</v>
      </c>
      <c r="H90" s="26"/>
      <c r="I90" s="26" t="s">
        <v>4854</v>
      </c>
    </row>
    <row r="91" customFormat="false" ht="41.75" hidden="false" customHeight="false" outlineLevel="0" collapsed="false">
      <c r="A91" s="26" t="s">
        <v>5099</v>
      </c>
      <c r="B91" s="26" t="s">
        <v>3411</v>
      </c>
      <c r="C91" s="26" t="s">
        <v>5100</v>
      </c>
      <c r="D91" s="177" t="n">
        <v>0.9</v>
      </c>
      <c r="E91" s="176" t="s">
        <v>4850</v>
      </c>
      <c r="F91" s="26" t="s">
        <v>4586</v>
      </c>
      <c r="G91" s="26" t="s">
        <v>4585</v>
      </c>
      <c r="H91" s="26"/>
      <c r="I91" s="26" t="s">
        <v>4854</v>
      </c>
    </row>
    <row r="92" customFormat="false" ht="41.75" hidden="false" customHeight="false" outlineLevel="0" collapsed="false">
      <c r="A92" s="26" t="s">
        <v>5101</v>
      </c>
      <c r="B92" s="26" t="s">
        <v>3411</v>
      </c>
      <c r="C92" s="26" t="s">
        <v>5102</v>
      </c>
      <c r="D92" s="26" t="s">
        <v>5103</v>
      </c>
      <c r="E92" s="176" t="s">
        <v>4850</v>
      </c>
      <c r="F92" s="26" t="s">
        <v>4601</v>
      </c>
      <c r="G92" s="26" t="s">
        <v>4600</v>
      </c>
      <c r="H92" s="26"/>
      <c r="I92" s="26" t="s">
        <v>4854</v>
      </c>
    </row>
    <row r="93" customFormat="false" ht="41.75" hidden="false" customHeight="false" outlineLevel="0" collapsed="false">
      <c r="A93" s="26" t="s">
        <v>5104</v>
      </c>
      <c r="B93" s="26" t="s">
        <v>3411</v>
      </c>
      <c r="C93" s="26" t="s">
        <v>5105</v>
      </c>
      <c r="D93" s="175" t="n">
        <v>35000</v>
      </c>
      <c r="E93" s="26" t="s">
        <v>5048</v>
      </c>
      <c r="F93" s="26" t="s">
        <v>5106</v>
      </c>
      <c r="G93" s="26" t="s">
        <v>4852</v>
      </c>
      <c r="H93" s="26"/>
      <c r="I93" s="26" t="s">
        <v>4854</v>
      </c>
    </row>
    <row r="94" customFormat="false" ht="55.2" hidden="false" customHeight="false" outlineLevel="0" collapsed="false">
      <c r="A94" s="26" t="s">
        <v>5107</v>
      </c>
      <c r="B94" s="26" t="s">
        <v>2654</v>
      </c>
      <c r="C94" s="26" t="s">
        <v>5108</v>
      </c>
      <c r="D94" s="177" t="n">
        <v>0.039</v>
      </c>
      <c r="E94" s="176" t="s">
        <v>4850</v>
      </c>
      <c r="F94" s="26" t="s">
        <v>5109</v>
      </c>
      <c r="G94" s="26" t="s">
        <v>5110</v>
      </c>
      <c r="H94" s="26"/>
      <c r="I94" s="26" t="s">
        <v>4854</v>
      </c>
    </row>
    <row r="95" customFormat="false" ht="28.35" hidden="false" customHeight="false" outlineLevel="0" collapsed="false">
      <c r="A95" s="26" t="s">
        <v>5111</v>
      </c>
      <c r="B95" s="26" t="s">
        <v>2654</v>
      </c>
      <c r="C95" s="26" t="s">
        <v>5112</v>
      </c>
      <c r="D95" s="26" t="s">
        <v>4424</v>
      </c>
      <c r="E95" s="176" t="s">
        <v>4850</v>
      </c>
      <c r="F95" s="26" t="s">
        <v>4497</v>
      </c>
      <c r="G95" s="26" t="s">
        <v>5113</v>
      </c>
      <c r="H95" s="26"/>
      <c r="I95" s="26" t="s">
        <v>4854</v>
      </c>
    </row>
    <row r="96" customFormat="false" ht="41.75" hidden="false" customHeight="false" outlineLevel="0" collapsed="false">
      <c r="A96" s="26" t="s">
        <v>5114</v>
      </c>
      <c r="B96" s="26" t="s">
        <v>5115</v>
      </c>
      <c r="C96" s="26" t="s">
        <v>5116</v>
      </c>
      <c r="D96" s="177" t="n">
        <v>0.23</v>
      </c>
      <c r="E96" s="176" t="s">
        <v>4850</v>
      </c>
      <c r="F96" s="26" t="s">
        <v>5117</v>
      </c>
      <c r="G96" s="26" t="s">
        <v>4427</v>
      </c>
      <c r="H96" s="26"/>
      <c r="I96" s="26" t="s">
        <v>4854</v>
      </c>
    </row>
    <row r="97" customFormat="false" ht="28.35" hidden="false" customHeight="false" outlineLevel="0" collapsed="false">
      <c r="A97" s="26" t="s">
        <v>5118</v>
      </c>
      <c r="B97" s="26" t="s">
        <v>5115</v>
      </c>
      <c r="C97" s="26" t="s">
        <v>5119</v>
      </c>
      <c r="D97" s="175" t="n">
        <v>50</v>
      </c>
      <c r="E97" s="176" t="s">
        <v>4850</v>
      </c>
      <c r="F97" s="26" t="s">
        <v>4533</v>
      </c>
      <c r="G97" s="26" t="s">
        <v>4994</v>
      </c>
      <c r="H97" s="26"/>
      <c r="I97" s="26" t="s">
        <v>4854</v>
      </c>
    </row>
    <row r="98" customFormat="false" ht="28.35" hidden="false" customHeight="false" outlineLevel="0" collapsed="false">
      <c r="A98" s="26" t="s">
        <v>5120</v>
      </c>
      <c r="B98" s="26" t="s">
        <v>5121</v>
      </c>
      <c r="C98" s="26" t="s">
        <v>5122</v>
      </c>
      <c r="D98" s="175" t="n">
        <v>400000</v>
      </c>
      <c r="E98" s="176" t="s">
        <v>4850</v>
      </c>
      <c r="F98" s="26" t="s">
        <v>5123</v>
      </c>
      <c r="G98" s="26" t="s">
        <v>5124</v>
      </c>
      <c r="H98" s="26" t="s">
        <v>5125</v>
      </c>
      <c r="I98" s="26" t="s">
        <v>5126</v>
      </c>
    </row>
    <row r="99" customFormat="false" ht="41.75" hidden="false" customHeight="false" outlineLevel="0" collapsed="false">
      <c r="A99" s="26" t="s">
        <v>5127</v>
      </c>
      <c r="B99" s="26" t="s">
        <v>5121</v>
      </c>
      <c r="C99" s="26" t="s">
        <v>5128</v>
      </c>
      <c r="D99" s="175" t="n">
        <v>420000</v>
      </c>
      <c r="E99" s="176" t="s">
        <v>4850</v>
      </c>
      <c r="F99" s="26" t="s">
        <v>5129</v>
      </c>
      <c r="G99" s="26" t="s">
        <v>4852</v>
      </c>
      <c r="H99" s="26" t="s">
        <v>5130</v>
      </c>
      <c r="I99" s="26" t="s">
        <v>5126</v>
      </c>
    </row>
    <row r="100" customFormat="false" ht="28.35" hidden="false" customHeight="false" outlineLevel="0" collapsed="false">
      <c r="A100" s="26" t="s">
        <v>5131</v>
      </c>
      <c r="B100" s="26" t="s">
        <v>5121</v>
      </c>
      <c r="C100" s="26" t="s">
        <v>5132</v>
      </c>
      <c r="D100" s="175" t="n">
        <v>40000</v>
      </c>
      <c r="E100" s="176" t="s">
        <v>4850</v>
      </c>
      <c r="F100" s="26" t="s">
        <v>5123</v>
      </c>
      <c r="G100" s="26" t="s">
        <v>5124</v>
      </c>
      <c r="H100" s="26" t="s">
        <v>5133</v>
      </c>
      <c r="I100" s="26" t="s">
        <v>5126</v>
      </c>
    </row>
    <row r="101" customFormat="false" ht="41.75" hidden="false" customHeight="false" outlineLevel="0" collapsed="false">
      <c r="A101" s="26" t="s">
        <v>5134</v>
      </c>
      <c r="B101" s="26" t="s">
        <v>5121</v>
      </c>
      <c r="C101" s="26" t="s">
        <v>5135</v>
      </c>
      <c r="D101" s="175" t="n">
        <v>44000</v>
      </c>
      <c r="E101" s="176" t="s">
        <v>4850</v>
      </c>
      <c r="F101" s="26" t="s">
        <v>5129</v>
      </c>
      <c r="G101" s="26" t="s">
        <v>4852</v>
      </c>
      <c r="H101" s="26" t="s">
        <v>5136</v>
      </c>
      <c r="I101" s="26" t="s">
        <v>5126</v>
      </c>
    </row>
    <row r="102" customFormat="false" ht="15" hidden="false" customHeight="false" outlineLevel="0" collapsed="false">
      <c r="A102" s="26" t="s">
        <v>5137</v>
      </c>
      <c r="B102" s="26" t="s">
        <v>5121</v>
      </c>
      <c r="C102" s="26" t="s">
        <v>5138</v>
      </c>
      <c r="D102" s="175" t="n">
        <v>20000</v>
      </c>
      <c r="E102" s="176" t="s">
        <v>4850</v>
      </c>
      <c r="F102" s="26" t="s">
        <v>5123</v>
      </c>
      <c r="G102" s="26" t="s">
        <v>5124</v>
      </c>
      <c r="H102" s="26" t="s">
        <v>5133</v>
      </c>
      <c r="I102" s="26" t="s">
        <v>5126</v>
      </c>
    </row>
    <row r="103" customFormat="false" ht="41.75" hidden="false" customHeight="false" outlineLevel="0" collapsed="false">
      <c r="A103" s="26" t="s">
        <v>5139</v>
      </c>
      <c r="B103" s="26" t="s">
        <v>5121</v>
      </c>
      <c r="C103" s="26" t="s">
        <v>5140</v>
      </c>
      <c r="D103" s="175" t="n">
        <v>22000</v>
      </c>
      <c r="E103" s="176" t="s">
        <v>4850</v>
      </c>
      <c r="F103" s="26" t="s">
        <v>5129</v>
      </c>
      <c r="G103" s="26" t="s">
        <v>4852</v>
      </c>
      <c r="H103" s="26" t="s">
        <v>5141</v>
      </c>
      <c r="I103" s="26" t="s">
        <v>5126</v>
      </c>
    </row>
    <row r="104" customFormat="false" ht="15" hidden="false" customHeight="false" outlineLevel="0" collapsed="false">
      <c r="A104" s="26" t="s">
        <v>5142</v>
      </c>
      <c r="B104" s="26" t="s">
        <v>5121</v>
      </c>
      <c r="C104" s="26" t="s">
        <v>5143</v>
      </c>
      <c r="D104" s="177" t="n">
        <v>0.33</v>
      </c>
      <c r="E104" s="176" t="s">
        <v>4850</v>
      </c>
      <c r="F104" s="26" t="s">
        <v>5144</v>
      </c>
      <c r="G104" s="26" t="s">
        <v>5124</v>
      </c>
      <c r="H104" s="26"/>
      <c r="I104" s="26" t="s">
        <v>5126</v>
      </c>
    </row>
    <row r="105" customFormat="false" ht="15" hidden="false" customHeight="false" outlineLevel="0" collapsed="false">
      <c r="A105" s="26" t="s">
        <v>5145</v>
      </c>
      <c r="B105" s="26" t="s">
        <v>5121</v>
      </c>
      <c r="C105" s="26" t="s">
        <v>5146</v>
      </c>
      <c r="D105" s="175" t="n">
        <v>3000</v>
      </c>
      <c r="E105" s="176" t="s">
        <v>4850</v>
      </c>
      <c r="F105" s="26" t="s">
        <v>5144</v>
      </c>
      <c r="G105" s="26" t="s">
        <v>5124</v>
      </c>
      <c r="H105" s="26" t="s">
        <v>5147</v>
      </c>
      <c r="I105" s="26" t="s">
        <v>5126</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24" t="s">
        <v>5148</v>
      </c>
    </row>
    <row r="2" customFormat="false" ht="61.5" hidden="false" customHeight="true" outlineLevel="0" collapsed="false">
      <c r="A2" s="94" t="s">
        <v>5149</v>
      </c>
      <c r="B2" s="94"/>
      <c r="C2" s="94"/>
      <c r="D2" s="94"/>
      <c r="E2" s="94"/>
      <c r="F2" s="94"/>
      <c r="G2" s="94"/>
      <c r="H2" s="94"/>
      <c r="I2" s="94"/>
      <c r="J2" s="94"/>
      <c r="K2" s="94"/>
      <c r="L2" s="94"/>
      <c r="M2" s="94"/>
    </row>
    <row r="3" customFormat="false" ht="15" hidden="false" customHeight="false" outlineLevel="0" collapsed="false">
      <c r="A3" s="174" t="s">
        <v>5150</v>
      </c>
      <c r="B3" s="174" t="s">
        <v>1545</v>
      </c>
      <c r="C3" s="174" t="s">
        <v>5151</v>
      </c>
    </row>
    <row r="4" customFormat="false" ht="28.35" hidden="false" customHeight="false" outlineLevel="0" collapsed="false">
      <c r="A4" s="179" t="s">
        <v>5152</v>
      </c>
      <c r="B4" s="180" t="n">
        <v>100000</v>
      </c>
      <c r="C4" s="26" t="s">
        <v>5153</v>
      </c>
    </row>
    <row r="5" customFormat="false" ht="41.75" hidden="false" customHeight="false" outlineLevel="0" collapsed="false">
      <c r="A5" s="179" t="s">
        <v>5154</v>
      </c>
      <c r="B5" s="180" t="n">
        <v>100000</v>
      </c>
      <c r="C5" s="26" t="s">
        <v>5155</v>
      </c>
    </row>
    <row r="6" customFormat="false" ht="28.35" hidden="false" customHeight="false" outlineLevel="0" collapsed="false">
      <c r="A6" s="179" t="s">
        <v>5156</v>
      </c>
      <c r="B6" s="181" t="n">
        <v>0.05</v>
      </c>
      <c r="C6" s="26" t="s">
        <v>5157</v>
      </c>
    </row>
    <row r="7" customFormat="false" ht="28.35" hidden="false" customHeight="false" outlineLevel="0" collapsed="false">
      <c r="A7" s="179" t="s">
        <v>5158</v>
      </c>
      <c r="B7" s="181" t="n">
        <v>0.01</v>
      </c>
      <c r="C7" s="26" t="s">
        <v>5159</v>
      </c>
    </row>
    <row r="8" customFormat="false" ht="41.75" hidden="false" customHeight="false" outlineLevel="0" collapsed="false">
      <c r="A8" s="179" t="s">
        <v>5160</v>
      </c>
      <c r="B8" s="182" t="n">
        <v>0</v>
      </c>
      <c r="C8" s="26" t="s">
        <v>5161</v>
      </c>
    </row>
    <row r="9" customFormat="false" ht="41.75" hidden="false" customHeight="false" outlineLevel="0" collapsed="false">
      <c r="A9" s="179" t="s">
        <v>5162</v>
      </c>
      <c r="B9" s="183" t="s">
        <v>5163</v>
      </c>
      <c r="C9" s="26" t="s">
        <v>5164</v>
      </c>
    </row>
    <row r="10" customFormat="false" ht="41.75" hidden="false" customHeight="false" outlineLevel="0" collapsed="false">
      <c r="A10" s="179" t="s">
        <v>5165</v>
      </c>
      <c r="B10" s="182" t="n">
        <v>20</v>
      </c>
      <c r="C10" s="26" t="s">
        <v>5166</v>
      </c>
    </row>
    <row r="11" customFormat="false" ht="55.2" hidden="false" customHeight="false" outlineLevel="0" collapsed="false">
      <c r="A11" s="179" t="s">
        <v>5167</v>
      </c>
      <c r="B11" s="184" t="n">
        <v>46316</v>
      </c>
      <c r="C11" s="26" t="s">
        <v>5168</v>
      </c>
    </row>
    <row r="12" customFormat="false" ht="41.75" hidden="false" customHeight="false" outlineLevel="0" collapsed="false">
      <c r="A12" s="179" t="s">
        <v>5169</v>
      </c>
      <c r="B12" s="182" t="n">
        <v>1</v>
      </c>
      <c r="C12" s="26" t="s">
        <v>5170</v>
      </c>
    </row>
    <row r="13" customFormat="false" ht="55.2" hidden="false" customHeight="false" outlineLevel="0" collapsed="false">
      <c r="A13" s="179" t="s">
        <v>5171</v>
      </c>
      <c r="B13" s="180" t="n">
        <v>0</v>
      </c>
      <c r="C13" s="26" t="s">
        <v>5172</v>
      </c>
    </row>
    <row r="15" customFormat="false" ht="15" hidden="false" customHeight="false" outlineLevel="0" collapsed="false">
      <c r="A15" s="174" t="s">
        <v>5173</v>
      </c>
      <c r="B15" s="174" t="s">
        <v>1545</v>
      </c>
      <c r="C15" s="174" t="s">
        <v>5174</v>
      </c>
    </row>
    <row r="16" customFormat="false" ht="15" hidden="false" customHeight="false" outlineLevel="0" collapsed="false">
      <c r="A16" s="179" t="s">
        <v>5175</v>
      </c>
      <c r="B16" s="185" t="n">
        <f aca="false">VLOOKUP("sav.exit",'Tax assumptions 2026'!$A$5:$D$106,4,FALSE())</f>
        <v>0.38</v>
      </c>
      <c r="C16" s="26" t="s">
        <v>5067</v>
      </c>
    </row>
    <row r="17" customFormat="false" ht="15" hidden="false" customHeight="false" outlineLevel="0" collapsed="false">
      <c r="A17" s="179" t="s">
        <v>5072</v>
      </c>
      <c r="B17" s="186" t="n">
        <f aca="false">VLOOKUP("sav.deemed",'Tax assumptions 2026'!$A$5:$D$106,4,FALSE())</f>
        <v>8</v>
      </c>
      <c r="C17" s="26" t="s">
        <v>5071</v>
      </c>
    </row>
    <row r="18" customFormat="false" ht="15" hidden="false" customHeight="false" outlineLevel="0" collapsed="false">
      <c r="A18" s="179" t="s">
        <v>5176</v>
      </c>
      <c r="B18" s="185" t="n">
        <f aca="false">VLOOKUP("sav.cgtBefore",'Tax assumptions 2026'!$A$5:$D$106,4,FALSE())</f>
        <v>0.33</v>
      </c>
      <c r="C18" s="26" t="s">
        <v>5078</v>
      </c>
    </row>
    <row r="19" customFormat="false" ht="15" hidden="false" customHeight="false" outlineLevel="0" collapsed="false">
      <c r="A19" s="179" t="s">
        <v>5177</v>
      </c>
      <c r="B19" s="185" t="n">
        <f aca="false">VLOOKUP("sav.cgt",'Tax assumptions 2026'!$A$5:$D$106,4,FALSE())</f>
        <v>0.31</v>
      </c>
      <c r="C19" s="26" t="s">
        <v>5074</v>
      </c>
    </row>
    <row r="20" customFormat="false" ht="15" hidden="false" customHeight="false" outlineLevel="0" collapsed="false">
      <c r="A20" s="179" t="s">
        <v>5178</v>
      </c>
      <c r="B20" s="185" t="n">
        <f aca="false">IF(EDATE(B11,12*B10)&gt;=DATE(2026,10,7),B19,B18)</f>
        <v>0.31</v>
      </c>
      <c r="C20" s="26" t="s">
        <v>5179</v>
      </c>
    </row>
    <row r="21" customFormat="false" ht="28.35" hidden="false" customHeight="false" outlineLevel="0" collapsed="false">
      <c r="A21" s="179" t="s">
        <v>5180</v>
      </c>
      <c r="B21" s="187" t="n">
        <f aca="false">VLOOKUP("sav.cgtExempt",'Tax assumptions 2026'!$A$5:$D$106,4,FALSE())</f>
        <v>1270</v>
      </c>
      <c r="C21" s="26" t="s">
        <v>5181</v>
      </c>
    </row>
    <row r="23" customFormat="false" ht="15" hidden="false" customHeight="false" outlineLevel="0" collapsed="false">
      <c r="A23" s="174" t="s">
        <v>5182</v>
      </c>
      <c r="B23" s="174" t="s">
        <v>1545</v>
      </c>
      <c r="C23" s="174" t="s">
        <v>1546</v>
      </c>
    </row>
    <row r="24" customFormat="false" ht="28.35" hidden="false" customHeight="false" outlineLevel="0" collapsed="false">
      <c r="A24" s="179" t="s">
        <v>5183</v>
      </c>
      <c r="B24" s="187" t="n">
        <f aca="false">B4*(1+B6-B7)^B10</f>
        <v>219112.314303342</v>
      </c>
      <c r="C24" s="26" t="s">
        <v>5184</v>
      </c>
    </row>
    <row r="25" customFormat="false" ht="28.35" hidden="false" customHeight="false" outlineLevel="0" collapsed="false">
      <c r="A25" s="179" t="s">
        <v>5185</v>
      </c>
      <c r="B25" s="187" t="n">
        <f aca="false">INDEX($J$36:$J$65,B10)</f>
        <v>176560.169363514</v>
      </c>
      <c r="C25" s="26" t="s">
        <v>5186</v>
      </c>
    </row>
    <row r="26" customFormat="false" ht="41.75" hidden="false" customHeight="false" outlineLevel="0" collapsed="false">
      <c r="A26" s="179" t="s">
        <v>5187</v>
      </c>
      <c r="B26" s="187" t="n">
        <f aca="false">INDEX($K$36:$K$65,B10)</f>
        <v>150924.37274085</v>
      </c>
      <c r="C26" s="26" t="s">
        <v>5188</v>
      </c>
    </row>
    <row r="27" customFormat="false" ht="28.35" hidden="false" customHeight="false" outlineLevel="0" collapsed="false">
      <c r="A27" s="179" t="s">
        <v>5189</v>
      </c>
      <c r="B27" s="187" t="n">
        <f aca="false">MAX(0,B25-B26)</f>
        <v>25635.796622664</v>
      </c>
      <c r="C27" s="26" t="s">
        <v>5190</v>
      </c>
    </row>
    <row r="28" customFormat="false" ht="28.35" hidden="false" customHeight="false" outlineLevel="0" collapsed="false">
      <c r="A28" s="179" t="s">
        <v>5191</v>
      </c>
      <c r="B28" s="187" t="n">
        <f aca="false">INDEX($M$36:$M$65,B10)</f>
        <v>31211.712325037</v>
      </c>
      <c r="C28" s="26" t="s">
        <v>5192</v>
      </c>
    </row>
    <row r="29" customFormat="false" ht="55.2" hidden="false" customHeight="false" outlineLevel="0" collapsed="false">
      <c r="A29" s="179" t="s">
        <v>5193</v>
      </c>
      <c r="B29" s="187" t="n">
        <f aca="false">IF(B9="Fund or ETF",B27*B16,B20*MAX(0,B27-B13-B21*B12))</f>
        <v>9741.60271661232</v>
      </c>
      <c r="C29" s="26" t="s">
        <v>5194</v>
      </c>
    </row>
    <row r="30" customFormat="false" ht="28.35" hidden="false" customHeight="false" outlineLevel="0" collapsed="false">
      <c r="A30" s="179" t="s">
        <v>5195</v>
      </c>
      <c r="B30" s="187" t="n">
        <f aca="false">B25-B29</f>
        <v>166818.566646901</v>
      </c>
      <c r="C30" s="26" t="s">
        <v>5196</v>
      </c>
    </row>
    <row r="31" customFormat="false" ht="28.35" hidden="false" customHeight="false" outlineLevel="0" collapsed="false">
      <c r="A31" s="179" t="s">
        <v>5197</v>
      </c>
      <c r="B31" s="187" t="n">
        <f aca="false">B28+B29</f>
        <v>40953.3150416493</v>
      </c>
      <c r="C31" s="26" t="s">
        <v>5198</v>
      </c>
    </row>
    <row r="32" customFormat="false" ht="15" hidden="false" customHeight="false" outlineLevel="0" collapsed="false">
      <c r="A32" s="179" t="s">
        <v>5199</v>
      </c>
      <c r="B32" s="188" t="n">
        <f aca="false">B6-B7</f>
        <v>0.04</v>
      </c>
      <c r="C32" s="26" t="s">
        <v>5200</v>
      </c>
    </row>
    <row r="33" customFormat="false" ht="41.75" hidden="false" customHeight="false" outlineLevel="0" collapsed="false">
      <c r="A33" s="179" t="s">
        <v>5201</v>
      </c>
      <c r="B33" s="188" t="n">
        <f aca="false">IF(B30&gt;0,(B30/B4)^(1/B10)-1,"n/a")</f>
        <v>0.0259169832145933</v>
      </c>
      <c r="C33" s="26" t="s">
        <v>5202</v>
      </c>
    </row>
    <row r="35" customFormat="false" ht="28.35" hidden="false" customHeight="false" outlineLevel="0" collapsed="false">
      <c r="A35" s="174" t="s">
        <v>917</v>
      </c>
      <c r="B35" s="174" t="s">
        <v>5203</v>
      </c>
      <c r="C35" s="174" t="s">
        <v>5204</v>
      </c>
      <c r="D35" s="174" t="s">
        <v>5205</v>
      </c>
      <c r="E35" s="174" t="s">
        <v>5206</v>
      </c>
      <c r="F35" s="174" t="s">
        <v>5207</v>
      </c>
      <c r="G35" s="174" t="s">
        <v>5208</v>
      </c>
      <c r="H35" s="174" t="s">
        <v>5209</v>
      </c>
      <c r="I35" s="174" t="s">
        <v>5210</v>
      </c>
      <c r="J35" s="174" t="s">
        <v>5211</v>
      </c>
      <c r="K35" s="174" t="s">
        <v>5212</v>
      </c>
      <c r="L35" s="174" t="s">
        <v>5213</v>
      </c>
      <c r="M35" s="174" t="s">
        <v>5214</v>
      </c>
    </row>
    <row r="36" customFormat="false" ht="15" hidden="false" customHeight="false" outlineLevel="0" collapsed="false">
      <c r="A36" s="189" t="n">
        <v>1</v>
      </c>
      <c r="B36" s="187" t="n">
        <f aca="false">B4</f>
        <v>100000</v>
      </c>
      <c r="C36" s="187" t="n">
        <f aca="false">B5</f>
        <v>100000</v>
      </c>
      <c r="D36" s="189" t="n">
        <f aca="false">MOD(B8,$B$17)</f>
        <v>0</v>
      </c>
      <c r="E36" s="187" t="n">
        <f aca="false">B36*($B$6-$B$7)</f>
        <v>4000</v>
      </c>
      <c r="F36" s="187" t="n">
        <f aca="false">B36+E36</f>
        <v>104000</v>
      </c>
      <c r="G36" s="189" t="str">
        <f aca="false">IF(AND($B$9="Fund or ETF",D36+1&gt;=$B$17),"Yes","No")</f>
        <v>No</v>
      </c>
      <c r="H36" s="187" t="n">
        <f aca="false">IF(G36="Yes",MAX(0,F36-C36),0)</f>
        <v>0</v>
      </c>
      <c r="I36" s="187" t="n">
        <f aca="false">H36*$B$16</f>
        <v>0</v>
      </c>
      <c r="J36" s="187" t="n">
        <f aca="false">F36-I36</f>
        <v>104000</v>
      </c>
      <c r="K36" s="187" t="n">
        <f aca="false">IF(G36="Yes",J36,C36)</f>
        <v>100000</v>
      </c>
      <c r="L36" s="189" t="n">
        <f aca="false">IF(G36="Yes",0,D36+1)</f>
        <v>1</v>
      </c>
      <c r="M36" s="187" t="n">
        <f aca="false">I36</f>
        <v>0</v>
      </c>
    </row>
    <row r="37" customFormat="false" ht="15" hidden="false" customHeight="false" outlineLevel="0" collapsed="false">
      <c r="A37" s="189" t="n">
        <v>2</v>
      </c>
      <c r="B37" s="187" t="n">
        <f aca="false">J36</f>
        <v>104000</v>
      </c>
      <c r="C37" s="187" t="n">
        <f aca="false">K36</f>
        <v>100000</v>
      </c>
      <c r="D37" s="189" t="n">
        <f aca="false">L36</f>
        <v>1</v>
      </c>
      <c r="E37" s="187" t="n">
        <f aca="false">B37*($B$6-$B$7)</f>
        <v>4160</v>
      </c>
      <c r="F37" s="187" t="n">
        <f aca="false">B37+E37</f>
        <v>108160</v>
      </c>
      <c r="G37" s="189" t="str">
        <f aca="false">IF(AND($B$9="Fund or ETF",D37+1&gt;=$B$17),"Yes","No")</f>
        <v>No</v>
      </c>
      <c r="H37" s="187" t="n">
        <f aca="false">IF(G37="Yes",MAX(0,F37-C37),0)</f>
        <v>0</v>
      </c>
      <c r="I37" s="187" t="n">
        <f aca="false">H37*$B$16</f>
        <v>0</v>
      </c>
      <c r="J37" s="187" t="n">
        <f aca="false">F37-I37</f>
        <v>108160</v>
      </c>
      <c r="K37" s="187" t="n">
        <f aca="false">IF(G37="Yes",J37,C37)</f>
        <v>100000</v>
      </c>
      <c r="L37" s="189" t="n">
        <f aca="false">IF(G37="Yes",0,D37+1)</f>
        <v>2</v>
      </c>
      <c r="M37" s="187" t="n">
        <f aca="false">M36+I37</f>
        <v>0</v>
      </c>
    </row>
    <row r="38" customFormat="false" ht="15" hidden="false" customHeight="false" outlineLevel="0" collapsed="false">
      <c r="A38" s="189" t="n">
        <v>3</v>
      </c>
      <c r="B38" s="187" t="n">
        <f aca="false">J37</f>
        <v>108160</v>
      </c>
      <c r="C38" s="187" t="n">
        <f aca="false">K37</f>
        <v>100000</v>
      </c>
      <c r="D38" s="189" t="n">
        <f aca="false">L37</f>
        <v>2</v>
      </c>
      <c r="E38" s="187" t="n">
        <f aca="false">B38*($B$6-$B$7)</f>
        <v>4326.4</v>
      </c>
      <c r="F38" s="187" t="n">
        <f aca="false">B38+E38</f>
        <v>112486.4</v>
      </c>
      <c r="G38" s="189" t="str">
        <f aca="false">IF(AND($B$9="Fund or ETF",D38+1&gt;=$B$17),"Yes","No")</f>
        <v>No</v>
      </c>
      <c r="H38" s="187" t="n">
        <f aca="false">IF(G38="Yes",MAX(0,F38-C38),0)</f>
        <v>0</v>
      </c>
      <c r="I38" s="187" t="n">
        <f aca="false">H38*$B$16</f>
        <v>0</v>
      </c>
      <c r="J38" s="187" t="n">
        <f aca="false">F38-I38</f>
        <v>112486.4</v>
      </c>
      <c r="K38" s="187" t="n">
        <f aca="false">IF(G38="Yes",J38,C38)</f>
        <v>100000</v>
      </c>
      <c r="L38" s="189" t="n">
        <f aca="false">IF(G38="Yes",0,D38+1)</f>
        <v>3</v>
      </c>
      <c r="M38" s="187" t="n">
        <f aca="false">M37+I38</f>
        <v>0</v>
      </c>
    </row>
    <row r="39" customFormat="false" ht="15" hidden="false" customHeight="false" outlineLevel="0" collapsed="false">
      <c r="A39" s="189" t="n">
        <v>4</v>
      </c>
      <c r="B39" s="187" t="n">
        <f aca="false">J38</f>
        <v>112486.4</v>
      </c>
      <c r="C39" s="187" t="n">
        <f aca="false">K38</f>
        <v>100000</v>
      </c>
      <c r="D39" s="189" t="n">
        <f aca="false">L38</f>
        <v>3</v>
      </c>
      <c r="E39" s="187" t="n">
        <f aca="false">B39*($B$6-$B$7)</f>
        <v>4499.456</v>
      </c>
      <c r="F39" s="187" t="n">
        <f aca="false">B39+E39</f>
        <v>116985.856</v>
      </c>
      <c r="G39" s="189" t="str">
        <f aca="false">IF(AND($B$9="Fund or ETF",D39+1&gt;=$B$17),"Yes","No")</f>
        <v>No</v>
      </c>
      <c r="H39" s="187" t="n">
        <f aca="false">IF(G39="Yes",MAX(0,F39-C39),0)</f>
        <v>0</v>
      </c>
      <c r="I39" s="187" t="n">
        <f aca="false">H39*$B$16</f>
        <v>0</v>
      </c>
      <c r="J39" s="187" t="n">
        <f aca="false">F39-I39</f>
        <v>116985.856</v>
      </c>
      <c r="K39" s="187" t="n">
        <f aca="false">IF(G39="Yes",J39,C39)</f>
        <v>100000</v>
      </c>
      <c r="L39" s="189" t="n">
        <f aca="false">IF(G39="Yes",0,D39+1)</f>
        <v>4</v>
      </c>
      <c r="M39" s="187" t="n">
        <f aca="false">M38+I39</f>
        <v>0</v>
      </c>
    </row>
    <row r="40" customFormat="false" ht="15" hidden="false" customHeight="false" outlineLevel="0" collapsed="false">
      <c r="A40" s="189" t="n">
        <v>5</v>
      </c>
      <c r="B40" s="187" t="n">
        <f aca="false">J39</f>
        <v>116985.856</v>
      </c>
      <c r="C40" s="187" t="n">
        <f aca="false">K39</f>
        <v>100000</v>
      </c>
      <c r="D40" s="189" t="n">
        <f aca="false">L39</f>
        <v>4</v>
      </c>
      <c r="E40" s="187" t="n">
        <f aca="false">B40*($B$6-$B$7)</f>
        <v>4679.43424</v>
      </c>
      <c r="F40" s="187" t="n">
        <f aca="false">B40+E40</f>
        <v>121665.29024</v>
      </c>
      <c r="G40" s="189" t="str">
        <f aca="false">IF(AND($B$9="Fund or ETF",D40+1&gt;=$B$17),"Yes","No")</f>
        <v>No</v>
      </c>
      <c r="H40" s="187" t="n">
        <f aca="false">IF(G40="Yes",MAX(0,F40-C40),0)</f>
        <v>0</v>
      </c>
      <c r="I40" s="187" t="n">
        <f aca="false">H40*$B$16</f>
        <v>0</v>
      </c>
      <c r="J40" s="187" t="n">
        <f aca="false">F40-I40</f>
        <v>121665.29024</v>
      </c>
      <c r="K40" s="187" t="n">
        <f aca="false">IF(G40="Yes",J40,C40)</f>
        <v>100000</v>
      </c>
      <c r="L40" s="189" t="n">
        <f aca="false">IF(G40="Yes",0,D40+1)</f>
        <v>5</v>
      </c>
      <c r="M40" s="187" t="n">
        <f aca="false">M39+I40</f>
        <v>0</v>
      </c>
    </row>
    <row r="41" customFormat="false" ht="15" hidden="false" customHeight="false" outlineLevel="0" collapsed="false">
      <c r="A41" s="189" t="n">
        <v>6</v>
      </c>
      <c r="B41" s="187" t="n">
        <f aca="false">J40</f>
        <v>121665.29024</v>
      </c>
      <c r="C41" s="187" t="n">
        <f aca="false">K40</f>
        <v>100000</v>
      </c>
      <c r="D41" s="189" t="n">
        <f aca="false">L40</f>
        <v>5</v>
      </c>
      <c r="E41" s="187" t="n">
        <f aca="false">B41*($B$6-$B$7)</f>
        <v>4866.6116096</v>
      </c>
      <c r="F41" s="187" t="n">
        <f aca="false">B41+E41</f>
        <v>126531.9018496</v>
      </c>
      <c r="G41" s="189" t="str">
        <f aca="false">IF(AND($B$9="Fund or ETF",D41+1&gt;=$B$17),"Yes","No")</f>
        <v>No</v>
      </c>
      <c r="H41" s="187" t="n">
        <f aca="false">IF(G41="Yes",MAX(0,F41-C41),0)</f>
        <v>0</v>
      </c>
      <c r="I41" s="187" t="n">
        <f aca="false">H41*$B$16</f>
        <v>0</v>
      </c>
      <c r="J41" s="187" t="n">
        <f aca="false">F41-I41</f>
        <v>126531.9018496</v>
      </c>
      <c r="K41" s="187" t="n">
        <f aca="false">IF(G41="Yes",J41,C41)</f>
        <v>100000</v>
      </c>
      <c r="L41" s="189" t="n">
        <f aca="false">IF(G41="Yes",0,D41+1)</f>
        <v>6</v>
      </c>
      <c r="M41" s="187" t="n">
        <f aca="false">M40+I41</f>
        <v>0</v>
      </c>
    </row>
    <row r="42" customFormat="false" ht="15" hidden="false" customHeight="false" outlineLevel="0" collapsed="false">
      <c r="A42" s="189" t="n">
        <v>7</v>
      </c>
      <c r="B42" s="187" t="n">
        <f aca="false">J41</f>
        <v>126531.9018496</v>
      </c>
      <c r="C42" s="187" t="n">
        <f aca="false">K41</f>
        <v>100000</v>
      </c>
      <c r="D42" s="189" t="n">
        <f aca="false">L41</f>
        <v>6</v>
      </c>
      <c r="E42" s="187" t="n">
        <f aca="false">B42*($B$6-$B$7)</f>
        <v>5061.276073984</v>
      </c>
      <c r="F42" s="187" t="n">
        <f aca="false">B42+E42</f>
        <v>131593.177923584</v>
      </c>
      <c r="G42" s="189" t="str">
        <f aca="false">IF(AND($B$9="Fund or ETF",D42+1&gt;=$B$17),"Yes","No")</f>
        <v>No</v>
      </c>
      <c r="H42" s="187" t="n">
        <f aca="false">IF(G42="Yes",MAX(0,F42-C42),0)</f>
        <v>0</v>
      </c>
      <c r="I42" s="187" t="n">
        <f aca="false">H42*$B$16</f>
        <v>0</v>
      </c>
      <c r="J42" s="187" t="n">
        <f aca="false">F42-I42</f>
        <v>131593.177923584</v>
      </c>
      <c r="K42" s="187" t="n">
        <f aca="false">IF(G42="Yes",J42,C42)</f>
        <v>100000</v>
      </c>
      <c r="L42" s="189" t="n">
        <f aca="false">IF(G42="Yes",0,D42+1)</f>
        <v>7</v>
      </c>
      <c r="M42" s="187" t="n">
        <f aca="false">M41+I42</f>
        <v>0</v>
      </c>
    </row>
    <row r="43" customFormat="false" ht="15" hidden="false" customHeight="false" outlineLevel="0" collapsed="false">
      <c r="A43" s="189" t="n">
        <v>8</v>
      </c>
      <c r="B43" s="187" t="n">
        <f aca="false">J42</f>
        <v>131593.177923584</v>
      </c>
      <c r="C43" s="187" t="n">
        <f aca="false">K42</f>
        <v>100000</v>
      </c>
      <c r="D43" s="189" t="n">
        <f aca="false">L42</f>
        <v>7</v>
      </c>
      <c r="E43" s="187" t="n">
        <f aca="false">B43*($B$6-$B$7)</f>
        <v>5263.72711694336</v>
      </c>
      <c r="F43" s="187" t="n">
        <f aca="false">B43+E43</f>
        <v>136856.905040527</v>
      </c>
      <c r="G43" s="189" t="str">
        <f aca="false">IF(AND($B$9="Fund or ETF",D43+1&gt;=$B$17),"Yes","No")</f>
        <v>Yes</v>
      </c>
      <c r="H43" s="187" t="n">
        <f aca="false">IF(G43="Yes",MAX(0,F43-C43),0)</f>
        <v>36856.9050405274</v>
      </c>
      <c r="I43" s="187" t="n">
        <f aca="false">H43*$B$16</f>
        <v>14005.6239154004</v>
      </c>
      <c r="J43" s="187" t="n">
        <f aca="false">F43-I43</f>
        <v>122851.281125127</v>
      </c>
      <c r="K43" s="187" t="n">
        <f aca="false">IF(G43="Yes",J43,C43)</f>
        <v>122851.281125127</v>
      </c>
      <c r="L43" s="189" t="n">
        <f aca="false">IF(G43="Yes",0,D43+1)</f>
        <v>0</v>
      </c>
      <c r="M43" s="187" t="n">
        <f aca="false">M42+I43</f>
        <v>14005.6239154004</v>
      </c>
    </row>
    <row r="44" customFormat="false" ht="15" hidden="false" customHeight="false" outlineLevel="0" collapsed="false">
      <c r="A44" s="189" t="n">
        <v>9</v>
      </c>
      <c r="B44" s="187" t="n">
        <f aca="false">J43</f>
        <v>122851.281125127</v>
      </c>
      <c r="C44" s="187" t="n">
        <f aca="false">K43</f>
        <v>122851.281125127</v>
      </c>
      <c r="D44" s="189" t="n">
        <f aca="false">L43</f>
        <v>0</v>
      </c>
      <c r="E44" s="187" t="n">
        <f aca="false">B44*($B$6-$B$7)</f>
        <v>4914.05124500508</v>
      </c>
      <c r="F44" s="187" t="n">
        <f aca="false">B44+E44</f>
        <v>127765.332370132</v>
      </c>
      <c r="G44" s="189" t="str">
        <f aca="false">IF(AND($B$9="Fund or ETF",D44+1&gt;=$B$17),"Yes","No")</f>
        <v>No</v>
      </c>
      <c r="H44" s="187" t="n">
        <f aca="false">IF(G44="Yes",MAX(0,F44-C44),0)</f>
        <v>0</v>
      </c>
      <c r="I44" s="187" t="n">
        <f aca="false">H44*$B$16</f>
        <v>0</v>
      </c>
      <c r="J44" s="187" t="n">
        <f aca="false">F44-I44</f>
        <v>127765.332370132</v>
      </c>
      <c r="K44" s="187" t="n">
        <f aca="false">IF(G44="Yes",J44,C44)</f>
        <v>122851.281125127</v>
      </c>
      <c r="L44" s="189" t="n">
        <f aca="false">IF(G44="Yes",0,D44+1)</f>
        <v>1</v>
      </c>
      <c r="M44" s="187" t="n">
        <f aca="false">M43+I44</f>
        <v>14005.6239154004</v>
      </c>
    </row>
    <row r="45" customFormat="false" ht="15" hidden="false" customHeight="false" outlineLevel="0" collapsed="false">
      <c r="A45" s="189" t="n">
        <v>10</v>
      </c>
      <c r="B45" s="187" t="n">
        <f aca="false">J44</f>
        <v>127765.332370132</v>
      </c>
      <c r="C45" s="187" t="n">
        <f aca="false">K44</f>
        <v>122851.281125127</v>
      </c>
      <c r="D45" s="189" t="n">
        <f aca="false">L44</f>
        <v>1</v>
      </c>
      <c r="E45" s="187" t="n">
        <f aca="false">B45*($B$6-$B$7)</f>
        <v>5110.61329480528</v>
      </c>
      <c r="F45" s="187" t="n">
        <f aca="false">B45+E45</f>
        <v>132875.945664937</v>
      </c>
      <c r="G45" s="189" t="str">
        <f aca="false">IF(AND($B$9="Fund or ETF",D45+1&gt;=$B$17),"Yes","No")</f>
        <v>No</v>
      </c>
      <c r="H45" s="187" t="n">
        <f aca="false">IF(G45="Yes",MAX(0,F45-C45),0)</f>
        <v>0</v>
      </c>
      <c r="I45" s="187" t="n">
        <f aca="false">H45*$B$16</f>
        <v>0</v>
      </c>
      <c r="J45" s="187" t="n">
        <f aca="false">F45-I45</f>
        <v>132875.945664937</v>
      </c>
      <c r="K45" s="187" t="n">
        <f aca="false">IF(G45="Yes",J45,C45)</f>
        <v>122851.281125127</v>
      </c>
      <c r="L45" s="189" t="n">
        <f aca="false">IF(G45="Yes",0,D45+1)</f>
        <v>2</v>
      </c>
      <c r="M45" s="187" t="n">
        <f aca="false">M44+I45</f>
        <v>14005.6239154004</v>
      </c>
    </row>
    <row r="46" customFormat="false" ht="15" hidden="false" customHeight="false" outlineLevel="0" collapsed="false">
      <c r="A46" s="189" t="n">
        <v>11</v>
      </c>
      <c r="B46" s="187" t="n">
        <f aca="false">J45</f>
        <v>132875.945664937</v>
      </c>
      <c r="C46" s="187" t="n">
        <f aca="false">K45</f>
        <v>122851.281125127</v>
      </c>
      <c r="D46" s="189" t="n">
        <f aca="false">L45</f>
        <v>2</v>
      </c>
      <c r="E46" s="187" t="n">
        <f aca="false">B46*($B$6-$B$7)</f>
        <v>5315.03782659749</v>
      </c>
      <c r="F46" s="187" t="n">
        <f aca="false">B46+E46</f>
        <v>138190.983491535</v>
      </c>
      <c r="G46" s="189" t="str">
        <f aca="false">IF(AND($B$9="Fund or ETF",D46+1&gt;=$B$17),"Yes","No")</f>
        <v>No</v>
      </c>
      <c r="H46" s="187" t="n">
        <f aca="false">IF(G46="Yes",MAX(0,F46-C46),0)</f>
        <v>0</v>
      </c>
      <c r="I46" s="187" t="n">
        <f aca="false">H46*$B$16</f>
        <v>0</v>
      </c>
      <c r="J46" s="187" t="n">
        <f aca="false">F46-I46</f>
        <v>138190.983491535</v>
      </c>
      <c r="K46" s="187" t="n">
        <f aca="false">IF(G46="Yes",J46,C46)</f>
        <v>122851.281125127</v>
      </c>
      <c r="L46" s="189" t="n">
        <f aca="false">IF(G46="Yes",0,D46+1)</f>
        <v>3</v>
      </c>
      <c r="M46" s="187" t="n">
        <f aca="false">M45+I46</f>
        <v>14005.6239154004</v>
      </c>
    </row>
    <row r="47" customFormat="false" ht="15" hidden="false" customHeight="false" outlineLevel="0" collapsed="false">
      <c r="A47" s="189" t="n">
        <v>12</v>
      </c>
      <c r="B47" s="187" t="n">
        <f aca="false">J46</f>
        <v>138190.983491535</v>
      </c>
      <c r="C47" s="187" t="n">
        <f aca="false">K46</f>
        <v>122851.281125127</v>
      </c>
      <c r="D47" s="189" t="n">
        <f aca="false">L46</f>
        <v>3</v>
      </c>
      <c r="E47" s="187" t="n">
        <f aca="false">B47*($B$6-$B$7)</f>
        <v>5527.63933966139</v>
      </c>
      <c r="F47" s="187" t="n">
        <f aca="false">B47+E47</f>
        <v>143718.622831196</v>
      </c>
      <c r="G47" s="189" t="str">
        <f aca="false">IF(AND($B$9="Fund or ETF",D47+1&gt;=$B$17),"Yes","No")</f>
        <v>No</v>
      </c>
      <c r="H47" s="187" t="n">
        <f aca="false">IF(G47="Yes",MAX(0,F47-C47),0)</f>
        <v>0</v>
      </c>
      <c r="I47" s="187" t="n">
        <f aca="false">H47*$B$16</f>
        <v>0</v>
      </c>
      <c r="J47" s="187" t="n">
        <f aca="false">F47-I47</f>
        <v>143718.622831196</v>
      </c>
      <c r="K47" s="187" t="n">
        <f aca="false">IF(G47="Yes",J47,C47)</f>
        <v>122851.281125127</v>
      </c>
      <c r="L47" s="189" t="n">
        <f aca="false">IF(G47="Yes",0,D47+1)</f>
        <v>4</v>
      </c>
      <c r="M47" s="187" t="n">
        <f aca="false">M46+I47</f>
        <v>14005.6239154004</v>
      </c>
    </row>
    <row r="48" customFormat="false" ht="15" hidden="false" customHeight="false" outlineLevel="0" collapsed="false">
      <c r="A48" s="189" t="n">
        <v>13</v>
      </c>
      <c r="B48" s="187" t="n">
        <f aca="false">J47</f>
        <v>143718.622831196</v>
      </c>
      <c r="C48" s="187" t="n">
        <f aca="false">K47</f>
        <v>122851.281125127</v>
      </c>
      <c r="D48" s="189" t="n">
        <f aca="false">L47</f>
        <v>4</v>
      </c>
      <c r="E48" s="187" t="n">
        <f aca="false">B48*($B$6-$B$7)</f>
        <v>5748.74491324785</v>
      </c>
      <c r="F48" s="187" t="n">
        <f aca="false">B48+E48</f>
        <v>149467.367744444</v>
      </c>
      <c r="G48" s="189" t="str">
        <f aca="false">IF(AND($B$9="Fund or ETF",D48+1&gt;=$B$17),"Yes","No")</f>
        <v>No</v>
      </c>
      <c r="H48" s="187" t="n">
        <f aca="false">IF(G48="Yes",MAX(0,F48-C48),0)</f>
        <v>0</v>
      </c>
      <c r="I48" s="187" t="n">
        <f aca="false">H48*$B$16</f>
        <v>0</v>
      </c>
      <c r="J48" s="187" t="n">
        <f aca="false">F48-I48</f>
        <v>149467.367744444</v>
      </c>
      <c r="K48" s="187" t="n">
        <f aca="false">IF(G48="Yes",J48,C48)</f>
        <v>122851.281125127</v>
      </c>
      <c r="L48" s="189" t="n">
        <f aca="false">IF(G48="Yes",0,D48+1)</f>
        <v>5</v>
      </c>
      <c r="M48" s="187" t="n">
        <f aca="false">M47+I48</f>
        <v>14005.6239154004</v>
      </c>
    </row>
    <row r="49" customFormat="false" ht="15" hidden="false" customHeight="false" outlineLevel="0" collapsed="false">
      <c r="A49" s="189" t="n">
        <v>14</v>
      </c>
      <c r="B49" s="187" t="n">
        <f aca="false">J48</f>
        <v>149467.367744444</v>
      </c>
      <c r="C49" s="187" t="n">
        <f aca="false">K48</f>
        <v>122851.281125127</v>
      </c>
      <c r="D49" s="189" t="n">
        <f aca="false">L48</f>
        <v>5</v>
      </c>
      <c r="E49" s="187" t="n">
        <f aca="false">B49*($B$6-$B$7)</f>
        <v>5978.69470977776</v>
      </c>
      <c r="F49" s="187" t="n">
        <f aca="false">B49+E49</f>
        <v>155446.062454222</v>
      </c>
      <c r="G49" s="189" t="str">
        <f aca="false">IF(AND($B$9="Fund or ETF",D49+1&gt;=$B$17),"Yes","No")</f>
        <v>No</v>
      </c>
      <c r="H49" s="187" t="n">
        <f aca="false">IF(G49="Yes",MAX(0,F49-C49),0)</f>
        <v>0</v>
      </c>
      <c r="I49" s="187" t="n">
        <f aca="false">H49*$B$16</f>
        <v>0</v>
      </c>
      <c r="J49" s="187" t="n">
        <f aca="false">F49-I49</f>
        <v>155446.062454222</v>
      </c>
      <c r="K49" s="187" t="n">
        <f aca="false">IF(G49="Yes",J49,C49)</f>
        <v>122851.281125127</v>
      </c>
      <c r="L49" s="189" t="n">
        <f aca="false">IF(G49="Yes",0,D49+1)</f>
        <v>6</v>
      </c>
      <c r="M49" s="187" t="n">
        <f aca="false">M48+I49</f>
        <v>14005.6239154004</v>
      </c>
    </row>
    <row r="50" customFormat="false" ht="15" hidden="false" customHeight="false" outlineLevel="0" collapsed="false">
      <c r="A50" s="189" t="n">
        <v>15</v>
      </c>
      <c r="B50" s="187" t="n">
        <f aca="false">J49</f>
        <v>155446.062454222</v>
      </c>
      <c r="C50" s="187" t="n">
        <f aca="false">K49</f>
        <v>122851.281125127</v>
      </c>
      <c r="D50" s="189" t="n">
        <f aca="false">L49</f>
        <v>6</v>
      </c>
      <c r="E50" s="187" t="n">
        <f aca="false">B50*($B$6-$B$7)</f>
        <v>6217.84249816887</v>
      </c>
      <c r="F50" s="187" t="n">
        <f aca="false">B50+E50</f>
        <v>161663.904952391</v>
      </c>
      <c r="G50" s="189" t="str">
        <f aca="false">IF(AND($B$9="Fund or ETF",D50+1&gt;=$B$17),"Yes","No")</f>
        <v>No</v>
      </c>
      <c r="H50" s="187" t="n">
        <f aca="false">IF(G50="Yes",MAX(0,F50-C50),0)</f>
        <v>0</v>
      </c>
      <c r="I50" s="187" t="n">
        <f aca="false">H50*$B$16</f>
        <v>0</v>
      </c>
      <c r="J50" s="187" t="n">
        <f aca="false">F50-I50</f>
        <v>161663.904952391</v>
      </c>
      <c r="K50" s="187" t="n">
        <f aca="false">IF(G50="Yes",J50,C50)</f>
        <v>122851.281125127</v>
      </c>
      <c r="L50" s="189" t="n">
        <f aca="false">IF(G50="Yes",0,D50+1)</f>
        <v>7</v>
      </c>
      <c r="M50" s="187" t="n">
        <f aca="false">M49+I50</f>
        <v>14005.6239154004</v>
      </c>
    </row>
    <row r="51" customFormat="false" ht="15" hidden="false" customHeight="false" outlineLevel="0" collapsed="false">
      <c r="A51" s="189" t="n">
        <v>16</v>
      </c>
      <c r="B51" s="187" t="n">
        <f aca="false">J50</f>
        <v>161663.904952391</v>
      </c>
      <c r="C51" s="187" t="n">
        <f aca="false">K50</f>
        <v>122851.281125127</v>
      </c>
      <c r="D51" s="189" t="n">
        <f aca="false">L50</f>
        <v>7</v>
      </c>
      <c r="E51" s="187" t="n">
        <f aca="false">B51*($B$6-$B$7)</f>
        <v>6466.55619809563</v>
      </c>
      <c r="F51" s="187" t="n">
        <f aca="false">B51+E51</f>
        <v>168130.461150486</v>
      </c>
      <c r="G51" s="189" t="str">
        <f aca="false">IF(AND($B$9="Fund or ETF",D51+1&gt;=$B$17),"Yes","No")</f>
        <v>Yes</v>
      </c>
      <c r="H51" s="187" t="n">
        <f aca="false">IF(G51="Yes",MAX(0,F51-C51),0)</f>
        <v>45279.1800253594</v>
      </c>
      <c r="I51" s="187" t="n">
        <f aca="false">H51*$B$16</f>
        <v>17206.0884096366</v>
      </c>
      <c r="J51" s="187" t="n">
        <f aca="false">F51-I51</f>
        <v>150924.37274085</v>
      </c>
      <c r="K51" s="187" t="n">
        <f aca="false">IF(G51="Yes",J51,C51)</f>
        <v>150924.37274085</v>
      </c>
      <c r="L51" s="189" t="n">
        <f aca="false">IF(G51="Yes",0,D51+1)</f>
        <v>0</v>
      </c>
      <c r="M51" s="187" t="n">
        <f aca="false">M50+I51</f>
        <v>31211.712325037</v>
      </c>
    </row>
    <row r="52" customFormat="false" ht="15" hidden="false" customHeight="false" outlineLevel="0" collapsed="false">
      <c r="A52" s="189" t="n">
        <v>17</v>
      </c>
      <c r="B52" s="187" t="n">
        <f aca="false">J51</f>
        <v>150924.37274085</v>
      </c>
      <c r="C52" s="187" t="n">
        <f aca="false">K51</f>
        <v>150924.37274085</v>
      </c>
      <c r="D52" s="189" t="n">
        <f aca="false">L51</f>
        <v>0</v>
      </c>
      <c r="E52" s="187" t="n">
        <f aca="false">B52*($B$6-$B$7)</f>
        <v>6036.97490963399</v>
      </c>
      <c r="F52" s="187" t="n">
        <f aca="false">B52+E52</f>
        <v>156961.347650484</v>
      </c>
      <c r="G52" s="189" t="str">
        <f aca="false">IF(AND($B$9="Fund or ETF",D52+1&gt;=$B$17),"Yes","No")</f>
        <v>No</v>
      </c>
      <c r="H52" s="187" t="n">
        <f aca="false">IF(G52="Yes",MAX(0,F52-C52),0)</f>
        <v>0</v>
      </c>
      <c r="I52" s="187" t="n">
        <f aca="false">H52*$B$16</f>
        <v>0</v>
      </c>
      <c r="J52" s="187" t="n">
        <f aca="false">F52-I52</f>
        <v>156961.347650484</v>
      </c>
      <c r="K52" s="187" t="n">
        <f aca="false">IF(G52="Yes",J52,C52)</f>
        <v>150924.37274085</v>
      </c>
      <c r="L52" s="189" t="n">
        <f aca="false">IF(G52="Yes",0,D52+1)</f>
        <v>1</v>
      </c>
      <c r="M52" s="187" t="n">
        <f aca="false">M51+I52</f>
        <v>31211.712325037</v>
      </c>
    </row>
    <row r="53" customFormat="false" ht="15" hidden="false" customHeight="false" outlineLevel="0" collapsed="false">
      <c r="A53" s="189" t="n">
        <v>18</v>
      </c>
      <c r="B53" s="187" t="n">
        <f aca="false">J52</f>
        <v>156961.347650484</v>
      </c>
      <c r="C53" s="187" t="n">
        <f aca="false">K52</f>
        <v>150924.37274085</v>
      </c>
      <c r="D53" s="189" t="n">
        <f aca="false">L52</f>
        <v>1</v>
      </c>
      <c r="E53" s="187" t="n">
        <f aca="false">B53*($B$6-$B$7)</f>
        <v>6278.45390601935</v>
      </c>
      <c r="F53" s="187" t="n">
        <f aca="false">B53+E53</f>
        <v>163239.801556503</v>
      </c>
      <c r="G53" s="189" t="str">
        <f aca="false">IF(AND($B$9="Fund or ETF",D53+1&gt;=$B$17),"Yes","No")</f>
        <v>No</v>
      </c>
      <c r="H53" s="187" t="n">
        <f aca="false">IF(G53="Yes",MAX(0,F53-C53),0)</f>
        <v>0</v>
      </c>
      <c r="I53" s="187" t="n">
        <f aca="false">H53*$B$16</f>
        <v>0</v>
      </c>
      <c r="J53" s="187" t="n">
        <f aca="false">F53-I53</f>
        <v>163239.801556503</v>
      </c>
      <c r="K53" s="187" t="n">
        <f aca="false">IF(G53="Yes",J53,C53)</f>
        <v>150924.37274085</v>
      </c>
      <c r="L53" s="189" t="n">
        <f aca="false">IF(G53="Yes",0,D53+1)</f>
        <v>2</v>
      </c>
      <c r="M53" s="187" t="n">
        <f aca="false">M52+I53</f>
        <v>31211.712325037</v>
      </c>
    </row>
    <row r="54" customFormat="false" ht="15" hidden="false" customHeight="false" outlineLevel="0" collapsed="false">
      <c r="A54" s="189" t="n">
        <v>19</v>
      </c>
      <c r="B54" s="187" t="n">
        <f aca="false">J53</f>
        <v>163239.801556503</v>
      </c>
      <c r="C54" s="187" t="n">
        <f aca="false">K53</f>
        <v>150924.37274085</v>
      </c>
      <c r="D54" s="189" t="n">
        <f aca="false">L53</f>
        <v>2</v>
      </c>
      <c r="E54" s="187" t="n">
        <f aca="false">B54*($B$6-$B$7)</f>
        <v>6529.59206226013</v>
      </c>
      <c r="F54" s="187" t="n">
        <f aca="false">B54+E54</f>
        <v>169769.393618763</v>
      </c>
      <c r="G54" s="189" t="str">
        <f aca="false">IF(AND($B$9="Fund or ETF",D54+1&gt;=$B$17),"Yes","No")</f>
        <v>No</v>
      </c>
      <c r="H54" s="187" t="n">
        <f aca="false">IF(G54="Yes",MAX(0,F54-C54),0)</f>
        <v>0</v>
      </c>
      <c r="I54" s="187" t="n">
        <f aca="false">H54*$B$16</f>
        <v>0</v>
      </c>
      <c r="J54" s="187" t="n">
        <f aca="false">F54-I54</f>
        <v>169769.393618763</v>
      </c>
      <c r="K54" s="187" t="n">
        <f aca="false">IF(G54="Yes",J54,C54)</f>
        <v>150924.37274085</v>
      </c>
      <c r="L54" s="189" t="n">
        <f aca="false">IF(G54="Yes",0,D54+1)</f>
        <v>3</v>
      </c>
      <c r="M54" s="187" t="n">
        <f aca="false">M53+I54</f>
        <v>31211.712325037</v>
      </c>
    </row>
    <row r="55" customFormat="false" ht="15" hidden="false" customHeight="false" outlineLevel="0" collapsed="false">
      <c r="A55" s="189" t="n">
        <v>20</v>
      </c>
      <c r="B55" s="187" t="n">
        <f aca="false">J54</f>
        <v>169769.393618763</v>
      </c>
      <c r="C55" s="187" t="n">
        <f aca="false">K54</f>
        <v>150924.37274085</v>
      </c>
      <c r="D55" s="189" t="n">
        <f aca="false">L54</f>
        <v>3</v>
      </c>
      <c r="E55" s="187" t="n">
        <f aca="false">B55*($B$6-$B$7)</f>
        <v>6790.77574475053</v>
      </c>
      <c r="F55" s="187" t="n">
        <f aca="false">B55+E55</f>
        <v>176560.169363514</v>
      </c>
      <c r="G55" s="189" t="str">
        <f aca="false">IF(AND($B$9="Fund or ETF",D55+1&gt;=$B$17),"Yes","No")</f>
        <v>No</v>
      </c>
      <c r="H55" s="187" t="n">
        <f aca="false">IF(G55="Yes",MAX(0,F55-C55),0)</f>
        <v>0</v>
      </c>
      <c r="I55" s="187" t="n">
        <f aca="false">H55*$B$16</f>
        <v>0</v>
      </c>
      <c r="J55" s="187" t="n">
        <f aca="false">F55-I55</f>
        <v>176560.169363514</v>
      </c>
      <c r="K55" s="187" t="n">
        <f aca="false">IF(G55="Yes",J55,C55)</f>
        <v>150924.37274085</v>
      </c>
      <c r="L55" s="189" t="n">
        <f aca="false">IF(G55="Yes",0,D55+1)</f>
        <v>4</v>
      </c>
      <c r="M55" s="187" t="n">
        <f aca="false">M54+I55</f>
        <v>31211.712325037</v>
      </c>
    </row>
    <row r="56" customFormat="false" ht="15" hidden="false" customHeight="false" outlineLevel="0" collapsed="false">
      <c r="A56" s="189" t="n">
        <v>21</v>
      </c>
      <c r="B56" s="187" t="n">
        <f aca="false">J55</f>
        <v>176560.169363514</v>
      </c>
      <c r="C56" s="187" t="n">
        <f aca="false">K55</f>
        <v>150924.37274085</v>
      </c>
      <c r="D56" s="189" t="n">
        <f aca="false">L55</f>
        <v>4</v>
      </c>
      <c r="E56" s="187" t="n">
        <f aca="false">B56*($B$6-$B$7)</f>
        <v>7062.40677454055</v>
      </c>
      <c r="F56" s="187" t="n">
        <f aca="false">B56+E56</f>
        <v>183622.576138054</v>
      </c>
      <c r="G56" s="189" t="str">
        <f aca="false">IF(AND($B$9="Fund or ETF",D56+1&gt;=$B$17),"Yes","No")</f>
        <v>No</v>
      </c>
      <c r="H56" s="187" t="n">
        <f aca="false">IF(G56="Yes",MAX(0,F56-C56),0)</f>
        <v>0</v>
      </c>
      <c r="I56" s="187" t="n">
        <f aca="false">H56*$B$16</f>
        <v>0</v>
      </c>
      <c r="J56" s="187" t="n">
        <f aca="false">F56-I56</f>
        <v>183622.576138054</v>
      </c>
      <c r="K56" s="187" t="n">
        <f aca="false">IF(G56="Yes",J56,C56)</f>
        <v>150924.37274085</v>
      </c>
      <c r="L56" s="189" t="n">
        <f aca="false">IF(G56="Yes",0,D56+1)</f>
        <v>5</v>
      </c>
      <c r="M56" s="187" t="n">
        <f aca="false">M55+I56</f>
        <v>31211.712325037</v>
      </c>
    </row>
    <row r="57" customFormat="false" ht="15" hidden="false" customHeight="false" outlineLevel="0" collapsed="false">
      <c r="A57" s="189" t="n">
        <v>22</v>
      </c>
      <c r="B57" s="187" t="n">
        <f aca="false">J56</f>
        <v>183622.576138054</v>
      </c>
      <c r="C57" s="187" t="n">
        <f aca="false">K56</f>
        <v>150924.37274085</v>
      </c>
      <c r="D57" s="189" t="n">
        <f aca="false">L56</f>
        <v>5</v>
      </c>
      <c r="E57" s="187" t="n">
        <f aca="false">B57*($B$6-$B$7)</f>
        <v>7344.90304552217</v>
      </c>
      <c r="F57" s="187" t="n">
        <f aca="false">B57+E57</f>
        <v>190967.479183577</v>
      </c>
      <c r="G57" s="189" t="str">
        <f aca="false">IF(AND($B$9="Fund or ETF",D57+1&gt;=$B$17),"Yes","No")</f>
        <v>No</v>
      </c>
      <c r="H57" s="187" t="n">
        <f aca="false">IF(G57="Yes",MAX(0,F57-C57),0)</f>
        <v>0</v>
      </c>
      <c r="I57" s="187" t="n">
        <f aca="false">H57*$B$16</f>
        <v>0</v>
      </c>
      <c r="J57" s="187" t="n">
        <f aca="false">F57-I57</f>
        <v>190967.479183577</v>
      </c>
      <c r="K57" s="187" t="n">
        <f aca="false">IF(G57="Yes",J57,C57)</f>
        <v>150924.37274085</v>
      </c>
      <c r="L57" s="189" t="n">
        <f aca="false">IF(G57="Yes",0,D57+1)</f>
        <v>6</v>
      </c>
      <c r="M57" s="187" t="n">
        <f aca="false">M56+I57</f>
        <v>31211.712325037</v>
      </c>
    </row>
    <row r="58" customFormat="false" ht="15" hidden="false" customHeight="false" outlineLevel="0" collapsed="false">
      <c r="A58" s="189" t="n">
        <v>23</v>
      </c>
      <c r="B58" s="187" t="n">
        <f aca="false">J57</f>
        <v>190967.479183577</v>
      </c>
      <c r="C58" s="187" t="n">
        <f aca="false">K57</f>
        <v>150924.37274085</v>
      </c>
      <c r="D58" s="189" t="n">
        <f aca="false">L57</f>
        <v>6</v>
      </c>
      <c r="E58" s="187" t="n">
        <f aca="false">B58*($B$6-$B$7)</f>
        <v>7638.69916734306</v>
      </c>
      <c r="F58" s="187" t="n">
        <f aca="false">B58+E58</f>
        <v>198606.17835092</v>
      </c>
      <c r="G58" s="189" t="str">
        <f aca="false">IF(AND($B$9="Fund or ETF",D58+1&gt;=$B$17),"Yes","No")</f>
        <v>No</v>
      </c>
      <c r="H58" s="187" t="n">
        <f aca="false">IF(G58="Yes",MAX(0,F58-C58),0)</f>
        <v>0</v>
      </c>
      <c r="I58" s="187" t="n">
        <f aca="false">H58*$B$16</f>
        <v>0</v>
      </c>
      <c r="J58" s="187" t="n">
        <f aca="false">F58-I58</f>
        <v>198606.17835092</v>
      </c>
      <c r="K58" s="187" t="n">
        <f aca="false">IF(G58="Yes",J58,C58)</f>
        <v>150924.37274085</v>
      </c>
      <c r="L58" s="189" t="n">
        <f aca="false">IF(G58="Yes",0,D58+1)</f>
        <v>7</v>
      </c>
      <c r="M58" s="187" t="n">
        <f aca="false">M57+I58</f>
        <v>31211.712325037</v>
      </c>
    </row>
    <row r="59" customFormat="false" ht="15" hidden="false" customHeight="false" outlineLevel="0" collapsed="false">
      <c r="A59" s="189" t="n">
        <v>24</v>
      </c>
      <c r="B59" s="187" t="n">
        <f aca="false">J58</f>
        <v>198606.17835092</v>
      </c>
      <c r="C59" s="187" t="n">
        <f aca="false">K58</f>
        <v>150924.37274085</v>
      </c>
      <c r="D59" s="189" t="n">
        <f aca="false">L58</f>
        <v>7</v>
      </c>
      <c r="E59" s="187" t="n">
        <f aca="false">B59*($B$6-$B$7)</f>
        <v>7944.24713403678</v>
      </c>
      <c r="F59" s="187" t="n">
        <f aca="false">B59+E59</f>
        <v>206550.425484956</v>
      </c>
      <c r="G59" s="189" t="str">
        <f aca="false">IF(AND($B$9="Fund or ETF",D59+1&gt;=$B$17),"Yes","No")</f>
        <v>Yes</v>
      </c>
      <c r="H59" s="187" t="n">
        <f aca="false">IF(G59="Yes",MAX(0,F59-C59),0)</f>
        <v>55626.0527441066</v>
      </c>
      <c r="I59" s="187" t="n">
        <f aca="false">H59*$B$16</f>
        <v>21137.9000427605</v>
      </c>
      <c r="J59" s="187" t="n">
        <f aca="false">F59-I59</f>
        <v>185412.525442196</v>
      </c>
      <c r="K59" s="187" t="n">
        <f aca="false">IF(G59="Yes",J59,C59)</f>
        <v>185412.525442196</v>
      </c>
      <c r="L59" s="189" t="n">
        <f aca="false">IF(G59="Yes",0,D59+1)</f>
        <v>0</v>
      </c>
      <c r="M59" s="187" t="n">
        <f aca="false">M58+I59</f>
        <v>52349.6123677975</v>
      </c>
    </row>
    <row r="60" customFormat="false" ht="15" hidden="false" customHeight="false" outlineLevel="0" collapsed="false">
      <c r="A60" s="189" t="n">
        <v>25</v>
      </c>
      <c r="B60" s="187" t="n">
        <f aca="false">J59</f>
        <v>185412.525442196</v>
      </c>
      <c r="C60" s="187" t="n">
        <f aca="false">K59</f>
        <v>185412.525442196</v>
      </c>
      <c r="D60" s="189" t="n">
        <f aca="false">L59</f>
        <v>0</v>
      </c>
      <c r="E60" s="187" t="n">
        <f aca="false">B60*($B$6-$B$7)</f>
        <v>7416.50101768783</v>
      </c>
      <c r="F60" s="187" t="n">
        <f aca="false">B60+E60</f>
        <v>192829.026459884</v>
      </c>
      <c r="G60" s="189" t="str">
        <f aca="false">IF(AND($B$9="Fund or ETF",D60+1&gt;=$B$17),"Yes","No")</f>
        <v>No</v>
      </c>
      <c r="H60" s="187" t="n">
        <f aca="false">IF(G60="Yes",MAX(0,F60-C60),0)</f>
        <v>0</v>
      </c>
      <c r="I60" s="187" t="n">
        <f aca="false">H60*$B$16</f>
        <v>0</v>
      </c>
      <c r="J60" s="187" t="n">
        <f aca="false">F60-I60</f>
        <v>192829.026459884</v>
      </c>
      <c r="K60" s="187" t="n">
        <f aca="false">IF(G60="Yes",J60,C60)</f>
        <v>185412.525442196</v>
      </c>
      <c r="L60" s="189" t="n">
        <f aca="false">IF(G60="Yes",0,D60+1)</f>
        <v>1</v>
      </c>
      <c r="M60" s="187" t="n">
        <f aca="false">M59+I60</f>
        <v>52349.6123677975</v>
      </c>
    </row>
    <row r="61" customFormat="false" ht="15" hidden="false" customHeight="false" outlineLevel="0" collapsed="false">
      <c r="A61" s="189" t="n">
        <v>26</v>
      </c>
      <c r="B61" s="187" t="n">
        <f aca="false">J60</f>
        <v>192829.026459884</v>
      </c>
      <c r="C61" s="187" t="n">
        <f aca="false">K60</f>
        <v>185412.525442196</v>
      </c>
      <c r="D61" s="189" t="n">
        <f aca="false">L60</f>
        <v>1</v>
      </c>
      <c r="E61" s="187" t="n">
        <f aca="false">B61*($B$6-$B$7)</f>
        <v>7713.16105839535</v>
      </c>
      <c r="F61" s="187" t="n">
        <f aca="false">B61+E61</f>
        <v>200542.187518279</v>
      </c>
      <c r="G61" s="189" t="str">
        <f aca="false">IF(AND($B$9="Fund or ETF",D61+1&gt;=$B$17),"Yes","No")</f>
        <v>No</v>
      </c>
      <c r="H61" s="187" t="n">
        <f aca="false">IF(G61="Yes",MAX(0,F61-C61),0)</f>
        <v>0</v>
      </c>
      <c r="I61" s="187" t="n">
        <f aca="false">H61*$B$16</f>
        <v>0</v>
      </c>
      <c r="J61" s="187" t="n">
        <f aca="false">F61-I61</f>
        <v>200542.187518279</v>
      </c>
      <c r="K61" s="187" t="n">
        <f aca="false">IF(G61="Yes",J61,C61)</f>
        <v>185412.525442196</v>
      </c>
      <c r="L61" s="189" t="n">
        <f aca="false">IF(G61="Yes",0,D61+1)</f>
        <v>2</v>
      </c>
      <c r="M61" s="187" t="n">
        <f aca="false">M60+I61</f>
        <v>52349.6123677975</v>
      </c>
    </row>
    <row r="62" customFormat="false" ht="15" hidden="false" customHeight="false" outlineLevel="0" collapsed="false">
      <c r="A62" s="189" t="n">
        <v>27</v>
      </c>
      <c r="B62" s="187" t="n">
        <f aca="false">J61</f>
        <v>200542.187518279</v>
      </c>
      <c r="C62" s="187" t="n">
        <f aca="false">K61</f>
        <v>185412.525442196</v>
      </c>
      <c r="D62" s="189" t="n">
        <f aca="false">L61</f>
        <v>2</v>
      </c>
      <c r="E62" s="187" t="n">
        <f aca="false">B62*($B$6-$B$7)</f>
        <v>8021.68750073116</v>
      </c>
      <c r="F62" s="187" t="n">
        <f aca="false">B62+E62</f>
        <v>208563.87501901</v>
      </c>
      <c r="G62" s="189" t="str">
        <f aca="false">IF(AND($B$9="Fund or ETF",D62+1&gt;=$B$17),"Yes","No")</f>
        <v>No</v>
      </c>
      <c r="H62" s="187" t="n">
        <f aca="false">IF(G62="Yes",MAX(0,F62-C62),0)</f>
        <v>0</v>
      </c>
      <c r="I62" s="187" t="n">
        <f aca="false">H62*$B$16</f>
        <v>0</v>
      </c>
      <c r="J62" s="187" t="n">
        <f aca="false">F62-I62</f>
        <v>208563.87501901</v>
      </c>
      <c r="K62" s="187" t="n">
        <f aca="false">IF(G62="Yes",J62,C62)</f>
        <v>185412.525442196</v>
      </c>
      <c r="L62" s="189" t="n">
        <f aca="false">IF(G62="Yes",0,D62+1)</f>
        <v>3</v>
      </c>
      <c r="M62" s="187" t="n">
        <f aca="false">M61+I62</f>
        <v>52349.6123677975</v>
      </c>
    </row>
    <row r="63" customFormat="false" ht="15" hidden="false" customHeight="false" outlineLevel="0" collapsed="false">
      <c r="A63" s="189" t="n">
        <v>28</v>
      </c>
      <c r="B63" s="187" t="n">
        <f aca="false">J62</f>
        <v>208563.87501901</v>
      </c>
      <c r="C63" s="187" t="n">
        <f aca="false">K62</f>
        <v>185412.525442196</v>
      </c>
      <c r="D63" s="189" t="n">
        <f aca="false">L62</f>
        <v>3</v>
      </c>
      <c r="E63" s="187" t="n">
        <f aca="false">B63*($B$6-$B$7)</f>
        <v>8342.55500076041</v>
      </c>
      <c r="F63" s="187" t="n">
        <f aca="false">B63+E63</f>
        <v>216906.430019771</v>
      </c>
      <c r="G63" s="189" t="str">
        <f aca="false">IF(AND($B$9="Fund or ETF",D63+1&gt;=$B$17),"Yes","No")</f>
        <v>No</v>
      </c>
      <c r="H63" s="187" t="n">
        <f aca="false">IF(G63="Yes",MAX(0,F63-C63),0)</f>
        <v>0</v>
      </c>
      <c r="I63" s="187" t="n">
        <f aca="false">H63*$B$16</f>
        <v>0</v>
      </c>
      <c r="J63" s="187" t="n">
        <f aca="false">F63-I63</f>
        <v>216906.430019771</v>
      </c>
      <c r="K63" s="187" t="n">
        <f aca="false">IF(G63="Yes",J63,C63)</f>
        <v>185412.525442196</v>
      </c>
      <c r="L63" s="189" t="n">
        <f aca="false">IF(G63="Yes",0,D63+1)</f>
        <v>4</v>
      </c>
      <c r="M63" s="187" t="n">
        <f aca="false">M62+I63</f>
        <v>52349.6123677975</v>
      </c>
    </row>
    <row r="64" customFormat="false" ht="15" hidden="false" customHeight="false" outlineLevel="0" collapsed="false">
      <c r="A64" s="189" t="n">
        <v>29</v>
      </c>
      <c r="B64" s="187" t="n">
        <f aca="false">J63</f>
        <v>216906.430019771</v>
      </c>
      <c r="C64" s="187" t="n">
        <f aca="false">K63</f>
        <v>185412.525442196</v>
      </c>
      <c r="D64" s="189" t="n">
        <f aca="false">L63</f>
        <v>4</v>
      </c>
      <c r="E64" s="187" t="n">
        <f aca="false">B64*($B$6-$B$7)</f>
        <v>8676.25720079083</v>
      </c>
      <c r="F64" s="187" t="n">
        <f aca="false">B64+E64</f>
        <v>225582.687220561</v>
      </c>
      <c r="G64" s="189" t="str">
        <f aca="false">IF(AND($B$9="Fund or ETF",D64+1&gt;=$B$17),"Yes","No")</f>
        <v>No</v>
      </c>
      <c r="H64" s="187" t="n">
        <f aca="false">IF(G64="Yes",MAX(0,F64-C64),0)</f>
        <v>0</v>
      </c>
      <c r="I64" s="187" t="n">
        <f aca="false">H64*$B$16</f>
        <v>0</v>
      </c>
      <c r="J64" s="187" t="n">
        <f aca="false">F64-I64</f>
        <v>225582.687220561</v>
      </c>
      <c r="K64" s="187" t="n">
        <f aca="false">IF(G64="Yes",J64,C64)</f>
        <v>185412.525442196</v>
      </c>
      <c r="L64" s="189" t="n">
        <f aca="false">IF(G64="Yes",0,D64+1)</f>
        <v>5</v>
      </c>
      <c r="M64" s="187" t="n">
        <f aca="false">M63+I64</f>
        <v>52349.6123677975</v>
      </c>
    </row>
    <row r="65" customFormat="false" ht="15" hidden="false" customHeight="false" outlineLevel="0" collapsed="false">
      <c r="A65" s="189" t="n">
        <v>30</v>
      </c>
      <c r="B65" s="187" t="n">
        <f aca="false">J64</f>
        <v>225582.687220561</v>
      </c>
      <c r="C65" s="187" t="n">
        <f aca="false">K64</f>
        <v>185412.525442196</v>
      </c>
      <c r="D65" s="189" t="n">
        <f aca="false">L64</f>
        <v>5</v>
      </c>
      <c r="E65" s="187" t="n">
        <f aca="false">B65*($B$6-$B$7)</f>
        <v>9023.30748882246</v>
      </c>
      <c r="F65" s="187" t="n">
        <f aca="false">B65+E65</f>
        <v>234605.994709384</v>
      </c>
      <c r="G65" s="189" t="str">
        <f aca="false">IF(AND($B$9="Fund or ETF",D65+1&gt;=$B$17),"Yes","No")</f>
        <v>No</v>
      </c>
      <c r="H65" s="187" t="n">
        <f aca="false">IF(G65="Yes",MAX(0,F65-C65),0)</f>
        <v>0</v>
      </c>
      <c r="I65" s="187" t="n">
        <f aca="false">H65*$B$16</f>
        <v>0</v>
      </c>
      <c r="J65" s="187" t="n">
        <f aca="false">F65-I65</f>
        <v>234605.994709384</v>
      </c>
      <c r="K65" s="187" t="n">
        <f aca="false">IF(G65="Yes",J65,C65)</f>
        <v>185412.525442196</v>
      </c>
      <c r="L65" s="189" t="n">
        <f aca="false">IF(G65="Yes",0,D65+1)</f>
        <v>6</v>
      </c>
      <c r="M65" s="187" t="n">
        <f aca="false">M64+I65</f>
        <v>52349.6123677975</v>
      </c>
    </row>
    <row r="67" customFormat="false" ht="33.75" hidden="false" customHeight="true" outlineLevel="0" collapsed="false">
      <c r="A67" s="94" t="s">
        <v>5215</v>
      </c>
      <c r="B67" s="94"/>
      <c r="C67" s="94"/>
      <c r="D67" s="94"/>
      <c r="E67" s="94"/>
      <c r="F67" s="94"/>
      <c r="G67" s="94"/>
      <c r="H67" s="94"/>
      <c r="I67" s="94"/>
      <c r="J67" s="94"/>
      <c r="K67" s="94"/>
      <c r="L67" s="94"/>
      <c r="M67" s="94"/>
    </row>
    <row r="68" customFormat="false" ht="33.75" hidden="false" customHeight="true" outlineLevel="0" collapsed="false">
      <c r="A68" s="94" t="s">
        <v>5216</v>
      </c>
      <c r="B68" s="94"/>
      <c r="C68" s="94"/>
      <c r="D68" s="94"/>
      <c r="E68" s="94"/>
      <c r="F68" s="94"/>
      <c r="G68" s="94"/>
      <c r="H68" s="94"/>
      <c r="I68" s="94"/>
      <c r="J68" s="94"/>
      <c r="K68" s="94"/>
      <c r="L68" s="94"/>
      <c r="M68" s="94"/>
    </row>
    <row r="69" customFormat="false" ht="33.75" hidden="false" customHeight="true" outlineLevel="0" collapsed="false">
      <c r="A69" s="94" t="s">
        <v>5217</v>
      </c>
      <c r="B69" s="94"/>
      <c r="C69" s="94"/>
      <c r="D69" s="94"/>
      <c r="E69" s="94"/>
      <c r="F69" s="94"/>
      <c r="G69" s="94"/>
      <c r="H69" s="94"/>
      <c r="I69" s="94"/>
      <c r="J69" s="94"/>
      <c r="K69" s="94"/>
      <c r="L69" s="94"/>
      <c r="M69" s="94"/>
    </row>
    <row r="70" customFormat="false" ht="33.75" hidden="false" customHeight="true" outlineLevel="0" collapsed="false">
      <c r="A70" s="94" t="s">
        <v>5218</v>
      </c>
      <c r="B70" s="94"/>
      <c r="C70" s="94"/>
      <c r="D70" s="94"/>
      <c r="E70" s="94"/>
      <c r="F70" s="94"/>
      <c r="G70" s="94"/>
      <c r="H70" s="94"/>
      <c r="I70" s="94"/>
      <c r="J70" s="94"/>
      <c r="K70" s="94"/>
      <c r="L70" s="94"/>
      <c r="M70" s="94"/>
    </row>
  </sheetData>
  <mergeCells count="5">
    <mergeCell ref="A2:M2"/>
    <mergeCell ref="A67:M67"/>
    <mergeCell ref="A68:M68"/>
    <mergeCell ref="A69:M69"/>
    <mergeCell ref="A70:M70"/>
  </mergeCells>
  <dataValidations count="3">
    <dataValidation allowBlank="false" errorStyle="stop" operator="between" showDropDown="false" showErrorMessage="false" showInputMessage="false" sqref="B12" type="whole">
      <formula1>1</formula1>
      <formula2>2</formula2>
    </dataValidation>
    <dataValidation allowBlank="false" errorStyle="stop" operator="between" showDropDown="false" showErrorMessage="false" showInputMessage="false" sqref="B9" type="list">
      <formula1>"Fund or ETF,Shares held directly"</formula1>
      <formula2>0</formula2>
    </dataValidation>
    <dataValidation allowBlank="false" errorStyle="stop" operator="between" showDropDown="false" showErrorMessage="false" showInputMessage="false" sqref="B10" type="whole">
      <formula1>1</formula1>
      <formula2>30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4" min="4" style="0" width="10"/>
  </cols>
  <sheetData>
    <row r="1" customFormat="false" ht="19.7" hidden="false" customHeight="false" outlineLevel="0" collapsed="false">
      <c r="A1" s="24" t="s">
        <v>5219</v>
      </c>
    </row>
    <row r="2" customFormat="false" ht="48" hidden="false" customHeight="true" outlineLevel="0" collapsed="false">
      <c r="A2" s="94" t="s">
        <v>5220</v>
      </c>
      <c r="B2" s="94"/>
      <c r="C2" s="94"/>
      <c r="D2" s="94"/>
    </row>
    <row r="4" customFormat="false" ht="15" hidden="false" customHeight="false" outlineLevel="0" collapsed="false">
      <c r="A4" s="190" t="s">
        <v>5221</v>
      </c>
      <c r="B4" s="190"/>
      <c r="C4" s="190"/>
      <c r="D4" s="190"/>
    </row>
    <row r="5" customFormat="false" ht="15" hidden="false" customHeight="false" outlineLevel="0" collapsed="false">
      <c r="A5" s="179" t="s">
        <v>5222</v>
      </c>
      <c r="B5" s="183" t="s">
        <v>5223</v>
      </c>
      <c r="C5" s="26" t="s">
        <v>5224</v>
      </c>
    </row>
    <row r="6" customFormat="false" ht="15" hidden="false" customHeight="false" outlineLevel="0" collapsed="false">
      <c r="A6" s="179" t="s">
        <v>5225</v>
      </c>
      <c r="B6" s="180" t="n">
        <v>400000</v>
      </c>
      <c r="C6" s="26" t="s">
        <v>5226</v>
      </c>
    </row>
    <row r="7" customFormat="false" ht="15" hidden="false" customHeight="false" outlineLevel="0" collapsed="false">
      <c r="A7" s="179" t="s">
        <v>5227</v>
      </c>
      <c r="B7" s="180" t="n">
        <v>250000</v>
      </c>
      <c r="C7" s="26" t="s">
        <v>5228</v>
      </c>
    </row>
    <row r="8" customFormat="false" ht="28.35" hidden="false" customHeight="false" outlineLevel="0" collapsed="false">
      <c r="A8" s="179" t="s">
        <v>5229</v>
      </c>
      <c r="B8" s="180" t="n">
        <v>15000</v>
      </c>
      <c r="C8" s="26" t="s">
        <v>5230</v>
      </c>
    </row>
    <row r="9" customFormat="false" ht="15" hidden="false" customHeight="false" outlineLevel="0" collapsed="false">
      <c r="A9" s="179" t="s">
        <v>5231</v>
      </c>
      <c r="B9" s="180" t="n">
        <v>0</v>
      </c>
      <c r="C9" s="26" t="s">
        <v>5232</v>
      </c>
    </row>
    <row r="10" customFormat="false" ht="15" hidden="false" customHeight="false" outlineLevel="0" collapsed="false">
      <c r="A10" s="179" t="s">
        <v>5233</v>
      </c>
      <c r="B10" s="182" t="n">
        <v>1</v>
      </c>
      <c r="C10" s="26" t="s">
        <v>5234</v>
      </c>
    </row>
    <row r="11" customFormat="false" ht="28.35" hidden="false" customHeight="false" outlineLevel="0" collapsed="false">
      <c r="A11" s="179" t="s">
        <v>5235</v>
      </c>
      <c r="B11" s="184" t="n">
        <v>46357</v>
      </c>
      <c r="C11" s="26" t="s">
        <v>5236</v>
      </c>
    </row>
    <row r="12" customFormat="false" ht="15" hidden="false" customHeight="false" outlineLevel="0" collapsed="false">
      <c r="A12" s="179" t="s">
        <v>5237</v>
      </c>
      <c r="B12" s="191" t="n">
        <f aca="false">B6-B7-B8</f>
        <v>135000</v>
      </c>
      <c r="C12" s="26" t="s">
        <v>5238</v>
      </c>
    </row>
    <row r="13" customFormat="false" ht="28.35" hidden="false" customHeight="false" outlineLevel="0" collapsed="false">
      <c r="A13" s="179" t="s">
        <v>5239</v>
      </c>
      <c r="B13" s="192" t="n">
        <f aca="false">IF(B5="Main home (principal private residence)",0,IF(B5="Fund or ETF (exit tax)",VLOOKUP("sav.exit",'Tax assumptions 2026'!$A$5:$D$106,4,FALSE()),IF(B5="Development land",0.33,IF(B11&gt;=DATE(2026,10,7),VLOOKUP("sav.cgt",'Tax assumptions 2026'!$A$5:$D$106,4,FALSE()),VLOOKUP("sav.cgtBefore",'Tax assumptions 2026'!$A$5:$D$106,4,FALSE())))))</f>
        <v>0.31</v>
      </c>
      <c r="C13" s="26" t="s">
        <v>5240</v>
      </c>
    </row>
    <row r="14" customFormat="false" ht="15" hidden="false" customHeight="false" outlineLevel="0" collapsed="false">
      <c r="A14" s="179" t="s">
        <v>5241</v>
      </c>
      <c r="B14" s="191" t="n">
        <f aca="false">IF(OR(B5="Main home (principal private residence)",B5="Fund or ETF (exit tax)"),0,VLOOKUP("sav.cgtExempt",'Tax assumptions 2026'!$A$5:$D$106,4,FALSE())*B10)</f>
        <v>1270</v>
      </c>
      <c r="C14" s="26" t="s">
        <v>5242</v>
      </c>
    </row>
    <row r="15" customFormat="false" ht="28.35" hidden="false" customHeight="false" outlineLevel="0" collapsed="false">
      <c r="A15" s="179" t="s">
        <v>5243</v>
      </c>
      <c r="B15" s="191" t="n">
        <f aca="false">IF(B5="Main home (principal private residence)",0,IF(B5="Fund or ETF (exit tax)",MAX(0,B12)*B13,B13*MAX(0,B12-B9-B14)))</f>
        <v>41456.3</v>
      </c>
      <c r="C15" s="26" t="s">
        <v>5244</v>
      </c>
    </row>
    <row r="16" customFormat="false" ht="15" hidden="false" customHeight="false" outlineLevel="0" collapsed="false">
      <c r="A16" s="179" t="s">
        <v>5245</v>
      </c>
      <c r="B16" s="191" t="n">
        <f aca="false">B6-B15</f>
        <v>358543.7</v>
      </c>
      <c r="C16" s="26" t="s">
        <v>5246</v>
      </c>
    </row>
    <row r="19" customFormat="false" ht="15" hidden="false" customHeight="false" outlineLevel="0" collapsed="false">
      <c r="A19" s="190" t="s">
        <v>5247</v>
      </c>
      <c r="B19" s="190"/>
      <c r="C19" s="190"/>
      <c r="D19" s="190"/>
    </row>
    <row r="20" customFormat="false" ht="28.35" hidden="false" customHeight="false" outlineLevel="0" collapsed="false">
      <c r="A20" s="179" t="s">
        <v>5248</v>
      </c>
      <c r="B20" s="183" t="s">
        <v>3</v>
      </c>
      <c r="C20" s="26" t="s">
        <v>5249</v>
      </c>
    </row>
    <row r="21" customFormat="false" ht="15" hidden="false" customHeight="false" outlineLevel="0" collapsed="false">
      <c r="A21" s="179" t="s">
        <v>5250</v>
      </c>
      <c r="B21" s="180" t="n">
        <v>300000</v>
      </c>
      <c r="C21" s="26" t="s">
        <v>5251</v>
      </c>
    </row>
    <row r="22" customFormat="false" ht="15" hidden="false" customHeight="false" outlineLevel="0" collapsed="false">
      <c r="A22" s="179" t="s">
        <v>5227</v>
      </c>
      <c r="B22" s="180" t="n">
        <v>150000</v>
      </c>
      <c r="C22" s="26" t="s">
        <v>5228</v>
      </c>
    </row>
    <row r="23" customFormat="false" ht="15" hidden="false" customHeight="false" outlineLevel="0" collapsed="false">
      <c r="A23" s="179" t="s">
        <v>5229</v>
      </c>
      <c r="B23" s="180" t="n">
        <v>10000</v>
      </c>
      <c r="C23" s="26" t="s">
        <v>4473</v>
      </c>
    </row>
    <row r="24" customFormat="false" ht="15" hidden="false" customHeight="false" outlineLevel="0" collapsed="false">
      <c r="A24" s="179" t="s">
        <v>5231</v>
      </c>
      <c r="B24" s="180" t="n">
        <v>0</v>
      </c>
      <c r="C24" s="26"/>
    </row>
    <row r="25" customFormat="false" ht="15" hidden="false" customHeight="false" outlineLevel="0" collapsed="false">
      <c r="A25" s="179" t="s">
        <v>5252</v>
      </c>
      <c r="B25" s="184" t="n">
        <v>46357</v>
      </c>
      <c r="C25" s="26"/>
    </row>
    <row r="26" customFormat="false" ht="15" hidden="false" customHeight="false" outlineLevel="0" collapsed="false">
      <c r="A26" s="179" t="s">
        <v>5253</v>
      </c>
      <c r="B26" s="191" t="n">
        <f aca="false">B21-B22-B23</f>
        <v>140000</v>
      </c>
      <c r="C26" s="26" t="s">
        <v>5254</v>
      </c>
    </row>
    <row r="27" customFormat="false" ht="15" hidden="false" customHeight="false" outlineLevel="0" collapsed="false">
      <c r="A27" s="179" t="s">
        <v>5255</v>
      </c>
      <c r="B27" s="192" t="n">
        <f aca="false">IF(B20="Yes",0,IF(B25&gt;=DATE(2026,10,7),VLOOKUP("sav.cgt",'Tax assumptions 2026'!$A$5:$D$106,4,FALSE()),VLOOKUP("sav.cgtBefore",'Tax assumptions 2026'!$A$5:$D$106,4,FALSE())))</f>
        <v>0.31</v>
      </c>
      <c r="C27" s="26" t="s">
        <v>5256</v>
      </c>
    </row>
    <row r="28" customFormat="false" ht="15" hidden="false" customHeight="false" outlineLevel="0" collapsed="false">
      <c r="A28" s="179" t="s">
        <v>5257</v>
      </c>
      <c r="B28" s="191" t="n">
        <f aca="false">IF(B20="Yes",0,B27*MAX(0,B26-B24-VLOOKUP("sav.cgtExempt",'Tax assumptions 2026'!$A$5:$D$106,4,FALSE())))</f>
        <v>43006.3</v>
      </c>
      <c r="C28" s="26" t="s">
        <v>5258</v>
      </c>
    </row>
    <row r="30" customFormat="false" ht="28.35" hidden="false" customHeight="false" outlineLevel="0" collapsed="false">
      <c r="A30" s="190" t="s">
        <v>5259</v>
      </c>
      <c r="B30" s="190"/>
      <c r="C30" s="190"/>
      <c r="D30" s="190"/>
    </row>
    <row r="31" customFormat="false" ht="41.75" hidden="false" customHeight="false" outlineLevel="0" collapsed="false">
      <c r="A31" s="179" t="s">
        <v>5260</v>
      </c>
      <c r="B31" s="183" t="s">
        <v>5261</v>
      </c>
      <c r="C31" s="26" t="s">
        <v>5262</v>
      </c>
    </row>
    <row r="32" customFormat="false" ht="15" hidden="false" customHeight="false" outlineLevel="0" collapsed="false">
      <c r="A32" s="179" t="s">
        <v>5263</v>
      </c>
      <c r="B32" s="180" t="n">
        <v>500000</v>
      </c>
      <c r="C32" s="26" t="s">
        <v>5264</v>
      </c>
    </row>
    <row r="33" customFormat="false" ht="28.35" hidden="false" customHeight="false" outlineLevel="0" collapsed="false">
      <c r="A33" s="179" t="s">
        <v>5265</v>
      </c>
      <c r="B33" s="183" t="s">
        <v>3</v>
      </c>
      <c r="C33" s="26" t="s">
        <v>5266</v>
      </c>
    </row>
    <row r="34" customFormat="false" ht="28.35" hidden="false" customHeight="false" outlineLevel="0" collapsed="false">
      <c r="A34" s="179" t="s">
        <v>5267</v>
      </c>
      <c r="B34" s="180" t="n">
        <v>0</v>
      </c>
      <c r="C34" s="26" t="s">
        <v>5268</v>
      </c>
    </row>
    <row r="35" customFormat="false" ht="15" hidden="false" customHeight="false" outlineLevel="0" collapsed="false">
      <c r="A35" s="179" t="s">
        <v>5269</v>
      </c>
      <c r="B35" s="184" t="n">
        <v>46357</v>
      </c>
      <c r="C35" s="26" t="s">
        <v>5270</v>
      </c>
    </row>
    <row r="36" customFormat="false" ht="28.35" hidden="false" customHeight="false" outlineLevel="0" collapsed="false">
      <c r="A36" s="179" t="s">
        <v>5271</v>
      </c>
      <c r="B36" s="191" t="n">
        <f aca="false">IF(LEFT(B31,7)="Spouse ",1E+099,IF(LEFT(B31,7)="Group A",IF(B35&gt;=DATE(2026,10,7),VLOOKUP("cat.a.after",'Tax assumptions 2026'!$A$5:$D$106,4,FALSE()),VLOOKUP("cat.a.before",'Tax assumptions 2026'!$A$5:$D$106,4,FALSE())),IF(LEFT(B31,7)="Group B",IF(B35&gt;=DATE(2026,10,7),VLOOKUP("cat.b.after",'Tax assumptions 2026'!$A$5:$D$106,4,FALSE()),VLOOKUP("cat.b.before",'Tax assumptions 2026'!$A$5:$D$106,4,FALSE())),IF(B35&gt;=DATE(2026,10,7),VLOOKUP("cat.c.after",'Tax assumptions 2026'!$A$5:$D$106,4,FALSE()),VLOOKUP("cat.c.before",'Tax assumptions 2026'!$A$5:$D$106,4,FALSE())))))</f>
        <v>420000</v>
      </c>
      <c r="C36" s="26" t="s">
        <v>5272</v>
      </c>
    </row>
    <row r="37" customFormat="false" ht="15" hidden="false" customHeight="false" outlineLevel="0" collapsed="false">
      <c r="A37" s="179" t="s">
        <v>5273</v>
      </c>
      <c r="B37" s="191" t="n">
        <f aca="false">MAX(0,B32-IF(B33="Yes",VLOOKUP("cat.small",'Tax assumptions 2026'!$A$5:$D$106,4,FALSE()),0))</f>
        <v>500000</v>
      </c>
      <c r="C37" s="26"/>
    </row>
    <row r="38" customFormat="false" ht="15" hidden="false" customHeight="false" outlineLevel="0" collapsed="false">
      <c r="A38" s="179" t="s">
        <v>5274</v>
      </c>
      <c r="B38" s="191" t="n">
        <f aca="false">MAX(0,B36-B34)</f>
        <v>420000</v>
      </c>
      <c r="C38" s="26" t="s">
        <v>5275</v>
      </c>
    </row>
    <row r="39" customFormat="false" ht="15" hidden="false" customHeight="false" outlineLevel="0" collapsed="false">
      <c r="A39" s="179" t="s">
        <v>5276</v>
      </c>
      <c r="B39" s="191" t="n">
        <f aca="false">IF(LEFT(B31,7)="Spouse ",0,VLOOKUP("cat.rate",'Tax assumptions 2026'!$A$5:$D$106,4,FALSE())*MAX(0,B37-B38))</f>
        <v>26400</v>
      </c>
      <c r="C39" s="26" t="s">
        <v>5277</v>
      </c>
    </row>
    <row r="40" customFormat="false" ht="15" hidden="false" customHeight="false" outlineLevel="0" collapsed="false">
      <c r="A40" s="179" t="s">
        <v>5278</v>
      </c>
      <c r="B40" s="191" t="n">
        <f aca="false">B32-B39</f>
        <v>473600</v>
      </c>
      <c r="C40" s="26" t="s">
        <v>5279</v>
      </c>
    </row>
    <row r="43" customFormat="false" ht="18" hidden="false" customHeight="true" outlineLevel="0" collapsed="false">
      <c r="A43" s="193" t="s">
        <v>5280</v>
      </c>
      <c r="B43" s="193"/>
      <c r="C43" s="193"/>
      <c r="D43" s="193"/>
    </row>
    <row r="44" customFormat="false" ht="43.5" hidden="false" customHeight="true" outlineLevel="0" collapsed="false">
      <c r="A44" s="94" t="s">
        <v>5281</v>
      </c>
      <c r="B44" s="94"/>
      <c r="C44" s="94"/>
      <c r="D44" s="94"/>
    </row>
    <row r="45" customFormat="false" ht="43.5" hidden="false" customHeight="true" outlineLevel="0" collapsed="false">
      <c r="A45" s="94" t="s">
        <v>5282</v>
      </c>
      <c r="B45" s="94"/>
      <c r="C45" s="94"/>
      <c r="D45" s="94"/>
    </row>
    <row r="46" customFormat="false" ht="43.5" hidden="false" customHeight="true" outlineLevel="0" collapsed="false">
      <c r="A46" s="94" t="s">
        <v>5283</v>
      </c>
      <c r="B46" s="94"/>
      <c r="C46" s="94"/>
      <c r="D46" s="94"/>
    </row>
    <row r="47" customFormat="false" ht="43.5" hidden="false" customHeight="true" outlineLevel="0" collapsed="false">
      <c r="A47" s="94" t="s">
        <v>5284</v>
      </c>
      <c r="B47" s="94"/>
      <c r="C47" s="94"/>
      <c r="D47" s="94"/>
    </row>
    <row r="48" customFormat="false" ht="43.5" hidden="false" customHeight="true" outlineLevel="0" collapsed="false">
      <c r="A48" s="94" t="s">
        <v>5285</v>
      </c>
      <c r="B48" s="94"/>
      <c r="C48" s="94"/>
      <c r="D48" s="94"/>
    </row>
  </sheetData>
  <mergeCells count="7">
    <mergeCell ref="A2:D2"/>
    <mergeCell ref="A43:D43"/>
    <mergeCell ref="A44:D44"/>
    <mergeCell ref="A45:D45"/>
    <mergeCell ref="A46:D46"/>
    <mergeCell ref="A47:D47"/>
    <mergeCell ref="A48:D48"/>
  </mergeCells>
  <dataValidations count="5">
    <dataValidation allowBlank="false" errorStyle="stop" operator="between" showDropDown="false" showErrorMessage="false" showInputMessage="false" sqref="B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B10" type="whole">
      <formula1>1</formula1>
      <formula2>2</formula2>
    </dataValidation>
    <dataValidation allowBlank="false" errorStyle="stop" operator="between" showDropDown="false" showErrorMessage="false" showInputMessage="false" sqref="B20" type="list">
      <formula1>"Yes,No"</formula1>
      <formula2>0</formula2>
    </dataValidation>
    <dataValidation allowBlank="false" errorStyle="stop" operator="between" showDropDown="false" showErrorMessage="false" showInputMessage="false" sqref="B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B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60"/>
    <col collapsed="false" customWidth="true" hidden="false" outlineLevel="0" max="3" min="3" style="0" width="34"/>
    <col collapsed="false" customWidth="true" hidden="false" outlineLevel="0" max="4" min="4" style="0" width="28"/>
    <col collapsed="false" customWidth="true" hidden="false" outlineLevel="0" max="5" min="5" style="0" width="44"/>
    <col collapsed="false" customWidth="true" hidden="false" outlineLevel="0" max="6" min="6" style="0" width="32"/>
    <col collapsed="false" customWidth="true" hidden="false" outlineLevel="0" max="7" min="7" style="0" width="36"/>
    <col collapsed="false" customWidth="true" hidden="false" outlineLevel="0" max="8" min="8" style="0" width="46"/>
    <col collapsed="false" customWidth="true" hidden="false" outlineLevel="0" max="9" min="9" style="0" width="28"/>
    <col collapsed="false" customWidth="true" hidden="false" outlineLevel="0" max="10" min="10" style="0" width="20"/>
  </cols>
  <sheetData>
    <row r="1" customFormat="false" ht="19.7" hidden="false" customHeight="false" outlineLevel="0" collapsed="false">
      <c r="A1" s="24" t="s">
        <v>5286</v>
      </c>
    </row>
    <row r="2" customFormat="false" ht="33.75" hidden="false" customHeight="true" outlineLevel="0" collapsed="false">
      <c r="A2" s="94" t="s">
        <v>5287</v>
      </c>
      <c r="B2" s="94"/>
      <c r="C2" s="94"/>
      <c r="D2" s="94"/>
      <c r="E2" s="94"/>
      <c r="F2" s="94"/>
      <c r="G2" s="94"/>
      <c r="H2" s="94"/>
      <c r="I2" s="94"/>
      <c r="J2" s="94"/>
    </row>
    <row r="4" customFormat="false" ht="15" hidden="false" customHeight="false" outlineLevel="0" collapsed="false">
      <c r="A4" s="190" t="s">
        <v>5288</v>
      </c>
      <c r="B4" s="190" t="s">
        <v>5151</v>
      </c>
    </row>
    <row r="5" customFormat="false" ht="15" hidden="false" customHeight="false" outlineLevel="0" collapsed="false">
      <c r="A5" s="194" t="s">
        <v>5289</v>
      </c>
    </row>
    <row r="6" customFormat="false" ht="15" hidden="false" customHeight="false" outlineLevel="0" collapsed="false">
      <c r="A6" s="25" t="s">
        <v>5290</v>
      </c>
      <c r="B6" s="26" t="str">
        <f aca="false">INDEX(A$20:A$47,MATCH($A$5,$A$20:$A$47,0))</f>
        <v>Selling: other property or land</v>
      </c>
    </row>
    <row r="7" customFormat="false" ht="15" hidden="false" customHeight="false" outlineLevel="0" collapsed="false">
      <c r="A7" s="25" t="s">
        <v>5291</v>
      </c>
      <c r="B7" s="26" t="str">
        <f aca="false">INDEX(B$20:B$47,MATCH($A$5,$A$20:$A$47,0))</f>
        <v>Second home, rental property, land</v>
      </c>
    </row>
    <row r="8" customFormat="false" ht="15" hidden="false" customHeight="false" outlineLevel="0" collapsed="false">
      <c r="A8" s="25" t="s">
        <v>5292</v>
      </c>
      <c r="B8" s="26" t="str">
        <f aca="false">INDEX(C$20:C$47,MATCH($A$5,$A$20:$A$47,0))</f>
        <v>Capital gains tax (CGT)</v>
      </c>
    </row>
    <row r="9" customFormat="false" ht="15" hidden="false" customHeight="false" outlineLevel="0" collapsed="false">
      <c r="A9" s="25" t="s">
        <v>5293</v>
      </c>
      <c r="B9" s="26" t="str">
        <f aca="false">INDEX(D$20:D$47,MATCH($A$5,$A$20:$A$47,0))</f>
        <v>You (file and pay by Revenue deadlines)</v>
      </c>
    </row>
    <row r="10" customFormat="false" ht="15" hidden="false" customHeight="false" outlineLevel="0" collapsed="false">
      <c r="A10" s="25" t="s">
        <v>5294</v>
      </c>
      <c r="B10" s="26" t="str">
        <f aca="false">INDEX(E$20:E$47,MATCH($A$5,$A$20:$A$47,0))</f>
        <v>33% before 7 Oct 2026; 31% from 7 Oct 2026</v>
      </c>
    </row>
    <row r="11" customFormat="false" ht="15" hidden="false" customHeight="false" outlineLevel="0" collapsed="false">
      <c r="A11" s="25" t="s">
        <v>5295</v>
      </c>
      <c r="B11" s="26" t="str">
        <f aca="false">INDEX(F$20:F$47,MATCH($A$5,$A$20:$A$47,0))</f>
        <v>On the sale date</v>
      </c>
    </row>
    <row r="12" customFormat="false" ht="15" hidden="false" customHeight="false" outlineLevel="0" collapsed="false">
      <c r="A12" s="25" t="s">
        <v>5296</v>
      </c>
      <c r="B12" s="26" t="str">
        <f aca="false">INDEX(G$20:G$47,MATCH($A$5,$A$20:$A$47,0))</f>
        <v>Sale price less cost less allowable costs</v>
      </c>
    </row>
    <row r="13" customFormat="false" ht="28.35" hidden="false" customHeight="false" outlineLevel="0" collapsed="false">
      <c r="A13" s="25" t="s">
        <v>5297</v>
      </c>
      <c r="B13" s="26" t="str">
        <f aca="false">INDEX(H$20:H$47,MATCH($A$5,$A$20:$A$47,0))</f>
        <v>Annual exemption €1,270 per person; losses; development land stays at 33%</v>
      </c>
    </row>
    <row r="14" customFormat="false" ht="15" hidden="false" customHeight="false" outlineLevel="0" collapsed="false">
      <c r="A14" s="25" t="s">
        <v>5298</v>
      </c>
      <c r="B14" s="26" t="str">
        <f aca="false">INDEX(I$20:I$47,MATCH($A$5,$A$20:$A$47,0))</f>
        <v>C30, plan (other assets)</v>
      </c>
    </row>
    <row r="15" customFormat="false" ht="15" hidden="false" customHeight="false" outlineLevel="0" collapsed="false">
      <c r="A15" s="25" t="s">
        <v>100</v>
      </c>
      <c r="B15" s="26" t="str">
        <f aca="false">INDEX(J$20:J$47,MATCH($A$5,$A$20:$A$47,0))</f>
        <v>Requires Verification</v>
      </c>
    </row>
    <row r="19" customFormat="false" ht="15" hidden="false" customHeight="false" outlineLevel="0" collapsed="false">
      <c r="A19" s="174" t="s">
        <v>5290</v>
      </c>
      <c r="B19" s="174" t="s">
        <v>5291</v>
      </c>
      <c r="C19" s="174" t="s">
        <v>5292</v>
      </c>
      <c r="D19" s="174" t="s">
        <v>5293</v>
      </c>
      <c r="E19" s="174" t="s">
        <v>5294</v>
      </c>
      <c r="F19" s="174" t="s">
        <v>5295</v>
      </c>
      <c r="G19" s="174" t="s">
        <v>5296</v>
      </c>
      <c r="H19" s="174" t="s">
        <v>5297</v>
      </c>
      <c r="I19" s="174" t="s">
        <v>5298</v>
      </c>
      <c r="J19" s="174" t="s">
        <v>100</v>
      </c>
    </row>
    <row r="20" customFormat="false" ht="28.35" hidden="false" customHeight="false" outlineLevel="0" collapsed="false">
      <c r="A20" s="26" t="s">
        <v>5299</v>
      </c>
      <c r="B20" s="26" t="s">
        <v>5300</v>
      </c>
      <c r="C20" s="26" t="s">
        <v>5301</v>
      </c>
      <c r="D20" s="26" t="s">
        <v>5302</v>
      </c>
      <c r="E20" s="26" t="s">
        <v>5303</v>
      </c>
      <c r="F20" s="26" t="s">
        <v>5304</v>
      </c>
      <c r="G20" s="26" t="s">
        <v>5305</v>
      </c>
      <c r="H20" s="26" t="s">
        <v>5306</v>
      </c>
      <c r="I20" s="26" t="s">
        <v>5307</v>
      </c>
      <c r="J20" s="176" t="s">
        <v>4850</v>
      </c>
    </row>
    <row r="21" customFormat="false" ht="28.35" hidden="false" customHeight="false" outlineLevel="0" collapsed="false">
      <c r="A21" s="26" t="s">
        <v>5308</v>
      </c>
      <c r="B21" s="26" t="s">
        <v>5309</v>
      </c>
      <c r="C21" s="26" t="s">
        <v>5310</v>
      </c>
      <c r="D21" s="26" t="s">
        <v>5311</v>
      </c>
      <c r="E21" s="26" t="s">
        <v>5312</v>
      </c>
      <c r="F21" s="26" t="s">
        <v>5313</v>
      </c>
      <c r="G21" s="26" t="s">
        <v>5309</v>
      </c>
      <c r="H21" s="26" t="s">
        <v>5314</v>
      </c>
      <c r="I21" s="26" t="s">
        <v>5315</v>
      </c>
      <c r="J21" s="176" t="s">
        <v>4850</v>
      </c>
    </row>
    <row r="22" customFormat="false" ht="15" hidden="false" customHeight="false" outlineLevel="0" collapsed="false">
      <c r="A22" s="26" t="s">
        <v>5316</v>
      </c>
      <c r="B22" s="26" t="s">
        <v>5317</v>
      </c>
      <c r="C22" s="26" t="s">
        <v>5318</v>
      </c>
      <c r="D22" s="26" t="s">
        <v>5319</v>
      </c>
      <c r="E22" s="26" t="s">
        <v>5320</v>
      </c>
      <c r="F22" s="26" t="s">
        <v>5321</v>
      </c>
      <c r="G22" s="26" t="s">
        <v>5322</v>
      </c>
      <c r="H22" s="26" t="s">
        <v>5323</v>
      </c>
      <c r="I22" s="26" t="s">
        <v>5324</v>
      </c>
      <c r="J22" s="176" t="s">
        <v>4850</v>
      </c>
    </row>
    <row r="23" customFormat="false" ht="28.35" hidden="false" customHeight="false" outlineLevel="0" collapsed="false">
      <c r="A23" s="26" t="s">
        <v>5325</v>
      </c>
      <c r="B23" s="26" t="s">
        <v>5326</v>
      </c>
      <c r="C23" s="26" t="s">
        <v>5327</v>
      </c>
      <c r="D23" s="26" t="s">
        <v>5328</v>
      </c>
      <c r="E23" s="26" t="s">
        <v>5329</v>
      </c>
      <c r="F23" s="26" t="s">
        <v>5330</v>
      </c>
      <c r="G23" s="26" t="s">
        <v>5331</v>
      </c>
      <c r="H23" s="26" t="s">
        <v>5332</v>
      </c>
      <c r="I23" s="26" t="s">
        <v>5333</v>
      </c>
      <c r="J23" s="176" t="s">
        <v>4850</v>
      </c>
    </row>
    <row r="24" customFormat="false" ht="28.35" hidden="false" customHeight="false" outlineLevel="0" collapsed="false">
      <c r="A24" s="26" t="s">
        <v>5334</v>
      </c>
      <c r="B24" s="26" t="s">
        <v>5335</v>
      </c>
      <c r="C24" s="26" t="s">
        <v>5336</v>
      </c>
      <c r="D24" s="26" t="s">
        <v>5337</v>
      </c>
      <c r="E24" s="26" t="s">
        <v>5338</v>
      </c>
      <c r="F24" s="26" t="s">
        <v>5339</v>
      </c>
      <c r="G24" s="26" t="s">
        <v>5340</v>
      </c>
      <c r="H24" s="26" t="s">
        <v>5341</v>
      </c>
      <c r="I24" s="26" t="s">
        <v>5342</v>
      </c>
      <c r="J24" s="176" t="s">
        <v>4850</v>
      </c>
    </row>
    <row r="25" customFormat="false" ht="15" hidden="false" customHeight="false" outlineLevel="0" collapsed="false">
      <c r="A25" s="26" t="s">
        <v>5343</v>
      </c>
      <c r="B25" s="26" t="s">
        <v>5344</v>
      </c>
      <c r="C25" s="26" t="s">
        <v>5345</v>
      </c>
      <c r="D25" s="26" t="s">
        <v>5337</v>
      </c>
      <c r="E25" s="26" t="s">
        <v>5346</v>
      </c>
      <c r="F25" s="26" t="s">
        <v>5347</v>
      </c>
      <c r="G25" s="26" t="s">
        <v>5348</v>
      </c>
      <c r="H25" s="26"/>
      <c r="I25" s="26" t="s">
        <v>5349</v>
      </c>
      <c r="J25" s="176" t="s">
        <v>4850</v>
      </c>
    </row>
    <row r="26" customFormat="false" ht="28.35" hidden="false" customHeight="false" outlineLevel="0" collapsed="false">
      <c r="A26" s="26" t="s">
        <v>5350</v>
      </c>
      <c r="B26" s="26" t="s">
        <v>5351</v>
      </c>
      <c r="C26" s="26" t="s">
        <v>5352</v>
      </c>
      <c r="D26" s="26" t="s">
        <v>5337</v>
      </c>
      <c r="E26" s="26" t="s">
        <v>5353</v>
      </c>
      <c r="F26" s="26" t="s">
        <v>5354</v>
      </c>
      <c r="G26" s="26" t="s">
        <v>5355</v>
      </c>
      <c r="H26" s="26" t="s">
        <v>5356</v>
      </c>
      <c r="I26" s="26" t="s">
        <v>5357</v>
      </c>
      <c r="J26" s="176" t="s">
        <v>4850</v>
      </c>
    </row>
    <row r="27" customFormat="false" ht="28.35" hidden="false" customHeight="false" outlineLevel="0" collapsed="false">
      <c r="A27" s="26" t="s">
        <v>5358</v>
      </c>
      <c r="B27" s="26" t="s">
        <v>5359</v>
      </c>
      <c r="C27" s="26" t="s">
        <v>5360</v>
      </c>
      <c r="D27" s="26" t="s">
        <v>5337</v>
      </c>
      <c r="E27" s="26" t="s">
        <v>5361</v>
      </c>
      <c r="F27" s="26" t="s">
        <v>5354</v>
      </c>
      <c r="G27" s="26" t="s">
        <v>5362</v>
      </c>
      <c r="H27" s="26" t="s">
        <v>5363</v>
      </c>
      <c r="I27" s="26" t="s">
        <v>3</v>
      </c>
      <c r="J27" s="176" t="s">
        <v>4850</v>
      </c>
    </row>
    <row r="28" customFormat="false" ht="15" hidden="false" customHeight="false" outlineLevel="0" collapsed="false">
      <c r="A28" s="26" t="s">
        <v>5364</v>
      </c>
      <c r="B28" s="26" t="s">
        <v>5365</v>
      </c>
      <c r="C28" s="26" t="s">
        <v>5366</v>
      </c>
      <c r="D28" s="26"/>
      <c r="E28" s="26" t="s">
        <v>5367</v>
      </c>
      <c r="F28" s="26" t="s">
        <v>5368</v>
      </c>
      <c r="G28" s="26"/>
      <c r="H28" s="26"/>
      <c r="I28" s="26" t="s">
        <v>5369</v>
      </c>
      <c r="J28" s="176" t="s">
        <v>4850</v>
      </c>
    </row>
    <row r="29" customFormat="false" ht="28.35" hidden="false" customHeight="false" outlineLevel="0" collapsed="false">
      <c r="A29" s="26" t="s">
        <v>5370</v>
      </c>
      <c r="B29" s="26" t="s">
        <v>5371</v>
      </c>
      <c r="C29" s="26" t="s">
        <v>5372</v>
      </c>
      <c r="D29" s="26" t="s">
        <v>5373</v>
      </c>
      <c r="E29" s="26" t="s">
        <v>5374</v>
      </c>
      <c r="F29" s="26" t="s">
        <v>5375</v>
      </c>
      <c r="G29" s="26" t="s">
        <v>5376</v>
      </c>
      <c r="H29" s="26"/>
      <c r="I29" s="26" t="s">
        <v>5377</v>
      </c>
      <c r="J29" s="176" t="s">
        <v>4850</v>
      </c>
    </row>
    <row r="30" customFormat="false" ht="28.35" hidden="false" customHeight="false" outlineLevel="0" collapsed="false">
      <c r="A30" s="26" t="s">
        <v>5378</v>
      </c>
      <c r="B30" s="26" t="s">
        <v>2759</v>
      </c>
      <c r="C30" s="26" t="s">
        <v>5379</v>
      </c>
      <c r="D30" s="26" t="s">
        <v>5337</v>
      </c>
      <c r="E30" s="26" t="s">
        <v>5380</v>
      </c>
      <c r="F30" s="26" t="s">
        <v>5381</v>
      </c>
      <c r="G30" s="26" t="s">
        <v>5382</v>
      </c>
      <c r="H30" s="26" t="s">
        <v>5383</v>
      </c>
      <c r="I30" s="26" t="s">
        <v>5126</v>
      </c>
      <c r="J30" s="176" t="s">
        <v>4850</v>
      </c>
    </row>
    <row r="31" customFormat="false" ht="28.35" hidden="false" customHeight="false" outlineLevel="0" collapsed="false">
      <c r="A31" s="26" t="s">
        <v>5289</v>
      </c>
      <c r="B31" s="26" t="s">
        <v>5384</v>
      </c>
      <c r="C31" s="26" t="s">
        <v>5385</v>
      </c>
      <c r="D31" s="26" t="s">
        <v>5386</v>
      </c>
      <c r="E31" s="26" t="s">
        <v>5387</v>
      </c>
      <c r="F31" s="26" t="s">
        <v>5388</v>
      </c>
      <c r="G31" s="26" t="s">
        <v>5238</v>
      </c>
      <c r="H31" s="26" t="s">
        <v>5389</v>
      </c>
      <c r="I31" s="26" t="s">
        <v>5390</v>
      </c>
      <c r="J31" s="176" t="s">
        <v>4850</v>
      </c>
    </row>
    <row r="32" customFormat="false" ht="15" hidden="false" customHeight="false" outlineLevel="0" collapsed="false">
      <c r="A32" s="26" t="s">
        <v>5391</v>
      </c>
      <c r="B32" s="26" t="s">
        <v>5392</v>
      </c>
      <c r="C32" s="26" t="s">
        <v>5385</v>
      </c>
      <c r="D32" s="26" t="s">
        <v>5337</v>
      </c>
      <c r="E32" s="26" t="s">
        <v>5393</v>
      </c>
      <c r="F32" s="26" t="s">
        <v>5388</v>
      </c>
      <c r="G32" s="26" t="s">
        <v>5394</v>
      </c>
      <c r="H32" s="26" t="s">
        <v>5395</v>
      </c>
      <c r="I32" s="26" t="s">
        <v>5070</v>
      </c>
      <c r="J32" s="176" t="s">
        <v>4850</v>
      </c>
    </row>
    <row r="33" customFormat="false" ht="28.35" hidden="false" customHeight="false" outlineLevel="0" collapsed="false">
      <c r="A33" s="26" t="s">
        <v>5396</v>
      </c>
      <c r="B33" s="26" t="s">
        <v>5397</v>
      </c>
      <c r="C33" s="26" t="s">
        <v>5398</v>
      </c>
      <c r="D33" s="26" t="s">
        <v>5399</v>
      </c>
      <c r="E33" s="26" t="s">
        <v>5374</v>
      </c>
      <c r="F33" s="26" t="s">
        <v>5381</v>
      </c>
      <c r="G33" s="26" t="s">
        <v>5400</v>
      </c>
      <c r="H33" s="26" t="s">
        <v>5401</v>
      </c>
      <c r="I33" s="26" t="s">
        <v>5070</v>
      </c>
      <c r="J33" s="176" t="s">
        <v>4850</v>
      </c>
    </row>
    <row r="34" customFormat="false" ht="28.35" hidden="false" customHeight="false" outlineLevel="0" collapsed="false">
      <c r="A34" s="26" t="s">
        <v>5402</v>
      </c>
      <c r="B34" s="26" t="s">
        <v>5403</v>
      </c>
      <c r="C34" s="26" t="s">
        <v>5385</v>
      </c>
      <c r="D34" s="26" t="s">
        <v>5337</v>
      </c>
      <c r="E34" s="26" t="s">
        <v>5393</v>
      </c>
      <c r="F34" s="26" t="s">
        <v>5404</v>
      </c>
      <c r="G34" s="26" t="s">
        <v>5394</v>
      </c>
      <c r="H34" s="26" t="s">
        <v>5405</v>
      </c>
      <c r="I34" s="26" t="s">
        <v>5406</v>
      </c>
      <c r="J34" s="176" t="s">
        <v>4850</v>
      </c>
    </row>
    <row r="35" customFormat="false" ht="15" hidden="false" customHeight="false" outlineLevel="0" collapsed="false">
      <c r="A35" s="26" t="s">
        <v>5407</v>
      </c>
      <c r="B35" s="26" t="s">
        <v>5408</v>
      </c>
      <c r="C35" s="26" t="s">
        <v>5409</v>
      </c>
      <c r="D35" s="26" t="s">
        <v>5337</v>
      </c>
      <c r="E35" s="26" t="s">
        <v>5410</v>
      </c>
      <c r="F35" s="26" t="s">
        <v>5381</v>
      </c>
      <c r="G35" s="26" t="s">
        <v>5411</v>
      </c>
      <c r="H35" s="26" t="s">
        <v>5412</v>
      </c>
      <c r="I35" s="26" t="s">
        <v>5126</v>
      </c>
      <c r="J35" s="176" t="s">
        <v>4850</v>
      </c>
    </row>
    <row r="36" customFormat="false" ht="28.35" hidden="false" customHeight="false" outlineLevel="0" collapsed="false">
      <c r="A36" s="26" t="s">
        <v>5413</v>
      </c>
      <c r="B36" s="26" t="s">
        <v>5414</v>
      </c>
      <c r="C36" s="26" t="s">
        <v>5415</v>
      </c>
      <c r="D36" s="26" t="s">
        <v>5337</v>
      </c>
      <c r="E36" s="26" t="s">
        <v>5416</v>
      </c>
      <c r="F36" s="26" t="s">
        <v>5381</v>
      </c>
      <c r="G36" s="26" t="s">
        <v>5411</v>
      </c>
      <c r="H36" s="26" t="s">
        <v>5417</v>
      </c>
      <c r="I36" s="26" t="s">
        <v>3</v>
      </c>
      <c r="J36" s="176" t="s">
        <v>4850</v>
      </c>
    </row>
    <row r="37" customFormat="false" ht="28.35" hidden="false" customHeight="false" outlineLevel="0" collapsed="false">
      <c r="A37" s="26" t="s">
        <v>5418</v>
      </c>
      <c r="B37" s="26" t="s">
        <v>5419</v>
      </c>
      <c r="C37" s="26" t="s">
        <v>5420</v>
      </c>
      <c r="D37" s="26" t="s">
        <v>5337</v>
      </c>
      <c r="E37" s="26" t="s">
        <v>5421</v>
      </c>
      <c r="F37" s="26" t="s">
        <v>5422</v>
      </c>
      <c r="G37" s="26" t="s">
        <v>5423</v>
      </c>
      <c r="H37" s="26"/>
      <c r="I37" s="26" t="s">
        <v>5424</v>
      </c>
      <c r="J37" s="176" t="s">
        <v>4850</v>
      </c>
    </row>
    <row r="38" customFormat="false" ht="41.75" hidden="false" customHeight="false" outlineLevel="0" collapsed="false">
      <c r="A38" s="26" t="s">
        <v>5425</v>
      </c>
      <c r="B38" s="26" t="s">
        <v>5426</v>
      </c>
      <c r="C38" s="26" t="s">
        <v>5427</v>
      </c>
      <c r="D38" s="26" t="s">
        <v>5428</v>
      </c>
      <c r="E38" s="26" t="s">
        <v>5429</v>
      </c>
      <c r="F38" s="26" t="s">
        <v>5430</v>
      </c>
      <c r="G38" s="26" t="s">
        <v>5431</v>
      </c>
      <c r="H38" s="26" t="s">
        <v>5432</v>
      </c>
      <c r="I38" s="26" t="s">
        <v>5433</v>
      </c>
      <c r="J38" s="176" t="s">
        <v>4850</v>
      </c>
    </row>
    <row r="39" customFormat="false" ht="15" hidden="false" customHeight="false" outlineLevel="0" collapsed="false">
      <c r="A39" s="26" t="s">
        <v>5434</v>
      </c>
      <c r="B39" s="26" t="s">
        <v>5435</v>
      </c>
      <c r="C39" s="26" t="s">
        <v>5436</v>
      </c>
      <c r="D39" s="26" t="s">
        <v>5337</v>
      </c>
      <c r="E39" s="26" t="s">
        <v>5437</v>
      </c>
      <c r="F39" s="26" t="s">
        <v>5438</v>
      </c>
      <c r="G39" s="26" t="s">
        <v>5439</v>
      </c>
      <c r="H39" s="26" t="s">
        <v>5440</v>
      </c>
      <c r="I39" s="26" t="s">
        <v>5424</v>
      </c>
      <c r="J39" s="176" t="s">
        <v>4850</v>
      </c>
    </row>
    <row r="40" customFormat="false" ht="15" hidden="false" customHeight="false" outlineLevel="0" collapsed="false">
      <c r="A40" s="26" t="s">
        <v>5441</v>
      </c>
      <c r="B40" s="26" t="s">
        <v>5359</v>
      </c>
      <c r="C40" s="26" t="s">
        <v>416</v>
      </c>
      <c r="D40" s="26" t="s">
        <v>5442</v>
      </c>
      <c r="E40" s="26" t="s">
        <v>5443</v>
      </c>
      <c r="F40" s="26" t="s">
        <v>5444</v>
      </c>
      <c r="G40" s="26" t="s">
        <v>5445</v>
      </c>
      <c r="H40" s="26" t="s">
        <v>5446</v>
      </c>
      <c r="I40" s="26" t="s">
        <v>5447</v>
      </c>
      <c r="J40" s="176" t="s">
        <v>4850</v>
      </c>
    </row>
    <row r="41" customFormat="false" ht="15" hidden="false" customHeight="false" outlineLevel="0" collapsed="false">
      <c r="A41" s="26" t="s">
        <v>5448</v>
      </c>
      <c r="B41" s="26" t="s">
        <v>5449</v>
      </c>
      <c r="C41" s="26" t="s">
        <v>416</v>
      </c>
      <c r="D41" s="26" t="s">
        <v>5337</v>
      </c>
      <c r="E41" s="26" t="s">
        <v>5450</v>
      </c>
      <c r="F41" s="26" t="s">
        <v>5451</v>
      </c>
      <c r="G41" s="26" t="s">
        <v>5452</v>
      </c>
      <c r="H41" s="26"/>
      <c r="I41" s="26" t="s">
        <v>3</v>
      </c>
      <c r="J41" s="176" t="s">
        <v>4850</v>
      </c>
    </row>
    <row r="42" customFormat="false" ht="15" hidden="false" customHeight="false" outlineLevel="0" collapsed="false">
      <c r="A42" s="26" t="s">
        <v>5453</v>
      </c>
      <c r="B42" s="26" t="s">
        <v>5454</v>
      </c>
      <c r="C42" s="26" t="s">
        <v>5455</v>
      </c>
      <c r="D42" s="26"/>
      <c r="E42" s="26" t="s">
        <v>5380</v>
      </c>
      <c r="F42" s="26" t="s">
        <v>5456</v>
      </c>
      <c r="G42" s="26"/>
      <c r="H42" s="26" t="s">
        <v>5457</v>
      </c>
      <c r="I42" s="26" t="s">
        <v>5126</v>
      </c>
      <c r="J42" s="176" t="s">
        <v>4850</v>
      </c>
    </row>
    <row r="43" customFormat="false" ht="41.75" hidden="false" customHeight="false" outlineLevel="0" collapsed="false">
      <c r="A43" s="26" t="s">
        <v>5458</v>
      </c>
      <c r="B43" s="26" t="s">
        <v>5459</v>
      </c>
      <c r="C43" s="26" t="s">
        <v>5460</v>
      </c>
      <c r="D43" s="26" t="s">
        <v>5461</v>
      </c>
      <c r="E43" s="26" t="s">
        <v>5462</v>
      </c>
      <c r="F43" s="26" t="s">
        <v>5456</v>
      </c>
      <c r="G43" s="26" t="s">
        <v>5463</v>
      </c>
      <c r="H43" s="26" t="s">
        <v>5464</v>
      </c>
      <c r="I43" s="26" t="s">
        <v>5465</v>
      </c>
      <c r="J43" s="176" t="s">
        <v>4850</v>
      </c>
    </row>
    <row r="44" customFormat="false" ht="28.35" hidden="false" customHeight="false" outlineLevel="0" collapsed="false">
      <c r="A44" s="26" t="s">
        <v>5466</v>
      </c>
      <c r="B44" s="26" t="s">
        <v>1834</v>
      </c>
      <c r="C44" s="26" t="s">
        <v>5467</v>
      </c>
      <c r="D44" s="26" t="s">
        <v>5468</v>
      </c>
      <c r="E44" s="26" t="s">
        <v>5469</v>
      </c>
      <c r="F44" s="26" t="s">
        <v>5456</v>
      </c>
      <c r="G44" s="26" t="s">
        <v>5470</v>
      </c>
      <c r="H44" s="26" t="s">
        <v>5471</v>
      </c>
      <c r="I44" s="26" t="s">
        <v>5472</v>
      </c>
      <c r="J44" s="176" t="s">
        <v>4850</v>
      </c>
    </row>
    <row r="45" customFormat="false" ht="28.35" hidden="false" customHeight="false" outlineLevel="0" collapsed="false">
      <c r="A45" s="26" t="s">
        <v>5473</v>
      </c>
      <c r="B45" s="26" t="s">
        <v>5454</v>
      </c>
      <c r="C45" s="26" t="s">
        <v>5474</v>
      </c>
      <c r="D45" s="26" t="s">
        <v>5468</v>
      </c>
      <c r="E45" s="26" t="s">
        <v>5475</v>
      </c>
      <c r="F45" s="26" t="s">
        <v>5476</v>
      </c>
      <c r="G45" s="26" t="s">
        <v>5477</v>
      </c>
      <c r="H45" s="26" t="s">
        <v>5478</v>
      </c>
      <c r="I45" s="26" t="s">
        <v>5472</v>
      </c>
      <c r="J45" s="176" t="s">
        <v>4850</v>
      </c>
    </row>
    <row r="46" customFormat="false" ht="28.35" hidden="false" customHeight="false" outlineLevel="0" collapsed="false">
      <c r="A46" s="26" t="s">
        <v>5479</v>
      </c>
      <c r="B46" s="26" t="s">
        <v>5454</v>
      </c>
      <c r="C46" s="26" t="s">
        <v>5480</v>
      </c>
      <c r="D46" s="26" t="s">
        <v>5468</v>
      </c>
      <c r="E46" s="26" t="s">
        <v>5481</v>
      </c>
      <c r="F46" s="26" t="s">
        <v>5456</v>
      </c>
      <c r="G46" s="26" t="s">
        <v>5482</v>
      </c>
      <c r="H46" s="26" t="s">
        <v>5483</v>
      </c>
      <c r="I46" s="26" t="s">
        <v>5472</v>
      </c>
      <c r="J46" s="176" t="s">
        <v>4850</v>
      </c>
    </row>
    <row r="47" customFormat="false" ht="28.35" hidden="false" customHeight="false" outlineLevel="0" collapsed="false">
      <c r="A47" s="26" t="s">
        <v>5484</v>
      </c>
      <c r="B47" s="26" t="s">
        <v>5485</v>
      </c>
      <c r="C47" s="26" t="s">
        <v>5486</v>
      </c>
      <c r="D47" s="26" t="s">
        <v>5468</v>
      </c>
      <c r="E47" s="26" t="s">
        <v>5393</v>
      </c>
      <c r="F47" s="26" t="s">
        <v>5487</v>
      </c>
      <c r="G47" s="26" t="s">
        <v>5488</v>
      </c>
      <c r="H47" s="26" t="s">
        <v>5489</v>
      </c>
      <c r="I47" s="26" t="s">
        <v>5490</v>
      </c>
      <c r="J47" s="176" t="s">
        <v>4850</v>
      </c>
    </row>
  </sheetData>
  <mergeCells count="1">
    <mergeCell ref="A2:J2"/>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9"/>
    <col collapsed="false" customWidth="true" hidden="false" outlineLevel="0" max="41" min="4" style="0" width="14"/>
  </cols>
  <sheetData>
    <row r="1" customFormat="false" ht="19.7" hidden="false" customHeight="false" outlineLevel="0" collapsed="false">
      <c r="A1" s="24" t="s">
        <v>5491</v>
      </c>
    </row>
    <row r="2" customFormat="false" ht="63.75" hidden="false" customHeight="true" outlineLevel="0" collapsed="false">
      <c r="A2" s="94" t="s">
        <v>5492</v>
      </c>
      <c r="B2" s="94"/>
      <c r="C2" s="94"/>
      <c r="D2" s="94"/>
      <c r="E2" s="94"/>
      <c r="F2" s="94"/>
      <c r="G2" s="94"/>
      <c r="H2" s="94"/>
      <c r="I2" s="94"/>
      <c r="J2" s="94"/>
      <c r="K2" s="94"/>
      <c r="L2" s="94"/>
      <c r="M2" s="94"/>
      <c r="N2" s="94"/>
      <c r="O2" s="94"/>
      <c r="P2" s="94"/>
      <c r="Q2" s="94"/>
      <c r="R2" s="94"/>
      <c r="S2" s="94"/>
      <c r="T2" s="94"/>
      <c r="U2" s="94"/>
      <c r="V2" s="94"/>
      <c r="W2" s="94"/>
      <c r="X2" s="94"/>
      <c r="Y2" s="94"/>
      <c r="Z2" s="94"/>
      <c r="AA2" s="94"/>
      <c r="AB2" s="94"/>
      <c r="AC2" s="94"/>
      <c r="AD2" s="94"/>
      <c r="AE2" s="94"/>
      <c r="AF2" s="94"/>
    </row>
    <row r="4" customFormat="false" ht="68.65" hidden="false" customHeight="false" outlineLevel="0" collapsed="false">
      <c r="A4" s="190" t="s">
        <v>5493</v>
      </c>
      <c r="B4" s="190"/>
      <c r="C4" s="190"/>
      <c r="D4" s="190" t="s">
        <v>5494</v>
      </c>
      <c r="E4" s="190"/>
      <c r="F4" s="190"/>
      <c r="G4" s="190"/>
      <c r="H4" s="190"/>
      <c r="I4" s="190"/>
      <c r="J4" s="190" t="s">
        <v>5495</v>
      </c>
      <c r="K4" s="190"/>
      <c r="L4" s="190"/>
      <c r="M4" s="190"/>
      <c r="N4" s="190"/>
      <c r="O4" s="190" t="s">
        <v>5496</v>
      </c>
      <c r="P4" s="190"/>
      <c r="Q4" s="190" t="s">
        <v>5497</v>
      </c>
      <c r="R4" s="190"/>
      <c r="S4" s="190"/>
      <c r="T4" s="190" t="s">
        <v>5498</v>
      </c>
      <c r="U4" s="190"/>
      <c r="V4" s="190"/>
      <c r="W4" s="190"/>
      <c r="X4" s="190" t="s">
        <v>5499</v>
      </c>
      <c r="Y4" s="190"/>
      <c r="Z4" s="190"/>
      <c r="AA4" s="190"/>
      <c r="AB4" s="190"/>
      <c r="AC4" s="190" t="s">
        <v>5500</v>
      </c>
      <c r="AD4" s="190"/>
      <c r="AE4" s="190" t="s">
        <v>5501</v>
      </c>
      <c r="AF4" s="190"/>
      <c r="AG4" s="190"/>
      <c r="AH4" s="190"/>
      <c r="AI4" s="190"/>
      <c r="AJ4" s="190"/>
      <c r="AK4" s="190"/>
      <c r="AL4" s="190"/>
      <c r="AM4" s="190" t="s">
        <v>5502</v>
      </c>
      <c r="AN4" s="190"/>
      <c r="AO4" s="190"/>
    </row>
    <row r="5" customFormat="false" ht="61.5" hidden="false" customHeight="true" outlineLevel="0" collapsed="false">
      <c r="A5" s="174" t="s">
        <v>917</v>
      </c>
      <c r="B5" s="174" t="s">
        <v>5021</v>
      </c>
      <c r="C5" s="174" t="s">
        <v>5503</v>
      </c>
      <c r="D5" s="174" t="s">
        <v>5504</v>
      </c>
      <c r="E5" s="174" t="s">
        <v>5505</v>
      </c>
      <c r="F5" s="174" t="s">
        <v>2798</v>
      </c>
      <c r="G5" s="174" t="s">
        <v>5506</v>
      </c>
      <c r="H5" s="174" t="s">
        <v>5507</v>
      </c>
      <c r="I5" s="174" t="s">
        <v>5508</v>
      </c>
      <c r="J5" s="174" t="s">
        <v>3931</v>
      </c>
      <c r="K5" s="174" t="s">
        <v>3952</v>
      </c>
      <c r="L5" s="174" t="s">
        <v>4930</v>
      </c>
      <c r="M5" s="174" t="s">
        <v>5509</v>
      </c>
      <c r="N5" s="174" t="s">
        <v>5510</v>
      </c>
      <c r="O5" s="174" t="s">
        <v>5511</v>
      </c>
      <c r="P5" s="174" t="s">
        <v>5512</v>
      </c>
      <c r="Q5" s="174" t="s">
        <v>5513</v>
      </c>
      <c r="R5" s="174" t="s">
        <v>5514</v>
      </c>
      <c r="S5" s="174" t="s">
        <v>5515</v>
      </c>
      <c r="T5" s="174" t="s">
        <v>5516</v>
      </c>
      <c r="U5" s="174" t="s">
        <v>5517</v>
      </c>
      <c r="V5" s="174" t="s">
        <v>5518</v>
      </c>
      <c r="W5" s="174" t="s">
        <v>5519</v>
      </c>
      <c r="X5" s="174" t="s">
        <v>5520</v>
      </c>
      <c r="Y5" s="174" t="s">
        <v>5521</v>
      </c>
      <c r="Z5" s="174" t="s">
        <v>5522</v>
      </c>
      <c r="AA5" s="174" t="s">
        <v>5523</v>
      </c>
      <c r="AB5" s="174" t="s">
        <v>5524</v>
      </c>
      <c r="AC5" s="174" t="s">
        <v>5525</v>
      </c>
      <c r="AD5" s="174" t="s">
        <v>5526</v>
      </c>
      <c r="AE5" s="174" t="s">
        <v>1834</v>
      </c>
      <c r="AF5" s="174" t="s">
        <v>5527</v>
      </c>
      <c r="AG5" s="174" t="s">
        <v>5528</v>
      </c>
      <c r="AH5" s="174" t="s">
        <v>5529</v>
      </c>
      <c r="AI5" s="174" t="s">
        <v>5530</v>
      </c>
      <c r="AJ5" s="174" t="s">
        <v>5531</v>
      </c>
      <c r="AK5" s="174" t="s">
        <v>5532</v>
      </c>
      <c r="AL5" s="174" t="s">
        <v>5533</v>
      </c>
      <c r="AM5" s="174" t="s">
        <v>5534</v>
      </c>
      <c r="AN5" s="174" t="s">
        <v>5535</v>
      </c>
      <c r="AO5" s="174" t="s">
        <v>5536</v>
      </c>
    </row>
    <row r="6" customFormat="false" ht="15" hidden="false" customHeight="false" outlineLevel="0" collapsed="false">
      <c r="A6" s="189" t="n">
        <v>2026</v>
      </c>
      <c r="B6" s="189" t="n">
        <v>37</v>
      </c>
      <c r="C6" s="189" t="s">
        <v>5537</v>
      </c>
      <c r="D6" s="187" t="n">
        <v>58000</v>
      </c>
      <c r="E6" s="187" t="n">
        <v>22000</v>
      </c>
      <c r="F6" s="187" t="n">
        <v>0</v>
      </c>
      <c r="G6" s="187" t="n">
        <v>0</v>
      </c>
      <c r="H6" s="187" t="n">
        <v>0</v>
      </c>
      <c r="I6" s="195" t="n">
        <f aca="false">SUM(D6:H6)</f>
        <v>80000</v>
      </c>
      <c r="J6" s="187" t="n">
        <v>9552</v>
      </c>
      <c r="K6" s="187" t="n">
        <v>1532.64</v>
      </c>
      <c r="L6" s="187" t="n">
        <v>3381.91333333333</v>
      </c>
      <c r="M6" s="195" t="n">
        <f aca="false">SUM(J6:L6)</f>
        <v>14466.5533333333</v>
      </c>
      <c r="N6" s="187" t="n">
        <v>3120</v>
      </c>
      <c r="O6" s="195" t="n">
        <f aca="false">I6-M6-N6</f>
        <v>62413.4466666667</v>
      </c>
      <c r="P6" s="187" t="n">
        <v>62413.4466666667</v>
      </c>
      <c r="Q6" s="187" t="n">
        <v>45000</v>
      </c>
      <c r="R6" s="187" t="n">
        <v>15797.4861222176</v>
      </c>
      <c r="S6" s="195" t="n">
        <f aca="false">O6-Q6-R6</f>
        <v>1615.96054444905</v>
      </c>
      <c r="T6" s="187" t="n">
        <v>807.980272224524</v>
      </c>
      <c r="U6" s="187" t="n">
        <v>807.980272224524</v>
      </c>
      <c r="V6" s="187" t="n">
        <v>0</v>
      </c>
      <c r="W6" s="187" t="n">
        <v>0</v>
      </c>
      <c r="X6" s="187" t="n">
        <v>0</v>
      </c>
      <c r="Y6" s="187" t="n">
        <v>0</v>
      </c>
      <c r="Z6" s="187" t="n">
        <v>0</v>
      </c>
      <c r="AA6" s="187" t="n">
        <v>0</v>
      </c>
      <c r="AB6" s="187" t="n">
        <v>0</v>
      </c>
      <c r="AC6" s="187" t="n">
        <v>0</v>
      </c>
      <c r="AD6" s="187" t="n">
        <v>0</v>
      </c>
      <c r="AE6" s="187" t="n">
        <v>0</v>
      </c>
      <c r="AF6" s="187" t="n">
        <v>0</v>
      </c>
      <c r="AG6" s="187" t="n">
        <v>0</v>
      </c>
      <c r="AH6" s="187" t="n">
        <v>1460.61812574178</v>
      </c>
      <c r="AI6" s="187" t="n">
        <v>8320</v>
      </c>
      <c r="AJ6" s="187" t="n">
        <v>0</v>
      </c>
      <c r="AK6" s="187" t="n">
        <v>88174.0906797545</v>
      </c>
      <c r="AL6" s="195" t="n">
        <f aca="false">SUM(AE6:AK6)</f>
        <v>97954.7088054963</v>
      </c>
      <c r="AM6" s="187" t="n">
        <v>97954.7088054963</v>
      </c>
      <c r="AN6" s="187" t="n">
        <v>81480</v>
      </c>
      <c r="AO6" s="195" t="n">
        <f aca="false">O6-P6</f>
        <v>0</v>
      </c>
    </row>
    <row r="7" customFormat="false" ht="15" hidden="false" customHeight="false" outlineLevel="0" collapsed="false">
      <c r="A7" s="189" t="n">
        <v>2027</v>
      </c>
      <c r="B7" s="189" t="n">
        <v>38</v>
      </c>
      <c r="C7" s="189" t="s">
        <v>5537</v>
      </c>
      <c r="D7" s="187" t="n">
        <v>59740</v>
      </c>
      <c r="E7" s="187" t="n">
        <v>22660</v>
      </c>
      <c r="F7" s="187" t="n">
        <v>0</v>
      </c>
      <c r="G7" s="187" t="n">
        <v>0</v>
      </c>
      <c r="H7" s="187" t="n">
        <v>0</v>
      </c>
      <c r="I7" s="195" t="n">
        <f aca="false">SUM(D7:H7)</f>
        <v>82400</v>
      </c>
      <c r="J7" s="187" t="n">
        <v>10006.56</v>
      </c>
      <c r="K7" s="187" t="n">
        <v>1585.0928</v>
      </c>
      <c r="L7" s="187" t="n">
        <v>3615.3</v>
      </c>
      <c r="M7" s="195" t="n">
        <f aca="false">SUM(J7:L7)</f>
        <v>15206.9528</v>
      </c>
      <c r="N7" s="187" t="n">
        <v>3213.6</v>
      </c>
      <c r="O7" s="195" t="n">
        <f aca="false">I7-M7-N7</f>
        <v>63979.4472</v>
      </c>
      <c r="P7" s="187" t="n">
        <v>63979.4472</v>
      </c>
      <c r="Q7" s="187" t="n">
        <v>45900</v>
      </c>
      <c r="R7" s="187" t="n">
        <v>15360</v>
      </c>
      <c r="S7" s="195" t="n">
        <f aca="false">O7-Q7-R7</f>
        <v>2719.4472</v>
      </c>
      <c r="T7" s="187" t="n">
        <v>1359.7236</v>
      </c>
      <c r="U7" s="187" t="n">
        <v>1359.7236</v>
      </c>
      <c r="V7" s="187" t="n">
        <v>0</v>
      </c>
      <c r="W7" s="187" t="n">
        <v>0</v>
      </c>
      <c r="X7" s="187" t="n">
        <v>0</v>
      </c>
      <c r="Y7" s="187" t="n">
        <v>0</v>
      </c>
      <c r="Z7" s="187" t="n">
        <v>0</v>
      </c>
      <c r="AA7" s="187" t="n">
        <v>0</v>
      </c>
      <c r="AB7" s="187" t="n">
        <v>0</v>
      </c>
      <c r="AC7" s="187" t="n">
        <v>0</v>
      </c>
      <c r="AD7" s="187" t="n">
        <v>0</v>
      </c>
      <c r="AE7" s="187" t="n">
        <v>0</v>
      </c>
      <c r="AF7" s="187" t="n">
        <v>0</v>
      </c>
      <c r="AG7" s="187" t="n">
        <v>0</v>
      </c>
      <c r="AH7" s="187" t="n">
        <v>1489.83048825661</v>
      </c>
      <c r="AI7" s="187" t="n">
        <v>8652.8</v>
      </c>
      <c r="AJ7" s="187" t="n">
        <v>0</v>
      </c>
      <c r="AK7" s="187" t="n">
        <v>91479.7260980921</v>
      </c>
      <c r="AL7" s="195" t="n">
        <f aca="false">SUM(AE7:AK7)</f>
        <v>101622.356586349</v>
      </c>
      <c r="AM7" s="187" t="n">
        <v>101622.356586349</v>
      </c>
      <c r="AN7" s="187" t="n">
        <v>91573.8</v>
      </c>
      <c r="AO7" s="195" t="n">
        <f aca="false">O7-P7</f>
        <v>0</v>
      </c>
    </row>
    <row r="8" customFormat="false" ht="15" hidden="false" customHeight="false" outlineLevel="0" collapsed="false">
      <c r="A8" s="189" t="n">
        <v>2028</v>
      </c>
      <c r="B8" s="189" t="n">
        <v>39</v>
      </c>
      <c r="C8" s="189" t="s">
        <v>5537</v>
      </c>
      <c r="D8" s="187" t="n">
        <v>61532.2</v>
      </c>
      <c r="E8" s="187" t="n">
        <v>23339.8</v>
      </c>
      <c r="F8" s="187" t="n">
        <v>0</v>
      </c>
      <c r="G8" s="187" t="n">
        <v>0</v>
      </c>
      <c r="H8" s="187" t="n">
        <v>0</v>
      </c>
      <c r="I8" s="195" t="n">
        <f aca="false">SUM(D8:H8)</f>
        <v>84872</v>
      </c>
      <c r="J8" s="187" t="n">
        <v>10478.1168</v>
      </c>
      <c r="K8" s="187" t="n">
        <v>1639.248656</v>
      </c>
      <c r="L8" s="187" t="n">
        <v>3861.676</v>
      </c>
      <c r="M8" s="195" t="n">
        <f aca="false">SUM(J8:L8)</f>
        <v>15979.041456</v>
      </c>
      <c r="N8" s="187" t="n">
        <v>3310.008</v>
      </c>
      <c r="O8" s="195" t="n">
        <f aca="false">I8-M8-N8</f>
        <v>65582.950544</v>
      </c>
      <c r="P8" s="187" t="n">
        <v>65582.950544</v>
      </c>
      <c r="Q8" s="187" t="n">
        <v>46818</v>
      </c>
      <c r="R8" s="187" t="n">
        <v>15360</v>
      </c>
      <c r="S8" s="195" t="n">
        <f aca="false">O8-Q8-R8</f>
        <v>3404.95054399999</v>
      </c>
      <c r="T8" s="187" t="n">
        <v>1702.475272</v>
      </c>
      <c r="U8" s="187" t="n">
        <v>1702.475272</v>
      </c>
      <c r="V8" s="187" t="n">
        <v>0</v>
      </c>
      <c r="W8" s="187" t="n">
        <v>0</v>
      </c>
      <c r="X8" s="187" t="n">
        <v>0</v>
      </c>
      <c r="Y8" s="187" t="n">
        <v>0</v>
      </c>
      <c r="Z8" s="187" t="n">
        <v>0</v>
      </c>
      <c r="AA8" s="187" t="n">
        <v>0</v>
      </c>
      <c r="AB8" s="187" t="n">
        <v>0</v>
      </c>
      <c r="AC8" s="187" t="n">
        <v>0</v>
      </c>
      <c r="AD8" s="187" t="n">
        <v>0</v>
      </c>
      <c r="AE8" s="187" t="n">
        <v>0</v>
      </c>
      <c r="AF8" s="187" t="n">
        <v>0</v>
      </c>
      <c r="AG8" s="187" t="n">
        <v>0</v>
      </c>
      <c r="AH8" s="187" t="n">
        <v>1519.62709802175</v>
      </c>
      <c r="AI8" s="187" t="n">
        <v>8998.912</v>
      </c>
      <c r="AJ8" s="187" t="n">
        <v>0</v>
      </c>
      <c r="AK8" s="187" t="n">
        <v>95191.9119748972</v>
      </c>
      <c r="AL8" s="195" t="n">
        <f aca="false">SUM(AE8:AK8)</f>
        <v>105710.451072919</v>
      </c>
      <c r="AM8" s="187" t="n">
        <v>105710.451072919</v>
      </c>
      <c r="AN8" s="187" t="n">
        <v>102314.637</v>
      </c>
      <c r="AO8" s="195" t="n">
        <f aca="false">O8-P8</f>
        <v>0</v>
      </c>
    </row>
    <row r="9" customFormat="false" ht="15" hidden="false" customHeight="false" outlineLevel="0" collapsed="false">
      <c r="A9" s="189" t="n">
        <v>2029</v>
      </c>
      <c r="B9" s="189" t="n">
        <v>40</v>
      </c>
      <c r="C9" s="189" t="s">
        <v>5537</v>
      </c>
      <c r="D9" s="187" t="n">
        <v>63378.166</v>
      </c>
      <c r="E9" s="187" t="n">
        <v>24039.994</v>
      </c>
      <c r="F9" s="187" t="n">
        <v>0</v>
      </c>
      <c r="G9" s="187" t="n">
        <v>0</v>
      </c>
      <c r="H9" s="187" t="n">
        <v>0</v>
      </c>
      <c r="I9" s="195" t="n">
        <f aca="false">SUM(D9:H9)</f>
        <v>87418.16</v>
      </c>
      <c r="J9" s="187" t="n">
        <v>10967.247504</v>
      </c>
      <c r="K9" s="187" t="n">
        <v>1695.16124912</v>
      </c>
      <c r="L9" s="187" t="n">
        <v>4108.65352</v>
      </c>
      <c r="M9" s="195" t="n">
        <f aca="false">SUM(J9:L9)</f>
        <v>16771.06227312</v>
      </c>
      <c r="N9" s="187" t="n">
        <v>3409.30824</v>
      </c>
      <c r="O9" s="195" t="n">
        <f aca="false">I9-M9-N9</f>
        <v>67237.78948688</v>
      </c>
      <c r="P9" s="187" t="n">
        <v>67237.78948688</v>
      </c>
      <c r="Q9" s="187" t="n">
        <v>47754.36</v>
      </c>
      <c r="R9" s="187" t="n">
        <v>14538.2565467148</v>
      </c>
      <c r="S9" s="195" t="n">
        <f aca="false">O9-Q9-R9</f>
        <v>4945.1729401652</v>
      </c>
      <c r="T9" s="187" t="n">
        <v>2472.5864700826</v>
      </c>
      <c r="U9" s="187" t="n">
        <v>2472.5864700826</v>
      </c>
      <c r="V9" s="187" t="n">
        <v>2706.39404846681</v>
      </c>
      <c r="W9" s="187" t="n">
        <v>2706.39404846681</v>
      </c>
      <c r="X9" s="187" t="n">
        <v>0</v>
      </c>
      <c r="Y9" s="187" t="n">
        <v>0</v>
      </c>
      <c r="Z9" s="187" t="n">
        <v>0</v>
      </c>
      <c r="AA9" s="187" t="n">
        <v>0</v>
      </c>
      <c r="AB9" s="187" t="n">
        <v>0</v>
      </c>
      <c r="AC9" s="187" t="n">
        <v>0</v>
      </c>
      <c r="AD9" s="187" t="n">
        <v>0</v>
      </c>
      <c r="AE9" s="187" t="n">
        <v>1498.38740087006</v>
      </c>
      <c r="AF9" s="187" t="n">
        <v>0</v>
      </c>
      <c r="AG9" s="187" t="n">
        <v>1028.59597155436</v>
      </c>
      <c r="AH9" s="187" t="n">
        <v>1550.01963998218</v>
      </c>
      <c r="AI9" s="187" t="n">
        <v>9358.86848</v>
      </c>
      <c r="AJ9" s="187" t="n">
        <v>13343.8432110485</v>
      </c>
      <c r="AK9" s="187" t="n">
        <v>83905.9015780705</v>
      </c>
      <c r="AL9" s="195" t="n">
        <f aca="false">SUM(AE9:AK9)</f>
        <v>110685.616281526</v>
      </c>
      <c r="AM9" s="187" t="n">
        <v>110685.616281526</v>
      </c>
      <c r="AN9" s="187" t="n">
        <v>113737.412145</v>
      </c>
      <c r="AO9" s="195" t="n">
        <f aca="false">O9-P9</f>
        <v>0</v>
      </c>
    </row>
    <row r="10" customFormat="false" ht="15" hidden="false" customHeight="false" outlineLevel="0" collapsed="false">
      <c r="A10" s="189" t="n">
        <v>2030</v>
      </c>
      <c r="B10" s="189" t="n">
        <v>41</v>
      </c>
      <c r="C10" s="189" t="s">
        <v>5537</v>
      </c>
      <c r="D10" s="187" t="n">
        <v>65279.51098</v>
      </c>
      <c r="E10" s="187" t="n">
        <v>24761.19382</v>
      </c>
      <c r="F10" s="187" t="n">
        <v>0</v>
      </c>
      <c r="G10" s="187" t="n">
        <v>0</v>
      </c>
      <c r="H10" s="187" t="n">
        <v>0</v>
      </c>
      <c r="I10" s="195" t="n">
        <f aca="false">SUM(D10:H10)</f>
        <v>90040.7048</v>
      </c>
      <c r="J10" s="187" t="n">
        <v>11474.54787312</v>
      </c>
      <c r="K10" s="187" t="n">
        <v>1752.8859227024</v>
      </c>
      <c r="L10" s="187" t="n">
        <v>4231.9131256</v>
      </c>
      <c r="M10" s="195" t="n">
        <f aca="false">SUM(J10:L10)</f>
        <v>17459.3469214224</v>
      </c>
      <c r="N10" s="187" t="n">
        <v>3511.5874872</v>
      </c>
      <c r="O10" s="195" t="n">
        <f aca="false">I10-M10-N10</f>
        <v>69069.7703913776</v>
      </c>
      <c r="P10" s="187" t="n">
        <v>69069.7703913776</v>
      </c>
      <c r="Q10" s="187" t="n">
        <v>48709.4472</v>
      </c>
      <c r="R10" s="187" t="n">
        <v>14160</v>
      </c>
      <c r="S10" s="195" t="n">
        <f aca="false">O10-Q10-R10</f>
        <v>6200.3231913776</v>
      </c>
      <c r="T10" s="187" t="n">
        <v>3100.1615956888</v>
      </c>
      <c r="U10" s="187" t="n">
        <v>3100.1615956888</v>
      </c>
      <c r="V10" s="187" t="n">
        <v>12989.18592</v>
      </c>
      <c r="W10" s="187" t="n">
        <v>0</v>
      </c>
      <c r="X10" s="187" t="n">
        <v>0</v>
      </c>
      <c r="Y10" s="187" t="n">
        <v>0</v>
      </c>
      <c r="Z10" s="187" t="n">
        <v>0</v>
      </c>
      <c r="AA10" s="187" t="n">
        <v>0</v>
      </c>
      <c r="AB10" s="187" t="n">
        <v>0</v>
      </c>
      <c r="AC10" s="187" t="n">
        <v>0</v>
      </c>
      <c r="AD10" s="187" t="n">
        <v>0</v>
      </c>
      <c r="AE10" s="187" t="n">
        <v>3392.06920186617</v>
      </c>
      <c r="AF10" s="187" t="n">
        <v>0</v>
      </c>
      <c r="AG10" s="187" t="n">
        <v>2359.40703422308</v>
      </c>
      <c r="AH10" s="187" t="n">
        <v>1581.02003278182</v>
      </c>
      <c r="AI10" s="187" t="n">
        <v>9733.2232192</v>
      </c>
      <c r="AJ10" s="187" t="n">
        <v>13477.281643159</v>
      </c>
      <c r="AK10" s="187" t="n">
        <v>72760.5502651803</v>
      </c>
      <c r="AL10" s="195" t="n">
        <f aca="false">SUM(AE10:AK10)</f>
        <v>103303.55139641</v>
      </c>
      <c r="AM10" s="187" t="n">
        <v>103303.55139641</v>
      </c>
      <c r="AN10" s="187" t="n">
        <v>125878.770665925</v>
      </c>
      <c r="AO10" s="195" t="n">
        <f aca="false">O10-P10</f>
        <v>0</v>
      </c>
    </row>
    <row r="11" customFormat="false" ht="15" hidden="false" customHeight="false" outlineLevel="0" collapsed="false">
      <c r="A11" s="189" t="n">
        <v>2031</v>
      </c>
      <c r="B11" s="189" t="n">
        <v>42</v>
      </c>
      <c r="C11" s="189" t="s">
        <v>5537</v>
      </c>
      <c r="D11" s="187" t="n">
        <v>67237.8963094</v>
      </c>
      <c r="E11" s="187" t="n">
        <v>25504.0296346</v>
      </c>
      <c r="F11" s="187" t="n">
        <v>0</v>
      </c>
      <c r="G11" s="187" t="n">
        <v>0</v>
      </c>
      <c r="H11" s="187" t="n">
        <v>0</v>
      </c>
      <c r="I11" s="195" t="n">
        <f aca="false">SUM(D11:H11)</f>
        <v>92741.925944</v>
      </c>
      <c r="J11" s="187" t="n">
        <v>12000.6329121936</v>
      </c>
      <c r="K11" s="187" t="n">
        <v>1812.47973321445</v>
      </c>
      <c r="L11" s="187" t="n">
        <v>4358.870519368</v>
      </c>
      <c r="M11" s="195" t="n">
        <f aca="false">SUM(J11:L11)</f>
        <v>18171.983164776</v>
      </c>
      <c r="N11" s="187" t="n">
        <v>3616.935111816</v>
      </c>
      <c r="O11" s="195" t="n">
        <f aca="false">I11-M11-N11</f>
        <v>70953.007667408</v>
      </c>
      <c r="P11" s="187" t="n">
        <v>70953.007667408</v>
      </c>
      <c r="Q11" s="187" t="n">
        <v>49683.636144</v>
      </c>
      <c r="R11" s="187" t="n">
        <v>14160</v>
      </c>
      <c r="S11" s="195" t="n">
        <f aca="false">O11-Q11-R11</f>
        <v>7109.37152340797</v>
      </c>
      <c r="T11" s="187" t="n">
        <v>3554.68576170398</v>
      </c>
      <c r="U11" s="187" t="n">
        <v>3554.68576170398</v>
      </c>
      <c r="V11" s="187" t="n">
        <v>0</v>
      </c>
      <c r="W11" s="187" t="n">
        <v>0</v>
      </c>
      <c r="X11" s="187" t="n">
        <v>0</v>
      </c>
      <c r="Y11" s="187" t="n">
        <v>0</v>
      </c>
      <c r="Z11" s="187" t="n">
        <v>0</v>
      </c>
      <c r="AA11" s="187" t="n">
        <v>0</v>
      </c>
      <c r="AB11" s="187" t="n">
        <v>0</v>
      </c>
      <c r="AC11" s="187" t="n">
        <v>0</v>
      </c>
      <c r="AD11" s="187" t="n">
        <v>0</v>
      </c>
      <c r="AE11" s="187" t="n">
        <v>5580.12946547744</v>
      </c>
      <c r="AF11" s="187" t="n">
        <v>0</v>
      </c>
      <c r="AG11" s="187" t="n">
        <v>3932.53259246086</v>
      </c>
      <c r="AH11" s="187" t="n">
        <v>1612.64043343746</v>
      </c>
      <c r="AI11" s="187" t="n">
        <v>10122.552147968</v>
      </c>
      <c r="AJ11" s="187" t="n">
        <v>13612.0544595906</v>
      </c>
      <c r="AK11" s="187" t="n">
        <v>74652.324572075</v>
      </c>
      <c r="AL11" s="195" t="n">
        <f aca="false">SUM(AE11:AK11)</f>
        <v>109512.233671009</v>
      </c>
      <c r="AM11" s="187" t="n">
        <v>109512.233671009</v>
      </c>
      <c r="AN11" s="187" t="n">
        <v>138777.185569524</v>
      </c>
      <c r="AO11" s="195" t="n">
        <f aca="false">O11-P11</f>
        <v>0</v>
      </c>
    </row>
    <row r="12" customFormat="false" ht="15" hidden="false" customHeight="false" outlineLevel="0" collapsed="false">
      <c r="A12" s="189" t="n">
        <v>2032</v>
      </c>
      <c r="B12" s="189" t="n">
        <v>43</v>
      </c>
      <c r="C12" s="189" t="s">
        <v>5537</v>
      </c>
      <c r="D12" s="187" t="n">
        <v>69255.033198682</v>
      </c>
      <c r="E12" s="187" t="n">
        <v>26269.150523638</v>
      </c>
      <c r="F12" s="187" t="n">
        <v>0</v>
      </c>
      <c r="G12" s="187" t="n">
        <v>0</v>
      </c>
      <c r="H12" s="187" t="n">
        <v>0</v>
      </c>
      <c r="I12" s="195" t="n">
        <f aca="false">SUM(D12:H12)</f>
        <v>95524.18372232</v>
      </c>
      <c r="J12" s="187" t="n">
        <v>12546.137474497</v>
      </c>
      <c r="K12" s="187" t="n">
        <v>1874.00150269848</v>
      </c>
      <c r="L12" s="187" t="n">
        <v>4489.63663494904</v>
      </c>
      <c r="M12" s="195" t="n">
        <f aca="false">SUM(J12:L12)</f>
        <v>18909.7756121445</v>
      </c>
      <c r="N12" s="187" t="n">
        <v>3725.44316517048</v>
      </c>
      <c r="O12" s="195" t="n">
        <f aca="false">I12-M12-N12</f>
        <v>72888.964945005</v>
      </c>
      <c r="P12" s="187" t="n">
        <v>72888.964945005</v>
      </c>
      <c r="Q12" s="187" t="n">
        <v>50677.30886688</v>
      </c>
      <c r="R12" s="187" t="n">
        <v>14160</v>
      </c>
      <c r="S12" s="195" t="n">
        <f aca="false">O12-Q12-R12</f>
        <v>8051.65607812501</v>
      </c>
      <c r="T12" s="187" t="n">
        <v>4025.8280390625</v>
      </c>
      <c r="U12" s="187" t="n">
        <v>4025.8280390625</v>
      </c>
      <c r="V12" s="187" t="n">
        <v>0</v>
      </c>
      <c r="W12" s="187" t="n">
        <v>0</v>
      </c>
      <c r="X12" s="187" t="n">
        <v>0</v>
      </c>
      <c r="Y12" s="187" t="n">
        <v>0</v>
      </c>
      <c r="Z12" s="187" t="n">
        <v>0</v>
      </c>
      <c r="AA12" s="187" t="n">
        <v>0</v>
      </c>
      <c r="AB12" s="187" t="n">
        <v>0</v>
      </c>
      <c r="AC12" s="187" t="n">
        <v>0</v>
      </c>
      <c r="AD12" s="187" t="n">
        <v>0</v>
      </c>
      <c r="AE12" s="187" t="n">
        <v>8075.58255180409</v>
      </c>
      <c r="AF12" s="187" t="n">
        <v>0</v>
      </c>
      <c r="AG12" s="187" t="n">
        <v>5764.57836040929</v>
      </c>
      <c r="AH12" s="187" t="n">
        <v>1644.89324210621</v>
      </c>
      <c r="AI12" s="187" t="n">
        <v>10527.4542338867</v>
      </c>
      <c r="AJ12" s="187" t="n">
        <v>13748.1750041865</v>
      </c>
      <c r="AK12" s="187" t="n">
        <v>76593.2850109489</v>
      </c>
      <c r="AL12" s="195" t="n">
        <f aca="false">SUM(AE12:AK12)</f>
        <v>116353.968403342</v>
      </c>
      <c r="AM12" s="187" t="n">
        <v>116353.968403342</v>
      </c>
      <c r="AN12" s="187" t="n">
        <v>152473.045250493</v>
      </c>
      <c r="AO12" s="195" t="n">
        <f aca="false">O12-P12</f>
        <v>0</v>
      </c>
    </row>
    <row r="13" customFormat="false" ht="15" hidden="false" customHeight="false" outlineLevel="0" collapsed="false">
      <c r="A13" s="189" t="n">
        <v>2033</v>
      </c>
      <c r="B13" s="189" t="n">
        <v>44</v>
      </c>
      <c r="C13" s="189" t="s">
        <v>5537</v>
      </c>
      <c r="D13" s="187" t="n">
        <v>71332.6841946425</v>
      </c>
      <c r="E13" s="187" t="n">
        <v>27057.2250393471</v>
      </c>
      <c r="F13" s="187" t="n">
        <v>0</v>
      </c>
      <c r="G13" s="187" t="n">
        <v>0</v>
      </c>
      <c r="H13" s="187" t="n">
        <v>0</v>
      </c>
      <c r="I13" s="195" t="n">
        <f aca="false">SUM(D13:H13)</f>
        <v>98389.9092339896</v>
      </c>
      <c r="J13" s="187" t="n">
        <v>13111.7168851683</v>
      </c>
      <c r="K13" s="187" t="n">
        <v>1937.51187281678</v>
      </c>
      <c r="L13" s="187" t="n">
        <v>4624.32573399751</v>
      </c>
      <c r="M13" s="195" t="n">
        <f aca="false">SUM(J13:L13)</f>
        <v>19673.5544919826</v>
      </c>
      <c r="N13" s="187" t="n">
        <v>3837.2064601256</v>
      </c>
      <c r="O13" s="195" t="n">
        <f aca="false">I13-M13-N13</f>
        <v>74879.1482818814</v>
      </c>
      <c r="P13" s="187" t="n">
        <v>74879.1482818815</v>
      </c>
      <c r="Q13" s="187" t="n">
        <v>51690.8550442176</v>
      </c>
      <c r="R13" s="187" t="n">
        <v>14160</v>
      </c>
      <c r="S13" s="195" t="n">
        <f aca="false">O13-Q13-R13</f>
        <v>9028.29323766383</v>
      </c>
      <c r="T13" s="187" t="n">
        <v>4514.14661883193</v>
      </c>
      <c r="U13" s="187" t="n">
        <v>4514.14661883193</v>
      </c>
      <c r="V13" s="187" t="n">
        <v>0</v>
      </c>
      <c r="W13" s="187" t="n">
        <v>0</v>
      </c>
      <c r="X13" s="187" t="n">
        <v>0</v>
      </c>
      <c r="Y13" s="187" t="n">
        <v>0</v>
      </c>
      <c r="Z13" s="187" t="n">
        <v>0</v>
      </c>
      <c r="AA13" s="187" t="n">
        <v>0</v>
      </c>
      <c r="AB13" s="187" t="n">
        <v>0</v>
      </c>
      <c r="AC13" s="187" t="n">
        <v>0</v>
      </c>
      <c r="AD13" s="187" t="n">
        <v>0</v>
      </c>
      <c r="AE13" s="187" t="n">
        <v>10891.9112283343</v>
      </c>
      <c r="AF13" s="187" t="n">
        <v>0</v>
      </c>
      <c r="AG13" s="187" t="n">
        <v>7873.04648825974</v>
      </c>
      <c r="AH13" s="187" t="n">
        <v>1677.79110694833</v>
      </c>
      <c r="AI13" s="187" t="n">
        <v>10948.5524032422</v>
      </c>
      <c r="AJ13" s="187" t="n">
        <v>13885.6567542284</v>
      </c>
      <c r="AK13" s="187" t="n">
        <v>78584.7104212336</v>
      </c>
      <c r="AL13" s="195" t="n">
        <f aca="false">SUM(AE13:AK13)</f>
        <v>123861.668402247</v>
      </c>
      <c r="AM13" s="187" t="n">
        <v>123861.668402247</v>
      </c>
      <c r="AN13" s="187" t="n">
        <v>167008.745207016</v>
      </c>
      <c r="AO13" s="195" t="n">
        <f aca="false">O13-P13</f>
        <v>0</v>
      </c>
    </row>
    <row r="14" customFormat="false" ht="15" hidden="false" customHeight="false" outlineLevel="0" collapsed="false">
      <c r="A14" s="189" t="n">
        <v>2034</v>
      </c>
      <c r="B14" s="189" t="n">
        <v>45</v>
      </c>
      <c r="C14" s="189" t="s">
        <v>5537</v>
      </c>
      <c r="D14" s="187" t="n">
        <v>73472.6647204818</v>
      </c>
      <c r="E14" s="187" t="n">
        <v>27868.9417905276</v>
      </c>
      <c r="F14" s="187" t="n">
        <v>0</v>
      </c>
      <c r="G14" s="187" t="n">
        <v>0</v>
      </c>
      <c r="H14" s="187" t="n">
        <v>0</v>
      </c>
      <c r="I14" s="195" t="n">
        <f aca="false">SUM(D14:H14)</f>
        <v>101341.606511009</v>
      </c>
      <c r="J14" s="187" t="n">
        <v>13698.0475838884</v>
      </c>
      <c r="K14" s="187" t="n">
        <v>2003.07336053938</v>
      </c>
      <c r="L14" s="187" t="n">
        <v>4763.05550601744</v>
      </c>
      <c r="M14" s="195" t="n">
        <f aca="false">SUM(J14:L14)</f>
        <v>20464.1764504452</v>
      </c>
      <c r="N14" s="187" t="n">
        <v>3952.32265392936</v>
      </c>
      <c r="O14" s="195" t="n">
        <f aca="false">I14-M14-N14</f>
        <v>76925.1074066347</v>
      </c>
      <c r="P14" s="187" t="n">
        <v>76925.1074066347</v>
      </c>
      <c r="Q14" s="187" t="n">
        <v>52724.672145102</v>
      </c>
      <c r="R14" s="187" t="n">
        <v>14160</v>
      </c>
      <c r="S14" s="195" t="n">
        <f aca="false">O14-Q14-R14</f>
        <v>10040.4352615328</v>
      </c>
      <c r="T14" s="187" t="n">
        <v>5020.21763076639</v>
      </c>
      <c r="U14" s="187" t="n">
        <v>5020.21763076639</v>
      </c>
      <c r="V14" s="187" t="n">
        <v>0</v>
      </c>
      <c r="W14" s="187" t="n">
        <v>0</v>
      </c>
      <c r="X14" s="187" t="n">
        <v>0</v>
      </c>
      <c r="Y14" s="187" t="n">
        <v>0</v>
      </c>
      <c r="Z14" s="187" t="n">
        <v>0</v>
      </c>
      <c r="AA14" s="187" t="n">
        <v>0</v>
      </c>
      <c r="AB14" s="187" t="n">
        <v>0</v>
      </c>
      <c r="AC14" s="187" t="n">
        <v>0</v>
      </c>
      <c r="AD14" s="187" t="n">
        <v>0</v>
      </c>
      <c r="AE14" s="187" t="n">
        <v>14043.0822248621</v>
      </c>
      <c r="AF14" s="187" t="n">
        <v>0</v>
      </c>
      <c r="AG14" s="187" t="n">
        <v>10276.378882189</v>
      </c>
      <c r="AH14" s="187" t="n">
        <v>1711.3469290873</v>
      </c>
      <c r="AI14" s="187" t="n">
        <v>11386.4944993719</v>
      </c>
      <c r="AJ14" s="187" t="n">
        <v>14024.5133217707</v>
      </c>
      <c r="AK14" s="187" t="n">
        <v>80627.9128921857</v>
      </c>
      <c r="AL14" s="195" t="n">
        <f aca="false">SUM(AE14:AK14)</f>
        <v>132069.728749467</v>
      </c>
      <c r="AM14" s="187" t="n">
        <v>132069.728749467</v>
      </c>
      <c r="AN14" s="187" t="n">
        <v>182428.784049191</v>
      </c>
      <c r="AO14" s="195" t="n">
        <f aca="false">O14-P14</f>
        <v>0</v>
      </c>
    </row>
    <row r="15" customFormat="false" ht="15" hidden="false" customHeight="false" outlineLevel="0" collapsed="false">
      <c r="A15" s="189" t="n">
        <v>2035</v>
      </c>
      <c r="B15" s="189" t="n">
        <v>46</v>
      </c>
      <c r="C15" s="189" t="s">
        <v>5537</v>
      </c>
      <c r="D15" s="187" t="n">
        <v>75676.8446620962</v>
      </c>
      <c r="E15" s="187" t="n">
        <v>28705.0100442434</v>
      </c>
      <c r="F15" s="187" t="n">
        <v>0</v>
      </c>
      <c r="G15" s="187" t="n">
        <v>0</v>
      </c>
      <c r="H15" s="187" t="n">
        <v>0</v>
      </c>
      <c r="I15" s="195" t="n">
        <f aca="false">SUM(D15:H15)</f>
        <v>104381.85470634</v>
      </c>
      <c r="J15" s="187" t="n">
        <v>14305.8277874134</v>
      </c>
      <c r="K15" s="187" t="n">
        <v>2070.75041552442</v>
      </c>
      <c r="L15" s="187" t="n">
        <v>4905.94717119796</v>
      </c>
      <c r="M15" s="195" t="n">
        <f aca="false">SUM(J15:L15)</f>
        <v>21282.5253741358</v>
      </c>
      <c r="N15" s="187" t="n">
        <v>4070.89233354724</v>
      </c>
      <c r="O15" s="195" t="n">
        <f aca="false">I15-M15-N15</f>
        <v>79028.4369986565</v>
      </c>
      <c r="P15" s="187" t="n">
        <v>79028.4369986565</v>
      </c>
      <c r="Q15" s="187" t="n">
        <v>53779.165588004</v>
      </c>
      <c r="R15" s="187" t="n">
        <v>14160</v>
      </c>
      <c r="S15" s="195" t="n">
        <f aca="false">O15-Q15-R15</f>
        <v>11089.2714106525</v>
      </c>
      <c r="T15" s="187" t="n">
        <v>5544.63570532627</v>
      </c>
      <c r="U15" s="187" t="n">
        <v>5544.63570532627</v>
      </c>
      <c r="V15" s="187" t="n">
        <v>0</v>
      </c>
      <c r="W15" s="187" t="n">
        <v>0</v>
      </c>
      <c r="X15" s="187" t="n">
        <v>0</v>
      </c>
      <c r="Y15" s="187" t="n">
        <v>0</v>
      </c>
      <c r="Z15" s="187" t="n">
        <v>0</v>
      </c>
      <c r="AA15" s="187" t="n">
        <v>0</v>
      </c>
      <c r="AB15" s="187" t="n">
        <v>0</v>
      </c>
      <c r="AC15" s="187" t="n">
        <v>0</v>
      </c>
      <c r="AD15" s="187" t="n">
        <v>0</v>
      </c>
      <c r="AE15" s="187" t="n">
        <v>17543.5622845384</v>
      </c>
      <c r="AF15" s="187" t="n">
        <v>0</v>
      </c>
      <c r="AG15" s="187" t="n">
        <v>12994.0024908922</v>
      </c>
      <c r="AH15" s="187" t="n">
        <v>1745.57386766905</v>
      </c>
      <c r="AI15" s="187" t="n">
        <v>11841.9542793468</v>
      </c>
      <c r="AJ15" s="187" t="n">
        <v>14164.7584549884</v>
      </c>
      <c r="AK15" s="187" t="n">
        <v>82724.2386273825</v>
      </c>
      <c r="AL15" s="195" t="n">
        <f aca="false">SUM(AE15:AK15)</f>
        <v>141014.090004817</v>
      </c>
      <c r="AM15" s="187" t="n">
        <v>141014.090004817</v>
      </c>
      <c r="AN15" s="187" t="n">
        <v>198779.863998499</v>
      </c>
      <c r="AO15" s="195" t="n">
        <f aca="false">O15-P15</f>
        <v>0</v>
      </c>
    </row>
    <row r="16" customFormat="false" ht="15" hidden="false" customHeight="false" outlineLevel="0" collapsed="false">
      <c r="A16" s="189" t="n">
        <v>2036</v>
      </c>
      <c r="B16" s="189" t="n">
        <v>47</v>
      </c>
      <c r="C16" s="189" t="s">
        <v>5537</v>
      </c>
      <c r="D16" s="187" t="n">
        <v>77947.1500019591</v>
      </c>
      <c r="E16" s="187" t="n">
        <v>29566.1603455707</v>
      </c>
      <c r="F16" s="187" t="n">
        <v>0</v>
      </c>
      <c r="G16" s="187" t="n">
        <v>0</v>
      </c>
      <c r="H16" s="187" t="n">
        <v>0</v>
      </c>
      <c r="I16" s="195" t="n">
        <f aca="false">SUM(D16:H16)</f>
        <v>107513.31034753</v>
      </c>
      <c r="J16" s="187" t="n">
        <v>14935.7781725644</v>
      </c>
      <c r="K16" s="187" t="n">
        <v>2140.60947924238</v>
      </c>
      <c r="L16" s="187" t="n">
        <v>5053.1255863339</v>
      </c>
      <c r="M16" s="195" t="n">
        <f aca="false">SUM(J16:L16)</f>
        <v>22129.5132381407</v>
      </c>
      <c r="N16" s="187" t="n">
        <v>4193.01910355366</v>
      </c>
      <c r="O16" s="195" t="n">
        <f aca="false">I16-M16-N16</f>
        <v>81190.7780058355</v>
      </c>
      <c r="P16" s="187" t="n">
        <v>81190.7780058355</v>
      </c>
      <c r="Q16" s="187" t="n">
        <v>54854.7488997641</v>
      </c>
      <c r="R16" s="187" t="n">
        <v>14160</v>
      </c>
      <c r="S16" s="195" t="n">
        <f aca="false">O16-Q16-R16</f>
        <v>12176.0291060714</v>
      </c>
      <c r="T16" s="187" t="n">
        <v>6088.01455303569</v>
      </c>
      <c r="U16" s="187" t="n">
        <v>6088.01455303569</v>
      </c>
      <c r="V16" s="187" t="n">
        <v>0</v>
      </c>
      <c r="W16" s="187" t="n">
        <v>0</v>
      </c>
      <c r="X16" s="187" t="n">
        <v>0</v>
      </c>
      <c r="Y16" s="187" t="n">
        <v>0</v>
      </c>
      <c r="Z16" s="187" t="n">
        <v>0</v>
      </c>
      <c r="AA16" s="187" t="n">
        <v>0</v>
      </c>
      <c r="AB16" s="187" t="n">
        <v>0</v>
      </c>
      <c r="AC16" s="187" t="n">
        <v>0</v>
      </c>
      <c r="AD16" s="187" t="n">
        <v>138.520464793138</v>
      </c>
      <c r="AE16" s="187" t="n">
        <v>21408.3347265234</v>
      </c>
      <c r="AF16" s="187" t="n">
        <v>0</v>
      </c>
      <c r="AG16" s="187" t="n">
        <v>15907.8561797976</v>
      </c>
      <c r="AH16" s="187" t="n">
        <v>1780.48534502243</v>
      </c>
      <c r="AI16" s="187" t="n">
        <v>12315.6324505206</v>
      </c>
      <c r="AJ16" s="187" t="n">
        <v>14306.4060395383</v>
      </c>
      <c r="AK16" s="187" t="n">
        <v>84875.0688316945</v>
      </c>
      <c r="AL16" s="195" t="n">
        <f aca="false">SUM(AE16:AK16)</f>
        <v>150593.783573097</v>
      </c>
      <c r="AM16" s="187" t="n">
        <v>150593.783573097</v>
      </c>
      <c r="AN16" s="187" t="n">
        <v>216110.996085539</v>
      </c>
      <c r="AO16" s="195" t="n">
        <f aca="false">O16-P16</f>
        <v>0</v>
      </c>
    </row>
    <row r="17" customFormat="false" ht="15" hidden="false" customHeight="false" outlineLevel="0" collapsed="false">
      <c r="A17" s="189" t="n">
        <v>2037</v>
      </c>
      <c r="B17" s="189" t="n">
        <v>48</v>
      </c>
      <c r="C17" s="189" t="s">
        <v>5537</v>
      </c>
      <c r="D17" s="187" t="n">
        <v>80285.5645020179</v>
      </c>
      <c r="E17" s="187" t="n">
        <v>30453.1451559378</v>
      </c>
      <c r="F17" s="187" t="n">
        <v>0</v>
      </c>
      <c r="G17" s="187" t="n">
        <v>0</v>
      </c>
      <c r="H17" s="187" t="n">
        <v>0</v>
      </c>
      <c r="I17" s="195" t="n">
        <f aca="false">SUM(D17:H17)</f>
        <v>110738.709657956</v>
      </c>
      <c r="J17" s="187" t="n">
        <v>15588.6425803004</v>
      </c>
      <c r="K17" s="187" t="n">
        <v>2212.71904589693</v>
      </c>
      <c r="L17" s="187" t="n">
        <v>5204.71935392392</v>
      </c>
      <c r="M17" s="195" t="n">
        <f aca="false">SUM(J17:L17)</f>
        <v>23006.0809801213</v>
      </c>
      <c r="N17" s="187" t="n">
        <v>4318.80967666027</v>
      </c>
      <c r="O17" s="195" t="n">
        <f aca="false">I17-M17-N17</f>
        <v>83413.8190011741</v>
      </c>
      <c r="P17" s="187" t="n">
        <v>83413.8190011741</v>
      </c>
      <c r="Q17" s="187" t="n">
        <v>55951.8438777594</v>
      </c>
      <c r="R17" s="187" t="n">
        <v>14160</v>
      </c>
      <c r="S17" s="195" t="n">
        <f aca="false">O17-Q17-R17</f>
        <v>13301.9751234148</v>
      </c>
      <c r="T17" s="187" t="n">
        <v>6650.98756170738</v>
      </c>
      <c r="U17" s="187" t="n">
        <v>6650.98756170738</v>
      </c>
      <c r="V17" s="187" t="n">
        <v>62168.7154197326</v>
      </c>
      <c r="W17" s="187" t="n">
        <v>0</v>
      </c>
      <c r="X17" s="187" t="n">
        <v>0</v>
      </c>
      <c r="Y17" s="187" t="n">
        <v>0</v>
      </c>
      <c r="Z17" s="187" t="n">
        <v>0</v>
      </c>
      <c r="AA17" s="187" t="n">
        <v>0</v>
      </c>
      <c r="AB17" s="187" t="n">
        <v>0</v>
      </c>
      <c r="AC17" s="187" t="n">
        <v>0</v>
      </c>
      <c r="AD17" s="187" t="n">
        <v>173.67878954474</v>
      </c>
      <c r="AE17" s="187" t="n">
        <v>25652.9165361833</v>
      </c>
      <c r="AF17" s="187" t="n">
        <v>0</v>
      </c>
      <c r="AG17" s="187" t="n">
        <v>19137.3024631151</v>
      </c>
      <c r="AH17" s="187" t="n">
        <v>1816.09505192288</v>
      </c>
      <c r="AI17" s="187" t="n">
        <v>12808.2577485415</v>
      </c>
      <c r="AJ17" s="187" t="n">
        <v>14449.4700999336</v>
      </c>
      <c r="AK17" s="187" t="n">
        <v>23296.7186006728</v>
      </c>
      <c r="AL17" s="195" t="n">
        <f aca="false">SUM(AE17:AK17)</f>
        <v>97160.7605003692</v>
      </c>
      <c r="AM17" s="187" t="n">
        <v>97160.7605003692</v>
      </c>
      <c r="AN17" s="187" t="n">
        <v>234473.610262709</v>
      </c>
      <c r="AO17" s="195" t="n">
        <f aca="false">O17-P17</f>
        <v>0</v>
      </c>
    </row>
    <row r="18" customFormat="false" ht="15" hidden="false" customHeight="false" outlineLevel="0" collapsed="false">
      <c r="A18" s="189" t="n">
        <v>2038</v>
      </c>
      <c r="B18" s="189" t="n">
        <v>49</v>
      </c>
      <c r="C18" s="189" t="s">
        <v>5537</v>
      </c>
      <c r="D18" s="187" t="n">
        <v>82694.1314370784</v>
      </c>
      <c r="E18" s="187" t="n">
        <v>31366.739510616</v>
      </c>
      <c r="F18" s="187" t="n">
        <v>0</v>
      </c>
      <c r="G18" s="187" t="n">
        <v>0</v>
      </c>
      <c r="H18" s="187" t="n">
        <v>0</v>
      </c>
      <c r="I18" s="195" t="n">
        <f aca="false">SUM(D18:H18)</f>
        <v>114060.870947694</v>
      </c>
      <c r="J18" s="187" t="n">
        <v>16265.1887415198</v>
      </c>
      <c r="K18" s="187" t="n">
        <v>2287.14972519666</v>
      </c>
      <c r="L18" s="187" t="n">
        <v>5360.86093454163</v>
      </c>
      <c r="M18" s="195" t="n">
        <f aca="false">SUM(J18:L18)</f>
        <v>23913.199401258</v>
      </c>
      <c r="N18" s="187" t="n">
        <v>4448.37396696008</v>
      </c>
      <c r="O18" s="195" t="n">
        <f aca="false">I18-M18-N18</f>
        <v>85699.2975794762</v>
      </c>
      <c r="P18" s="187" t="n">
        <v>85699.2975794762</v>
      </c>
      <c r="Q18" s="187" t="n">
        <v>57070.8807553146</v>
      </c>
      <c r="R18" s="187" t="n">
        <v>14160</v>
      </c>
      <c r="S18" s="195" t="n">
        <f aca="false">O18-Q18-R18</f>
        <v>14468.4168241617</v>
      </c>
      <c r="T18" s="187" t="n">
        <v>7234.20841208084</v>
      </c>
      <c r="U18" s="187" t="n">
        <v>7234.20841208084</v>
      </c>
      <c r="V18" s="187" t="n">
        <v>0</v>
      </c>
      <c r="W18" s="187" t="n">
        <v>0</v>
      </c>
      <c r="X18" s="187" t="n">
        <v>0</v>
      </c>
      <c r="Y18" s="187" t="n">
        <v>0</v>
      </c>
      <c r="Z18" s="187" t="n">
        <v>0</v>
      </c>
      <c r="AA18" s="187" t="n">
        <v>0</v>
      </c>
      <c r="AB18" s="187" t="n">
        <v>0</v>
      </c>
      <c r="AC18" s="187" t="n">
        <v>0</v>
      </c>
      <c r="AD18" s="187" t="n">
        <v>199.142367663418</v>
      </c>
      <c r="AE18" s="187" t="n">
        <v>30293.3759992661</v>
      </c>
      <c r="AF18" s="187" t="n">
        <v>0</v>
      </c>
      <c r="AG18" s="187" t="n">
        <v>22713.0828934019</v>
      </c>
      <c r="AH18" s="187" t="n">
        <v>1852.41695296133</v>
      </c>
      <c r="AI18" s="187" t="n">
        <v>13320.5880584831</v>
      </c>
      <c r="AJ18" s="187" t="n">
        <v>14593.964800933</v>
      </c>
      <c r="AK18" s="187" t="n">
        <v>23902.4332842903</v>
      </c>
      <c r="AL18" s="195" t="n">
        <f aca="false">SUM(AE18:AK18)</f>
        <v>106675.861989336</v>
      </c>
      <c r="AM18" s="187" t="n">
        <v>106675.861989336</v>
      </c>
      <c r="AN18" s="187" t="n">
        <v>253921.670658451</v>
      </c>
      <c r="AO18" s="195" t="n">
        <f aca="false">O18-P18</f>
        <v>0</v>
      </c>
    </row>
    <row r="19" customFormat="false" ht="15" hidden="false" customHeight="false" outlineLevel="0" collapsed="false">
      <c r="A19" s="189" t="n">
        <v>2039</v>
      </c>
      <c r="B19" s="189" t="n">
        <v>50</v>
      </c>
      <c r="C19" s="189" t="s">
        <v>5537</v>
      </c>
      <c r="D19" s="187" t="n">
        <v>85174.9553801908</v>
      </c>
      <c r="E19" s="187" t="n">
        <v>32307.7416959344</v>
      </c>
      <c r="F19" s="187" t="n">
        <v>0</v>
      </c>
      <c r="G19" s="187" t="n">
        <v>0</v>
      </c>
      <c r="H19" s="187" t="n">
        <v>0</v>
      </c>
      <c r="I19" s="195" t="n">
        <f aca="false">SUM(D19:H19)</f>
        <v>117482.697076125</v>
      </c>
      <c r="J19" s="187" t="n">
        <v>16966.2090252519</v>
      </c>
      <c r="K19" s="187" t="n">
        <v>2363.97430703384</v>
      </c>
      <c r="L19" s="187" t="n">
        <v>5521.68676257788</v>
      </c>
      <c r="M19" s="195" t="n">
        <f aca="false">SUM(J19:L19)</f>
        <v>24851.8700948636</v>
      </c>
      <c r="N19" s="187" t="n">
        <v>4581.82518596888</v>
      </c>
      <c r="O19" s="195" t="n">
        <f aca="false">I19-M19-N19</f>
        <v>88049.0017952927</v>
      </c>
      <c r="P19" s="187" t="n">
        <v>88049.0017952927</v>
      </c>
      <c r="Q19" s="187" t="n">
        <v>58212.2983704209</v>
      </c>
      <c r="R19" s="187" t="n">
        <v>14160</v>
      </c>
      <c r="S19" s="195" t="n">
        <f aca="false">O19-Q19-R19</f>
        <v>15676.7034248719</v>
      </c>
      <c r="T19" s="187" t="n">
        <v>7761.63978272278</v>
      </c>
      <c r="U19" s="187" t="n">
        <v>7915.06364214909</v>
      </c>
      <c r="V19" s="187" t="n">
        <v>0</v>
      </c>
      <c r="W19" s="187" t="n">
        <v>0</v>
      </c>
      <c r="X19" s="187" t="n">
        <v>0</v>
      </c>
      <c r="Y19" s="187" t="n">
        <v>0</v>
      </c>
      <c r="Z19" s="187" t="n">
        <v>0</v>
      </c>
      <c r="AA19" s="187" t="n">
        <v>0</v>
      </c>
      <c r="AB19" s="187" t="n">
        <v>0</v>
      </c>
      <c r="AC19" s="187" t="n">
        <v>0</v>
      </c>
      <c r="AD19" s="187" t="n">
        <v>225.536933852733</v>
      </c>
      <c r="AE19" s="187" t="n">
        <v>35299.8634675888</v>
      </c>
      <c r="AF19" s="187" t="n">
        <v>0</v>
      </c>
      <c r="AG19" s="187" t="n">
        <v>26624.9114248979</v>
      </c>
      <c r="AH19" s="187" t="n">
        <v>1889.46529202056</v>
      </c>
      <c r="AI19" s="187" t="n">
        <v>13853.4115808224</v>
      </c>
      <c r="AJ19" s="187" t="n">
        <v>14739.9044489423</v>
      </c>
      <c r="AK19" s="187" t="n">
        <v>24523.8965496819</v>
      </c>
      <c r="AL19" s="195" t="n">
        <f aca="false">SUM(AE19:AK19)</f>
        <v>116931.452763954</v>
      </c>
      <c r="AM19" s="187" t="n">
        <v>116931.452763954</v>
      </c>
      <c r="AN19" s="187" t="n">
        <v>274511.796210019</v>
      </c>
      <c r="AO19" s="195" t="n">
        <f aca="false">O19-P19</f>
        <v>0</v>
      </c>
    </row>
    <row r="20" customFormat="false" ht="15" hidden="false" customHeight="false" outlineLevel="0" collapsed="false">
      <c r="A20" s="189" t="n">
        <v>2040</v>
      </c>
      <c r="B20" s="189" t="n">
        <v>51</v>
      </c>
      <c r="C20" s="189" t="s">
        <v>5537</v>
      </c>
      <c r="D20" s="187" t="n">
        <v>87730.2040415965</v>
      </c>
      <c r="E20" s="187" t="n">
        <v>33276.9739468125</v>
      </c>
      <c r="F20" s="187" t="n">
        <v>0</v>
      </c>
      <c r="G20" s="187" t="n">
        <v>0</v>
      </c>
      <c r="H20" s="187" t="n">
        <v>0</v>
      </c>
      <c r="I20" s="195" t="n">
        <f aca="false">SUM(D20:H20)</f>
        <v>121007.177988409</v>
      </c>
      <c r="J20" s="187" t="n">
        <v>17692.5212099257</v>
      </c>
      <c r="K20" s="187" t="n">
        <v>2443.26782812776</v>
      </c>
      <c r="L20" s="187" t="n">
        <v>5687.33736545522</v>
      </c>
      <c r="M20" s="195" t="n">
        <f aca="false">SUM(J20:L20)</f>
        <v>25823.1264035086</v>
      </c>
      <c r="N20" s="187" t="n">
        <v>4719.27994154795</v>
      </c>
      <c r="O20" s="195" t="n">
        <f aca="false">I20-M20-N20</f>
        <v>90464.7716433524</v>
      </c>
      <c r="P20" s="187" t="n">
        <v>90464.7716433524</v>
      </c>
      <c r="Q20" s="187" t="n">
        <v>59376.5443378293</v>
      </c>
      <c r="R20" s="187" t="n">
        <v>14160</v>
      </c>
      <c r="S20" s="195" t="n">
        <f aca="false">O20-Q20-R20</f>
        <v>16928.2273055231</v>
      </c>
      <c r="T20" s="187" t="n">
        <v>7916.87257837723</v>
      </c>
      <c r="U20" s="187" t="n">
        <v>9011.35472714587</v>
      </c>
      <c r="V20" s="187" t="n">
        <v>0</v>
      </c>
      <c r="W20" s="187" t="n">
        <v>0</v>
      </c>
      <c r="X20" s="187" t="n">
        <v>0</v>
      </c>
      <c r="Y20" s="187" t="n">
        <v>0</v>
      </c>
      <c r="Z20" s="187" t="n">
        <v>0</v>
      </c>
      <c r="AA20" s="187" t="n">
        <v>0</v>
      </c>
      <c r="AB20" s="187" t="n">
        <v>0</v>
      </c>
      <c r="AC20" s="187" t="n">
        <v>0</v>
      </c>
      <c r="AD20" s="187" t="n">
        <v>252.893759369345</v>
      </c>
      <c r="AE20" s="187" t="n">
        <v>40450.4868847613</v>
      </c>
      <c r="AF20" s="187" t="n">
        <v>0</v>
      </c>
      <c r="AG20" s="187" t="n">
        <v>30730.4331151294</v>
      </c>
      <c r="AH20" s="187" t="n">
        <v>1927.25459786097</v>
      </c>
      <c r="AI20" s="187" t="n">
        <v>14407.5480440553</v>
      </c>
      <c r="AJ20" s="187" t="n">
        <v>14887.3034934317</v>
      </c>
      <c r="AK20" s="187" t="n">
        <v>25161.5178599736</v>
      </c>
      <c r="AL20" s="195" t="n">
        <f aca="false">SUM(AE20:AK20)</f>
        <v>127564.543995212</v>
      </c>
      <c r="AM20" s="187" t="n">
        <v>127564.543995212</v>
      </c>
      <c r="AN20" s="187" t="n">
        <v>296303.386922565</v>
      </c>
      <c r="AO20" s="195" t="n">
        <f aca="false">O20-P20</f>
        <v>0</v>
      </c>
    </row>
    <row r="21" customFormat="false" ht="15" hidden="false" customHeight="false" outlineLevel="0" collapsed="false">
      <c r="A21" s="189" t="n">
        <v>2041</v>
      </c>
      <c r="B21" s="189" t="n">
        <v>52</v>
      </c>
      <c r="C21" s="189" t="s">
        <v>5537</v>
      </c>
      <c r="D21" s="187" t="n">
        <v>90362.1101628444</v>
      </c>
      <c r="E21" s="187" t="n">
        <v>34275.2831652168</v>
      </c>
      <c r="F21" s="187" t="n">
        <v>0</v>
      </c>
      <c r="G21" s="187" t="n">
        <v>0</v>
      </c>
      <c r="H21" s="187" t="n">
        <v>0</v>
      </c>
      <c r="I21" s="195" t="n">
        <f aca="false">SUM(D21:H21)</f>
        <v>124637.393328061</v>
      </c>
      <c r="J21" s="187" t="n">
        <v>18444.969278418</v>
      </c>
      <c r="K21" s="187" t="n">
        <v>2525.10764069216</v>
      </c>
      <c r="L21" s="187" t="n">
        <v>5857.95748641888</v>
      </c>
      <c r="M21" s="195" t="n">
        <f aca="false">SUM(J21:L21)</f>
        <v>26828.034405529</v>
      </c>
      <c r="N21" s="187" t="n">
        <v>4860.85833979439</v>
      </c>
      <c r="O21" s="195" t="n">
        <f aca="false">I21-M21-N21</f>
        <v>92948.5005827378</v>
      </c>
      <c r="P21" s="187" t="n">
        <v>92948.5005827378</v>
      </c>
      <c r="Q21" s="187" t="n">
        <v>60564.0752245859</v>
      </c>
      <c r="R21" s="187" t="n">
        <v>14160</v>
      </c>
      <c r="S21" s="195" t="n">
        <f aca="false">O21-Q21-R21</f>
        <v>18224.425358152</v>
      </c>
      <c r="T21" s="187" t="n">
        <v>8075.21002994478</v>
      </c>
      <c r="U21" s="187" t="n">
        <v>10149.2153282072</v>
      </c>
      <c r="V21" s="187" t="n">
        <v>0</v>
      </c>
      <c r="W21" s="187" t="n">
        <v>0</v>
      </c>
      <c r="X21" s="187" t="n">
        <v>0</v>
      </c>
      <c r="Y21" s="187" t="n">
        <v>0</v>
      </c>
      <c r="Z21" s="187" t="n">
        <v>0</v>
      </c>
      <c r="AA21" s="187" t="n">
        <v>0</v>
      </c>
      <c r="AB21" s="187" t="n">
        <v>0</v>
      </c>
      <c r="AC21" s="187" t="n">
        <v>0</v>
      </c>
      <c r="AD21" s="187" t="n">
        <v>281.245120439906</v>
      </c>
      <c r="AE21" s="187" t="n">
        <v>45748.5690317554</v>
      </c>
      <c r="AF21" s="187" t="n">
        <v>0</v>
      </c>
      <c r="AG21" s="187" t="n">
        <v>35037.6926917517</v>
      </c>
      <c r="AH21" s="187" t="n">
        <v>1965.79968981819</v>
      </c>
      <c r="AI21" s="187" t="n">
        <v>14983.8499658176</v>
      </c>
      <c r="AJ21" s="187" t="n">
        <v>15036.176528366</v>
      </c>
      <c r="AK21" s="187" t="n">
        <v>25815.7173243329</v>
      </c>
      <c r="AL21" s="195" t="n">
        <f aca="false">SUM(AE21:AK21)</f>
        <v>138587.805231842</v>
      </c>
      <c r="AM21" s="187" t="n">
        <v>138587.805231842</v>
      </c>
      <c r="AN21" s="187" t="n">
        <v>319358.75601367</v>
      </c>
      <c r="AO21" s="195" t="n">
        <f aca="false">O21-P21</f>
        <v>0</v>
      </c>
    </row>
    <row r="22" customFormat="false" ht="15" hidden="false" customHeight="false" outlineLevel="0" collapsed="false">
      <c r="A22" s="189" t="n">
        <v>2042</v>
      </c>
      <c r="B22" s="189" t="n">
        <v>53</v>
      </c>
      <c r="C22" s="189" t="s">
        <v>5537</v>
      </c>
      <c r="D22" s="187" t="n">
        <v>93072.9734677297</v>
      </c>
      <c r="E22" s="187" t="n">
        <v>35303.5416601733</v>
      </c>
      <c r="F22" s="187" t="n">
        <v>0</v>
      </c>
      <c r="G22" s="187" t="n">
        <v>0</v>
      </c>
      <c r="H22" s="187" t="n">
        <v>0</v>
      </c>
      <c r="I22" s="195" t="n">
        <f aca="false">SUM(D22:H22)</f>
        <v>128376.515127903</v>
      </c>
      <c r="J22" s="187" t="n">
        <v>19224.424237609</v>
      </c>
      <c r="K22" s="187" t="n">
        <v>2609.5734831879</v>
      </c>
      <c r="L22" s="187" t="n">
        <v>6033.69621101144</v>
      </c>
      <c r="M22" s="195" t="n">
        <f aca="false">SUM(J22:L22)</f>
        <v>27867.6939318083</v>
      </c>
      <c r="N22" s="187" t="n">
        <v>5006.68408998822</v>
      </c>
      <c r="O22" s="195" t="n">
        <f aca="false">I22-M22-N22</f>
        <v>95502.1371061065</v>
      </c>
      <c r="P22" s="187" t="n">
        <v>95502.1371061065</v>
      </c>
      <c r="Q22" s="187" t="n">
        <v>61775.3567290776</v>
      </c>
      <c r="R22" s="187" t="n">
        <v>14160</v>
      </c>
      <c r="S22" s="195" t="n">
        <f aca="false">O22-Q22-R22</f>
        <v>19566.780377029</v>
      </c>
      <c r="T22" s="187" t="n">
        <v>8236.71423054368</v>
      </c>
      <c r="U22" s="187" t="n">
        <v>11330.0661464853</v>
      </c>
      <c r="V22" s="187" t="n">
        <v>0</v>
      </c>
      <c r="W22" s="187" t="n">
        <v>0</v>
      </c>
      <c r="X22" s="187" t="n">
        <v>0</v>
      </c>
      <c r="Y22" s="187" t="n">
        <v>0</v>
      </c>
      <c r="Z22" s="187" t="n">
        <v>0</v>
      </c>
      <c r="AA22" s="187" t="n">
        <v>0</v>
      </c>
      <c r="AB22" s="187" t="n">
        <v>0</v>
      </c>
      <c r="AC22" s="187" t="n">
        <v>0</v>
      </c>
      <c r="AD22" s="187" t="n">
        <v>310.624329746802</v>
      </c>
      <c r="AE22" s="187" t="n">
        <v>51197.5035457825</v>
      </c>
      <c r="AF22" s="187" t="n">
        <v>0</v>
      </c>
      <c r="AG22" s="187" t="n">
        <v>39555.0491895811</v>
      </c>
      <c r="AH22" s="187" t="n">
        <v>2005.11568361456</v>
      </c>
      <c r="AI22" s="187" t="n">
        <v>15583.2039644503</v>
      </c>
      <c r="AJ22" s="187" t="n">
        <v>15186.5382936497</v>
      </c>
      <c r="AK22" s="187" t="n">
        <v>26486.9259747656</v>
      </c>
      <c r="AL22" s="195" t="n">
        <f aca="false">SUM(AE22:AK22)</f>
        <v>150014.336651844</v>
      </c>
      <c r="AM22" s="187" t="n">
        <v>150014.336651844</v>
      </c>
      <c r="AN22" s="187" t="n">
        <v>343743.268214261</v>
      </c>
      <c r="AO22" s="195" t="n">
        <f aca="false">O22-P22</f>
        <v>0</v>
      </c>
    </row>
    <row r="23" customFormat="false" ht="15" hidden="false" customHeight="false" outlineLevel="0" collapsed="false">
      <c r="A23" s="189" t="n">
        <v>2043</v>
      </c>
      <c r="B23" s="189" t="n">
        <v>54</v>
      </c>
      <c r="C23" s="189" t="s">
        <v>5537</v>
      </c>
      <c r="D23" s="187" t="n">
        <v>95865.1626717616</v>
      </c>
      <c r="E23" s="187" t="n">
        <v>36362.6479099785</v>
      </c>
      <c r="F23" s="187" t="n">
        <v>0</v>
      </c>
      <c r="G23" s="187" t="n">
        <v>0</v>
      </c>
      <c r="H23" s="187" t="n">
        <v>0</v>
      </c>
      <c r="I23" s="195" t="n">
        <f aca="false">SUM(D23:H23)</f>
        <v>132227.81058174</v>
      </c>
      <c r="J23" s="187" t="n">
        <v>20031.7849631925</v>
      </c>
      <c r="K23" s="187" t="n">
        <v>2696.74755322401</v>
      </c>
      <c r="L23" s="187" t="n">
        <v>6214.70709734179</v>
      </c>
      <c r="M23" s="195" t="n">
        <f aca="false">SUM(J23:L23)</f>
        <v>28943.2396137583</v>
      </c>
      <c r="N23" s="187" t="n">
        <v>5156.88461268787</v>
      </c>
      <c r="O23" s="195" t="n">
        <f aca="false">I23-M23-N23</f>
        <v>98127.686355294</v>
      </c>
      <c r="P23" s="187" t="n">
        <v>98127.686355294</v>
      </c>
      <c r="Q23" s="187" t="n">
        <v>63010.8638636591</v>
      </c>
      <c r="R23" s="187" t="n">
        <v>14160</v>
      </c>
      <c r="S23" s="195" t="n">
        <f aca="false">O23-Q23-R23</f>
        <v>20956.8224916349</v>
      </c>
      <c r="T23" s="187" t="n">
        <v>8401.44851515455</v>
      </c>
      <c r="U23" s="187" t="n">
        <v>12555.3739764803</v>
      </c>
      <c r="V23" s="187" t="n">
        <v>0</v>
      </c>
      <c r="W23" s="187" t="n">
        <v>0</v>
      </c>
      <c r="X23" s="187" t="n">
        <v>0</v>
      </c>
      <c r="Y23" s="187" t="n">
        <v>0</v>
      </c>
      <c r="Z23" s="187" t="n">
        <v>0</v>
      </c>
      <c r="AA23" s="187" t="n">
        <v>0</v>
      </c>
      <c r="AB23" s="187" t="n">
        <v>0</v>
      </c>
      <c r="AC23" s="187" t="n">
        <v>0</v>
      </c>
      <c r="AD23" s="187" t="n">
        <v>341.065768885209</v>
      </c>
      <c r="AE23" s="187" t="n">
        <v>56800.756381424</v>
      </c>
      <c r="AF23" s="187" t="n">
        <v>0</v>
      </c>
      <c r="AG23" s="187" t="n">
        <v>44291.1879705835</v>
      </c>
      <c r="AH23" s="187" t="n">
        <v>2045.21799728685</v>
      </c>
      <c r="AI23" s="187" t="n">
        <v>16206.5321230283</v>
      </c>
      <c r="AJ23" s="187" t="n">
        <v>15338.4036765862</v>
      </c>
      <c r="AK23" s="187" t="n">
        <v>27175.5860501095</v>
      </c>
      <c r="AL23" s="195" t="n">
        <f aca="false">SUM(AE23:AK23)</f>
        <v>161857.684199018</v>
      </c>
      <c r="AM23" s="187" t="n">
        <v>161857.684199018</v>
      </c>
      <c r="AN23" s="187" t="n">
        <v>369525.484509278</v>
      </c>
      <c r="AO23" s="195" t="n">
        <f aca="false">O23-P23</f>
        <v>0</v>
      </c>
    </row>
    <row r="24" customFormat="false" ht="15" hidden="false" customHeight="false" outlineLevel="0" collapsed="false">
      <c r="A24" s="189" t="n">
        <v>2044</v>
      </c>
      <c r="B24" s="189" t="n">
        <v>55</v>
      </c>
      <c r="C24" s="189" t="s">
        <v>5537</v>
      </c>
      <c r="D24" s="187" t="n">
        <v>98741.1175519145</v>
      </c>
      <c r="E24" s="187" t="n">
        <v>37453.5273472779</v>
      </c>
      <c r="F24" s="187" t="n">
        <v>0</v>
      </c>
      <c r="G24" s="187" t="n">
        <v>0</v>
      </c>
      <c r="H24" s="187" t="n">
        <v>0</v>
      </c>
      <c r="I24" s="195" t="n">
        <f aca="false">SUM(D24:H24)</f>
        <v>136194.644899192</v>
      </c>
      <c r="J24" s="187" t="n">
        <v>20867.9790705126</v>
      </c>
      <c r="K24" s="187" t="n">
        <v>2786.71458267202</v>
      </c>
      <c r="L24" s="187" t="n">
        <v>6401.14831026204</v>
      </c>
      <c r="M24" s="195" t="n">
        <f aca="false">SUM(J24:L24)</f>
        <v>30055.8419634466</v>
      </c>
      <c r="N24" s="187" t="n">
        <v>5311.5911510685</v>
      </c>
      <c r="O24" s="195" t="n">
        <f aca="false">I24-M24-N24</f>
        <v>100827.211784677</v>
      </c>
      <c r="P24" s="187" t="n">
        <v>100827.211784677</v>
      </c>
      <c r="Q24" s="187" t="n">
        <v>64271.0811409323</v>
      </c>
      <c r="R24" s="187" t="n">
        <v>14160</v>
      </c>
      <c r="S24" s="195" t="n">
        <f aca="false">O24-Q24-R24</f>
        <v>22396.1306437449</v>
      </c>
      <c r="T24" s="187" t="n">
        <v>8569.47748545764</v>
      </c>
      <c r="U24" s="187" t="n">
        <v>13826.6531582873</v>
      </c>
      <c r="V24" s="187" t="n">
        <v>27175.5860501095</v>
      </c>
      <c r="W24" s="187" t="n">
        <v>0</v>
      </c>
      <c r="X24" s="187" t="n">
        <v>0</v>
      </c>
      <c r="Y24" s="187" t="n">
        <v>0</v>
      </c>
      <c r="Z24" s="187" t="n">
        <v>0</v>
      </c>
      <c r="AA24" s="187" t="n">
        <v>0</v>
      </c>
      <c r="AB24" s="187" t="n">
        <v>0</v>
      </c>
      <c r="AC24" s="187" t="n">
        <v>0</v>
      </c>
      <c r="AD24" s="187" t="n">
        <v>542.779087439968</v>
      </c>
      <c r="AE24" s="187" t="n">
        <v>62561.8673014255</v>
      </c>
      <c r="AF24" s="187" t="n">
        <v>0</v>
      </c>
      <c r="AG24" s="187" t="n">
        <v>49084.9590359172</v>
      </c>
      <c r="AH24" s="187" t="n">
        <v>2086.12235723258</v>
      </c>
      <c r="AI24" s="187" t="n">
        <v>16854.7934079494</v>
      </c>
      <c r="AJ24" s="187" t="n">
        <v>15491.7877133521</v>
      </c>
      <c r="AK24" s="187" t="n">
        <v>0</v>
      </c>
      <c r="AL24" s="195" t="n">
        <f aca="false">SUM(AE24:AK24)</f>
        <v>146079.529815877</v>
      </c>
      <c r="AM24" s="187" t="n">
        <v>146079.529815877</v>
      </c>
      <c r="AN24" s="187" t="n">
        <v>396777.313614333</v>
      </c>
      <c r="AO24" s="195" t="n">
        <f aca="false">O24-P24</f>
        <v>0</v>
      </c>
    </row>
    <row r="25" customFormat="false" ht="15" hidden="false" customHeight="false" outlineLevel="0" collapsed="false">
      <c r="A25" s="189" t="n">
        <v>2045</v>
      </c>
      <c r="B25" s="189" t="n">
        <v>56</v>
      </c>
      <c r="C25" s="189" t="s">
        <v>5537</v>
      </c>
      <c r="D25" s="187" t="n">
        <v>101703.351078472</v>
      </c>
      <c r="E25" s="187" t="n">
        <v>38577.1331676962</v>
      </c>
      <c r="F25" s="187" t="n">
        <v>0</v>
      </c>
      <c r="G25" s="187" t="n">
        <v>0</v>
      </c>
      <c r="H25" s="187" t="n">
        <v>0</v>
      </c>
      <c r="I25" s="195" t="n">
        <f aca="false">SUM(D25:H25)</f>
        <v>140280.484246168</v>
      </c>
      <c r="J25" s="187" t="n">
        <v>21733.9638122208</v>
      </c>
      <c r="K25" s="187" t="n">
        <v>2879.56191506049</v>
      </c>
      <c r="L25" s="187" t="n">
        <v>6593.1827595699</v>
      </c>
      <c r="M25" s="195" t="n">
        <f aca="false">SUM(J25:L25)</f>
        <v>31206.7084868512</v>
      </c>
      <c r="N25" s="187" t="n">
        <v>5470.93888560056</v>
      </c>
      <c r="O25" s="195" t="n">
        <f aca="false">I25-M25-N25</f>
        <v>103602.836873716</v>
      </c>
      <c r="P25" s="187" t="n">
        <v>103602.836873716</v>
      </c>
      <c r="Q25" s="187" t="n">
        <v>65556.502763751</v>
      </c>
      <c r="R25" s="187" t="n">
        <v>0</v>
      </c>
      <c r="S25" s="195" t="n">
        <f aca="false">O25-Q25-R25</f>
        <v>38046.3341099655</v>
      </c>
      <c r="T25" s="187" t="n">
        <v>8740.86703516679</v>
      </c>
      <c r="U25" s="187" t="n">
        <v>29305.4670747987</v>
      </c>
      <c r="V25" s="187" t="n">
        <v>0</v>
      </c>
      <c r="W25" s="187" t="n">
        <v>0</v>
      </c>
      <c r="X25" s="187" t="n">
        <v>0</v>
      </c>
      <c r="Y25" s="187" t="n">
        <v>0</v>
      </c>
      <c r="Z25" s="187" t="n">
        <v>0</v>
      </c>
      <c r="AA25" s="187" t="n">
        <v>0</v>
      </c>
      <c r="AB25" s="187" t="n">
        <v>0</v>
      </c>
      <c r="AC25" s="187" t="n">
        <v>0</v>
      </c>
      <c r="AD25" s="187" t="n">
        <v>618.645027379247</v>
      </c>
      <c r="AE25" s="187" t="n">
        <v>68484.4513977509</v>
      </c>
      <c r="AF25" s="187" t="n">
        <v>0</v>
      </c>
      <c r="AG25" s="187" t="n">
        <v>54065.9130566041</v>
      </c>
      <c r="AH25" s="187" t="n">
        <v>2127.84480437724</v>
      </c>
      <c r="AI25" s="187" t="n">
        <v>17528.9851442674</v>
      </c>
      <c r="AJ25" s="187" t="n">
        <v>15646.7055904856</v>
      </c>
      <c r="AK25" s="187" t="n">
        <v>0</v>
      </c>
      <c r="AL25" s="195" t="n">
        <f aca="false">SUM(AE25:AK25)</f>
        <v>157853.899993485</v>
      </c>
      <c r="AM25" s="187" t="n">
        <v>157853.899993485</v>
      </c>
      <c r="AN25" s="187" t="n">
        <v>425574.170498179</v>
      </c>
      <c r="AO25" s="195" t="n">
        <f aca="false">O25-P25</f>
        <v>0</v>
      </c>
    </row>
    <row r="26" customFormat="false" ht="15" hidden="false" customHeight="false" outlineLevel="0" collapsed="false">
      <c r="A26" s="189" t="n">
        <v>2046</v>
      </c>
      <c r="B26" s="189" t="n">
        <v>57</v>
      </c>
      <c r="C26" s="189" t="s">
        <v>5537</v>
      </c>
      <c r="D26" s="187" t="n">
        <v>104754.451610826</v>
      </c>
      <c r="E26" s="187" t="n">
        <v>39734.4471627271</v>
      </c>
      <c r="F26" s="187" t="n">
        <v>0</v>
      </c>
      <c r="G26" s="187" t="n">
        <v>0</v>
      </c>
      <c r="H26" s="187" t="n">
        <v>0</v>
      </c>
      <c r="I26" s="195" t="n">
        <f aca="false">SUM(D26:H26)</f>
        <v>144488.898773553</v>
      </c>
      <c r="J26" s="187" t="n">
        <v>22630.7270035721</v>
      </c>
      <c r="K26" s="187" t="n">
        <v>3009.01719566469</v>
      </c>
      <c r="L26" s="187" t="n">
        <v>6790.978242357</v>
      </c>
      <c r="M26" s="195" t="n">
        <f aca="false">SUM(J26:L26)</f>
        <v>32430.7224415937</v>
      </c>
      <c r="N26" s="187" t="n">
        <v>5635.06705216857</v>
      </c>
      <c r="O26" s="195" t="n">
        <f aca="false">I26-M26-N26</f>
        <v>106423.109279791</v>
      </c>
      <c r="P26" s="187" t="n">
        <v>106423.109279791</v>
      </c>
      <c r="Q26" s="187" t="n">
        <v>66867.632819026</v>
      </c>
      <c r="R26" s="187" t="n">
        <v>0</v>
      </c>
      <c r="S26" s="195" t="n">
        <f aca="false">O26-Q26-R26</f>
        <v>39555.476460765</v>
      </c>
      <c r="T26" s="187" t="n">
        <v>8915.68437587013</v>
      </c>
      <c r="U26" s="187" t="n">
        <v>30639.7920848948</v>
      </c>
      <c r="V26" s="187" t="n">
        <v>0</v>
      </c>
      <c r="W26" s="187" t="n">
        <v>0</v>
      </c>
      <c r="X26" s="187" t="n">
        <v>0</v>
      </c>
      <c r="Y26" s="187" t="n">
        <v>0</v>
      </c>
      <c r="Z26" s="187" t="n">
        <v>0</v>
      </c>
      <c r="AA26" s="187" t="n">
        <v>0</v>
      </c>
      <c r="AB26" s="187" t="n">
        <v>0</v>
      </c>
      <c r="AC26" s="187" t="n">
        <v>0</v>
      </c>
      <c r="AD26" s="187" t="n">
        <v>679.475380991922</v>
      </c>
      <c r="AE26" s="187" t="n">
        <v>74572.2006435057</v>
      </c>
      <c r="AF26" s="187" t="n">
        <v>0</v>
      </c>
      <c r="AG26" s="187" t="n">
        <v>59257.9988982383</v>
      </c>
      <c r="AH26" s="187" t="n">
        <v>2170.40170046478</v>
      </c>
      <c r="AI26" s="187" t="n">
        <v>18230.1445500381</v>
      </c>
      <c r="AJ26" s="187" t="n">
        <v>15803.1726463904</v>
      </c>
      <c r="AK26" s="187" t="n">
        <v>0</v>
      </c>
      <c r="AL26" s="195" t="n">
        <f aca="false">SUM(AE26:AK26)</f>
        <v>170033.918438637</v>
      </c>
      <c r="AM26" s="187" t="n">
        <v>170033.918438637</v>
      </c>
      <c r="AN26" s="187" t="n">
        <v>455995.142274934</v>
      </c>
      <c r="AO26" s="195" t="n">
        <f aca="false">O26-P26</f>
        <v>0</v>
      </c>
    </row>
    <row r="27" customFormat="false" ht="15" hidden="false" customHeight="false" outlineLevel="0" collapsed="false">
      <c r="A27" s="189" t="n">
        <v>2047</v>
      </c>
      <c r="B27" s="189" t="n">
        <v>58</v>
      </c>
      <c r="C27" s="189" t="s">
        <v>5537</v>
      </c>
      <c r="D27" s="187" t="n">
        <v>107897.085159151</v>
      </c>
      <c r="E27" s="187" t="n">
        <v>40926.4805776089</v>
      </c>
      <c r="F27" s="187" t="n">
        <v>0</v>
      </c>
      <c r="G27" s="187" t="n">
        <v>0</v>
      </c>
      <c r="H27" s="187" t="n">
        <v>0</v>
      </c>
      <c r="I27" s="195" t="n">
        <f aca="false">SUM(D27:H27)</f>
        <v>148823.56573676</v>
      </c>
      <c r="J27" s="187" t="n">
        <v>23559.2879762036</v>
      </c>
      <c r="K27" s="187" t="n">
        <v>3160.94799029919</v>
      </c>
      <c r="L27" s="187" t="n">
        <v>6994.70758962771</v>
      </c>
      <c r="M27" s="195" t="n">
        <f aca="false">SUM(J27:L27)</f>
        <v>33714.9435561305</v>
      </c>
      <c r="N27" s="187" t="n">
        <v>5804.11906373363</v>
      </c>
      <c r="O27" s="195" t="n">
        <f aca="false">I27-M27-N27</f>
        <v>109304.503116896</v>
      </c>
      <c r="P27" s="187" t="n">
        <v>109304.503116896</v>
      </c>
      <c r="Q27" s="187" t="n">
        <v>68204.9854754065</v>
      </c>
      <c r="R27" s="187" t="n">
        <v>0</v>
      </c>
      <c r="S27" s="195" t="n">
        <f aca="false">O27-Q27-R27</f>
        <v>41099.5176414892</v>
      </c>
      <c r="T27" s="187" t="n">
        <v>9093.99806338753</v>
      </c>
      <c r="U27" s="187" t="n">
        <v>32005.5195781016</v>
      </c>
      <c r="V27" s="187" t="n">
        <v>0</v>
      </c>
      <c r="W27" s="187" t="n">
        <v>0</v>
      </c>
      <c r="X27" s="187" t="n">
        <v>0</v>
      </c>
      <c r="Y27" s="187" t="n">
        <v>0</v>
      </c>
      <c r="Z27" s="187" t="n">
        <v>0</v>
      </c>
      <c r="AA27" s="187" t="n">
        <v>0</v>
      </c>
      <c r="AB27" s="187" t="n">
        <v>0</v>
      </c>
      <c r="AC27" s="187" t="n">
        <v>0</v>
      </c>
      <c r="AD27" s="187" t="n">
        <v>720.597972324005</v>
      </c>
      <c r="AE27" s="187" t="n">
        <v>80828.8854763536</v>
      </c>
      <c r="AF27" s="187" t="n">
        <v>0</v>
      </c>
      <c r="AG27" s="187" t="n">
        <v>64690.824076213</v>
      </c>
      <c r="AH27" s="187" t="n">
        <v>2213.80973447408</v>
      </c>
      <c r="AI27" s="187" t="n">
        <v>18959.3503320396</v>
      </c>
      <c r="AJ27" s="187" t="n">
        <v>15961.2043728543</v>
      </c>
      <c r="AK27" s="187" t="n">
        <v>0</v>
      </c>
      <c r="AL27" s="195" t="n">
        <f aca="false">SUM(AE27:AK27)</f>
        <v>182654.073991935</v>
      </c>
      <c r="AM27" s="187" t="n">
        <v>182654.073991935</v>
      </c>
      <c r="AN27" s="187" t="n">
        <v>488123.161804774</v>
      </c>
      <c r="AO27" s="195" t="n">
        <f aca="false">O27-P27</f>
        <v>0</v>
      </c>
    </row>
    <row r="28" customFormat="false" ht="15" hidden="false" customHeight="false" outlineLevel="0" collapsed="false">
      <c r="A28" s="189" t="n">
        <v>2048</v>
      </c>
      <c r="B28" s="189" t="n">
        <v>59</v>
      </c>
      <c r="C28" s="189" t="s">
        <v>5537</v>
      </c>
      <c r="D28" s="187" t="n">
        <v>111133.997713925</v>
      </c>
      <c r="E28" s="187" t="n">
        <v>42154.2749949372</v>
      </c>
      <c r="F28" s="187" t="n">
        <v>0</v>
      </c>
      <c r="G28" s="187" t="n">
        <v>0</v>
      </c>
      <c r="H28" s="187" t="n">
        <v>0</v>
      </c>
      <c r="I28" s="195" t="n">
        <f aca="false">SUM(D28:H28)</f>
        <v>153288.272708863</v>
      </c>
      <c r="J28" s="187" t="n">
        <v>24520.6985612645</v>
      </c>
      <c r="K28" s="187" t="n">
        <v>3318.66991434801</v>
      </c>
      <c r="L28" s="187" t="n">
        <v>7204.54881731654</v>
      </c>
      <c r="M28" s="195" t="n">
        <f aca="false">SUM(J28:L28)</f>
        <v>35043.9172929291</v>
      </c>
      <c r="N28" s="187" t="n">
        <v>5978.24263564564</v>
      </c>
      <c r="O28" s="195" t="n">
        <f aca="false">I28-M28-N28</f>
        <v>112266.112780288</v>
      </c>
      <c r="P28" s="187" t="n">
        <v>112266.112780288</v>
      </c>
      <c r="Q28" s="187" t="n">
        <v>69569.0851849146</v>
      </c>
      <c r="R28" s="187" t="n">
        <v>0</v>
      </c>
      <c r="S28" s="195" t="n">
        <f aca="false">O28-Q28-R28</f>
        <v>42697.0275953733</v>
      </c>
      <c r="T28" s="187" t="n">
        <v>9275.87802465528</v>
      </c>
      <c r="U28" s="187" t="n">
        <v>33421.1495707179</v>
      </c>
      <c r="V28" s="187" t="n">
        <v>0</v>
      </c>
      <c r="W28" s="187" t="n">
        <v>0</v>
      </c>
      <c r="X28" s="187" t="n">
        <v>0</v>
      </c>
      <c r="Y28" s="187" t="n">
        <v>0</v>
      </c>
      <c r="Z28" s="187" t="n">
        <v>0</v>
      </c>
      <c r="AA28" s="187" t="n">
        <v>0</v>
      </c>
      <c r="AB28" s="187" t="n">
        <v>0</v>
      </c>
      <c r="AC28" s="187" t="n">
        <v>0</v>
      </c>
      <c r="AD28" s="187" t="n">
        <v>763.07664213984</v>
      </c>
      <c r="AE28" s="187" t="n">
        <v>87258.3564140582</v>
      </c>
      <c r="AF28" s="187" t="n">
        <v>0</v>
      </c>
      <c r="AG28" s="187" t="n">
        <v>70374.1456553783</v>
      </c>
      <c r="AH28" s="187" t="n">
        <v>2258.08592916356</v>
      </c>
      <c r="AI28" s="187" t="n">
        <v>19717.7243453212</v>
      </c>
      <c r="AJ28" s="187" t="n">
        <v>16120.8164165829</v>
      </c>
      <c r="AK28" s="187" t="n">
        <v>0</v>
      </c>
      <c r="AL28" s="195" t="n">
        <f aca="false">SUM(AE28:AK28)</f>
        <v>195729.128760504</v>
      </c>
      <c r="AM28" s="187" t="n">
        <v>195729.128760504</v>
      </c>
      <c r="AN28" s="187" t="n">
        <v>522045.18935728</v>
      </c>
      <c r="AO28" s="195" t="n">
        <f aca="false">O28-P28</f>
        <v>0</v>
      </c>
    </row>
    <row r="29" customFormat="false" ht="15" hidden="false" customHeight="false" outlineLevel="0" collapsed="false">
      <c r="A29" s="189" t="n">
        <v>2049</v>
      </c>
      <c r="B29" s="189" t="n">
        <v>60</v>
      </c>
      <c r="C29" s="189" t="s">
        <v>5537</v>
      </c>
      <c r="D29" s="187" t="n">
        <v>114468.017645343</v>
      </c>
      <c r="E29" s="187" t="n">
        <v>43418.9032447853</v>
      </c>
      <c r="F29" s="187" t="n">
        <v>0</v>
      </c>
      <c r="G29" s="187" t="n">
        <v>0</v>
      </c>
      <c r="H29" s="187" t="n">
        <v>0</v>
      </c>
      <c r="I29" s="195" t="n">
        <f aca="false">SUM(D29:H29)</f>
        <v>157886.920890128</v>
      </c>
      <c r="J29" s="187" t="n">
        <v>25516.0441027928</v>
      </c>
      <c r="K29" s="187" t="n">
        <v>3482.3813658051</v>
      </c>
      <c r="L29" s="187" t="n">
        <v>7420.68528183604</v>
      </c>
      <c r="M29" s="195" t="n">
        <f aca="false">SUM(J29:L29)</f>
        <v>36419.110750434</v>
      </c>
      <c r="N29" s="187" t="n">
        <v>6157.58991471501</v>
      </c>
      <c r="O29" s="195" t="n">
        <f aca="false">I29-M29-N29</f>
        <v>115310.220224979</v>
      </c>
      <c r="P29" s="187" t="n">
        <v>115310.22022498</v>
      </c>
      <c r="Q29" s="187" t="n">
        <v>70960.4668886129</v>
      </c>
      <c r="R29" s="187" t="n">
        <v>0</v>
      </c>
      <c r="S29" s="195" t="n">
        <f aca="false">O29-Q29-R29</f>
        <v>44349.7533363665</v>
      </c>
      <c r="T29" s="187" t="n">
        <v>9461.39558514839</v>
      </c>
      <c r="U29" s="187" t="n">
        <v>34888.3577512182</v>
      </c>
      <c r="V29" s="187" t="n">
        <v>0</v>
      </c>
      <c r="W29" s="187" t="n">
        <v>0</v>
      </c>
      <c r="X29" s="187" t="n">
        <v>0</v>
      </c>
      <c r="Y29" s="187" t="n">
        <v>0</v>
      </c>
      <c r="Z29" s="187" t="n">
        <v>0</v>
      </c>
      <c r="AA29" s="187" t="n">
        <v>0</v>
      </c>
      <c r="AB29" s="187" t="n">
        <v>0</v>
      </c>
      <c r="AC29" s="187" t="n">
        <v>0</v>
      </c>
      <c r="AD29" s="187" t="n">
        <v>806.954520808816</v>
      </c>
      <c r="AE29" s="187" t="n">
        <v>93864.5457027987</v>
      </c>
      <c r="AF29" s="187" t="n">
        <v>0</v>
      </c>
      <c r="AG29" s="187" t="n">
        <v>76318.0975242063</v>
      </c>
      <c r="AH29" s="187" t="n">
        <v>2303.24764774683</v>
      </c>
      <c r="AI29" s="187" t="n">
        <v>20506.433319134</v>
      </c>
      <c r="AJ29" s="187" t="n">
        <v>16282.0245807487</v>
      </c>
      <c r="AK29" s="187" t="n">
        <v>0</v>
      </c>
      <c r="AL29" s="195" t="n">
        <f aca="false">SUM(AE29:AK29)</f>
        <v>209274.348774635</v>
      </c>
      <c r="AM29" s="187" t="n">
        <v>209274.348774635</v>
      </c>
      <c r="AN29" s="187" t="n">
        <v>557852.402707787</v>
      </c>
      <c r="AO29" s="195" t="n">
        <f aca="false">O29-P29</f>
        <v>0</v>
      </c>
    </row>
    <row r="30" customFormat="false" ht="15" hidden="false" customHeight="false" outlineLevel="0" collapsed="false">
      <c r="A30" s="189" t="n">
        <v>2050</v>
      </c>
      <c r="B30" s="189" t="n">
        <v>61</v>
      </c>
      <c r="C30" s="189" t="s">
        <v>5537</v>
      </c>
      <c r="D30" s="187" t="n">
        <v>117902.058174703</v>
      </c>
      <c r="E30" s="187" t="n">
        <v>44721.4703421289</v>
      </c>
      <c r="F30" s="187" t="n">
        <v>0</v>
      </c>
      <c r="G30" s="187" t="n">
        <v>0</v>
      </c>
      <c r="H30" s="187" t="n">
        <v>0</v>
      </c>
      <c r="I30" s="195" t="n">
        <f aca="false">SUM(D30:H30)</f>
        <v>162623.528516832</v>
      </c>
      <c r="J30" s="187" t="n">
        <v>26546.4445022608</v>
      </c>
      <c r="K30" s="187" t="n">
        <v>3652.28718788643</v>
      </c>
      <c r="L30" s="187" t="n">
        <v>7643.30584029112</v>
      </c>
      <c r="M30" s="195" t="n">
        <f aca="false">SUM(J30:L30)</f>
        <v>37842.0375304383</v>
      </c>
      <c r="N30" s="187" t="n">
        <v>6342.31761215646</v>
      </c>
      <c r="O30" s="195" t="n">
        <f aca="false">I30-M30-N30</f>
        <v>118439.173374237</v>
      </c>
      <c r="P30" s="187" t="n">
        <v>118439.173374238</v>
      </c>
      <c r="Q30" s="187" t="n">
        <v>72379.6762263852</v>
      </c>
      <c r="R30" s="187" t="n">
        <v>0</v>
      </c>
      <c r="S30" s="195" t="n">
        <f aca="false">O30-Q30-R30</f>
        <v>46059.4971478523</v>
      </c>
      <c r="T30" s="187" t="n">
        <v>9650.62349685136</v>
      </c>
      <c r="U30" s="187" t="n">
        <v>36408.873651001</v>
      </c>
      <c r="V30" s="187" t="n">
        <v>0</v>
      </c>
      <c r="W30" s="187" t="n">
        <v>0</v>
      </c>
      <c r="X30" s="187" t="n">
        <v>0</v>
      </c>
      <c r="Y30" s="187" t="n">
        <v>0</v>
      </c>
      <c r="Z30" s="187" t="n">
        <v>0</v>
      </c>
      <c r="AA30" s="187" t="n">
        <v>0</v>
      </c>
      <c r="AB30" s="187" t="n">
        <v>0</v>
      </c>
      <c r="AC30" s="187" t="n">
        <v>0</v>
      </c>
      <c r="AD30" s="187" t="n">
        <v>852.2760815717</v>
      </c>
      <c r="AE30" s="187" t="n">
        <v>100651.468998919</v>
      </c>
      <c r="AF30" s="187" t="n">
        <v>0</v>
      </c>
      <c r="AG30" s="187" t="n">
        <v>82533.204718293</v>
      </c>
      <c r="AH30" s="187" t="n">
        <v>2349.31260070176</v>
      </c>
      <c r="AI30" s="187" t="n">
        <v>21326.6906518994</v>
      </c>
      <c r="AJ30" s="187" t="n">
        <v>16444.8448265562</v>
      </c>
      <c r="AK30" s="187" t="n">
        <v>0</v>
      </c>
      <c r="AL30" s="195" t="n">
        <f aca="false">SUM(AE30:AK30)</f>
        <v>223305.521796369</v>
      </c>
      <c r="AM30" s="187" t="n">
        <v>223305.521796369</v>
      </c>
      <c r="AN30" s="187" t="n">
        <v>595640.396053951</v>
      </c>
      <c r="AO30" s="195" t="n">
        <f aca="false">O30-P30</f>
        <v>0</v>
      </c>
    </row>
    <row r="31" customFormat="false" ht="15" hidden="false" customHeight="false" outlineLevel="0" collapsed="false">
      <c r="A31" s="189" t="n">
        <v>2051</v>
      </c>
      <c r="B31" s="189" t="n">
        <v>62</v>
      </c>
      <c r="C31" s="189" t="s">
        <v>5537</v>
      </c>
      <c r="D31" s="187" t="n">
        <v>121439.119919945</v>
      </c>
      <c r="E31" s="187" t="n">
        <v>46063.1144523928</v>
      </c>
      <c r="F31" s="187" t="n">
        <v>0</v>
      </c>
      <c r="G31" s="187" t="n">
        <v>0</v>
      </c>
      <c r="H31" s="187" t="n">
        <v>0</v>
      </c>
      <c r="I31" s="195" t="n">
        <f aca="false">SUM(D31:H31)</f>
        <v>167502.234372337</v>
      </c>
      <c r="J31" s="187" t="n">
        <v>27613.0552952404</v>
      </c>
      <c r="K31" s="187" t="n">
        <v>3828.59887225235</v>
      </c>
      <c r="L31" s="187" t="n">
        <v>7872.60501549985</v>
      </c>
      <c r="M31" s="195" t="n">
        <f aca="false">SUM(J31:L31)</f>
        <v>39314.2591829926</v>
      </c>
      <c r="N31" s="187" t="n">
        <v>6532.58714052115</v>
      </c>
      <c r="O31" s="195" t="n">
        <f aca="false">I31-M31-N31</f>
        <v>121655.388048823</v>
      </c>
      <c r="P31" s="187" t="n">
        <v>121655.388048824</v>
      </c>
      <c r="Q31" s="187" t="n">
        <v>73827.2697509129</v>
      </c>
      <c r="R31" s="187" t="n">
        <v>0</v>
      </c>
      <c r="S31" s="195" t="n">
        <f aca="false">O31-Q31-R31</f>
        <v>47828.1182979106</v>
      </c>
      <c r="T31" s="187" t="n">
        <v>9843.63596678838</v>
      </c>
      <c r="U31" s="187" t="n">
        <v>37984.4823311223</v>
      </c>
      <c r="V31" s="187" t="n">
        <v>0</v>
      </c>
      <c r="W31" s="187" t="n">
        <v>0</v>
      </c>
      <c r="X31" s="187" t="n">
        <v>0</v>
      </c>
      <c r="Y31" s="187" t="n">
        <v>0</v>
      </c>
      <c r="Z31" s="187" t="n">
        <v>0</v>
      </c>
      <c r="AA31" s="187" t="n">
        <v>0</v>
      </c>
      <c r="AB31" s="187" t="n">
        <v>0</v>
      </c>
      <c r="AC31" s="187" t="n">
        <v>0</v>
      </c>
      <c r="AD31" s="187" t="n">
        <v>899.087181805989</v>
      </c>
      <c r="AE31" s="187" t="n">
        <v>107623.227084782</v>
      </c>
      <c r="AF31" s="187" t="n">
        <v>0</v>
      </c>
      <c r="AG31" s="187" t="n">
        <v>89030.3982874027</v>
      </c>
      <c r="AH31" s="187" t="n">
        <v>2396.2988527158</v>
      </c>
      <c r="AI31" s="187" t="n">
        <v>22179.7582779754</v>
      </c>
      <c r="AJ31" s="187" t="n">
        <v>16609.2932748218</v>
      </c>
      <c r="AK31" s="187" t="n">
        <v>0</v>
      </c>
      <c r="AL31" s="195" t="n">
        <f aca="false">SUM(AE31:AK31)</f>
        <v>237838.975777697</v>
      </c>
      <c r="AM31" s="187" t="n">
        <v>237838.975777697</v>
      </c>
      <c r="AN31" s="187" t="n">
        <v>635509.388157421</v>
      </c>
      <c r="AO31" s="195" t="n">
        <f aca="false">O31-P31</f>
        <v>0</v>
      </c>
    </row>
    <row r="32" customFormat="false" ht="15" hidden="false" customHeight="false" outlineLevel="0" collapsed="false">
      <c r="A32" s="189" t="n">
        <v>2052</v>
      </c>
      <c r="B32" s="189" t="n">
        <v>63</v>
      </c>
      <c r="C32" s="189" t="s">
        <v>5538</v>
      </c>
      <c r="D32" s="187" t="n">
        <v>0</v>
      </c>
      <c r="E32" s="187" t="n">
        <v>47445.0078859645</v>
      </c>
      <c r="F32" s="187" t="n">
        <v>0</v>
      </c>
      <c r="G32" s="187" t="n">
        <v>19065.2816447226</v>
      </c>
      <c r="H32" s="187" t="n">
        <v>0</v>
      </c>
      <c r="I32" s="195" t="n">
        <f aca="false">SUM(D32:H32)</f>
        <v>66510.2895306872</v>
      </c>
      <c r="J32" s="187" t="n">
        <v>2795.32911977681</v>
      </c>
      <c r="K32" s="187" t="n">
        <v>647.383681874983</v>
      </c>
      <c r="L32" s="187" t="n">
        <v>3125.9836079423</v>
      </c>
      <c r="M32" s="195" t="n">
        <f aca="false">SUM(J32:L32)</f>
        <v>6568.69640959409</v>
      </c>
      <c r="N32" s="187" t="n">
        <v>0</v>
      </c>
      <c r="O32" s="195" t="n">
        <f aca="false">I32-M32-N32</f>
        <v>59941.5931210931</v>
      </c>
      <c r="P32" s="187" t="n">
        <v>59941.5931210931</v>
      </c>
      <c r="Q32" s="187" t="n">
        <v>79989.3858661224</v>
      </c>
      <c r="R32" s="187" t="n">
        <v>0</v>
      </c>
      <c r="S32" s="195" t="n">
        <f aca="false">O32-Q32-R32</f>
        <v>-20047.7927450293</v>
      </c>
      <c r="T32" s="187" t="n">
        <v>0</v>
      </c>
      <c r="U32" s="187" t="n">
        <v>0</v>
      </c>
      <c r="V32" s="187" t="n">
        <v>0</v>
      </c>
      <c r="W32" s="187" t="n">
        <v>0</v>
      </c>
      <c r="X32" s="187" t="n">
        <v>20047.7927450293</v>
      </c>
      <c r="Y32" s="187" t="n">
        <v>0</v>
      </c>
      <c r="Z32" s="187" t="n">
        <v>0</v>
      </c>
      <c r="AA32" s="187" t="n">
        <v>0</v>
      </c>
      <c r="AB32" s="187" t="n">
        <v>0</v>
      </c>
      <c r="AC32" s="187" t="n">
        <v>0</v>
      </c>
      <c r="AD32" s="187" t="n">
        <v>1156.49624815554</v>
      </c>
      <c r="AE32" s="187" t="n">
        <v>184730.860988999</v>
      </c>
      <c r="AF32" s="187" t="n">
        <v>0</v>
      </c>
      <c r="AG32" s="187" t="n">
        <v>157528.094339115</v>
      </c>
      <c r="AH32" s="187" t="n">
        <v>2444.22482977012</v>
      </c>
      <c r="AI32" s="187" t="n">
        <v>23066.9486090944</v>
      </c>
      <c r="AJ32" s="187" t="n">
        <v>16775.38620757</v>
      </c>
      <c r="AK32" s="187" t="n">
        <v>0</v>
      </c>
      <c r="AL32" s="195" t="n">
        <f aca="false">SUM(AE32:AK32)</f>
        <v>384545.514974549</v>
      </c>
      <c r="AM32" s="187" t="n">
        <v>384545.514974549</v>
      </c>
      <c r="AN32" s="187" t="n">
        <v>471980.112396753</v>
      </c>
      <c r="AO32" s="195" t="n">
        <f aca="false">O32-P32</f>
        <v>0</v>
      </c>
    </row>
    <row r="33" customFormat="false" ht="15" hidden="false" customHeight="false" outlineLevel="0" collapsed="false">
      <c r="A33" s="189" t="n">
        <v>2053</v>
      </c>
      <c r="B33" s="189" t="n">
        <v>64</v>
      </c>
      <c r="C33" s="189" t="s">
        <v>5538</v>
      </c>
      <c r="D33" s="187" t="n">
        <v>0</v>
      </c>
      <c r="E33" s="187" t="n">
        <v>48868.3581225435</v>
      </c>
      <c r="F33" s="187" t="n">
        <v>0</v>
      </c>
      <c r="G33" s="187" t="n">
        <v>18879.2044958701</v>
      </c>
      <c r="H33" s="187" t="n">
        <v>0</v>
      </c>
      <c r="I33" s="195" t="n">
        <f aca="false">SUM(D33:H33)</f>
        <v>67747.5626184136</v>
      </c>
      <c r="J33" s="187" t="n">
        <v>2946.12571794428</v>
      </c>
      <c r="K33" s="187" t="n">
        <v>669.820357089675</v>
      </c>
      <c r="L33" s="187" t="n">
        <v>3184.13544306544</v>
      </c>
      <c r="M33" s="195" t="n">
        <f aca="false">SUM(J33:L33)</f>
        <v>6800.08151809939</v>
      </c>
      <c r="N33" s="187" t="n">
        <v>0</v>
      </c>
      <c r="O33" s="195" t="n">
        <f aca="false">I33-M33-N33</f>
        <v>60947.4811003142</v>
      </c>
      <c r="P33" s="187" t="n">
        <v>60947.4811003142</v>
      </c>
      <c r="Q33" s="187" t="n">
        <v>81589.1735834449</v>
      </c>
      <c r="R33" s="187" t="n">
        <v>0</v>
      </c>
      <c r="S33" s="195" t="n">
        <f aca="false">O33-Q33-R33</f>
        <v>-20641.6924831306</v>
      </c>
      <c r="T33" s="187" t="n">
        <v>0</v>
      </c>
      <c r="U33" s="187" t="n">
        <v>0</v>
      </c>
      <c r="V33" s="187" t="n">
        <v>0</v>
      </c>
      <c r="W33" s="187" t="n">
        <v>0</v>
      </c>
      <c r="X33" s="187" t="n">
        <v>20641.6924831307</v>
      </c>
      <c r="Y33" s="187" t="n">
        <v>0</v>
      </c>
      <c r="Z33" s="187" t="n">
        <v>0</v>
      </c>
      <c r="AA33" s="187" t="n">
        <v>0</v>
      </c>
      <c r="AB33" s="187" t="n">
        <v>0</v>
      </c>
      <c r="AC33" s="187" t="n">
        <v>0</v>
      </c>
      <c r="AD33" s="187" t="n">
        <v>1259.49223101969</v>
      </c>
      <c r="AE33" s="187" t="n">
        <v>165730.060190927</v>
      </c>
      <c r="AF33" s="187" t="n">
        <v>0</v>
      </c>
      <c r="AG33" s="187" t="n">
        <v>162569.72588166</v>
      </c>
      <c r="AH33" s="187" t="n">
        <v>2493.10932636552</v>
      </c>
      <c r="AI33" s="187" t="n">
        <v>23989.6265534582</v>
      </c>
      <c r="AJ33" s="187" t="n">
        <v>16943.1400696457</v>
      </c>
      <c r="AK33" s="187" t="n">
        <v>0</v>
      </c>
      <c r="AL33" s="195" t="n">
        <f aca="false">SUM(AE33:AK33)</f>
        <v>371725.662022056</v>
      </c>
      <c r="AM33" s="187" t="n">
        <v>371725.662022056</v>
      </c>
      <c r="AN33" s="187" t="n">
        <v>467373.586499761</v>
      </c>
      <c r="AO33" s="195" t="n">
        <f aca="false">O33-P33</f>
        <v>0</v>
      </c>
    </row>
    <row r="34" customFormat="false" ht="15" hidden="false" customHeight="false" outlineLevel="0" collapsed="false">
      <c r="A34" s="189" t="n">
        <v>2054</v>
      </c>
      <c r="B34" s="189" t="n">
        <v>65</v>
      </c>
      <c r="C34" s="189" t="s">
        <v>5538</v>
      </c>
      <c r="D34" s="187" t="n">
        <v>0</v>
      </c>
      <c r="E34" s="187" t="n">
        <v>50334.4088662198</v>
      </c>
      <c r="F34" s="187" t="n">
        <v>0</v>
      </c>
      <c r="G34" s="187" t="n">
        <v>18694.9434599904</v>
      </c>
      <c r="H34" s="187" t="n">
        <v>0</v>
      </c>
      <c r="I34" s="195" t="n">
        <f aca="false">SUM(D34:H34)</f>
        <v>69029.3523262102</v>
      </c>
      <c r="J34" s="187" t="n">
        <v>3102.78494854825</v>
      </c>
      <c r="K34" s="187" t="n">
        <v>696.660577346258</v>
      </c>
      <c r="L34" s="187" t="n">
        <v>3244.37955933188</v>
      </c>
      <c r="M34" s="195" t="n">
        <f aca="false">SUM(J34:L34)</f>
        <v>7043.82508522638</v>
      </c>
      <c r="N34" s="187" t="n">
        <v>0</v>
      </c>
      <c r="O34" s="195" t="n">
        <f aca="false">I34-M34-N34</f>
        <v>61985.5272409838</v>
      </c>
      <c r="P34" s="187" t="n">
        <v>61985.5272409838</v>
      </c>
      <c r="Q34" s="187" t="n">
        <v>83220.9570551138</v>
      </c>
      <c r="R34" s="187" t="n">
        <v>0</v>
      </c>
      <c r="S34" s="195" t="n">
        <f aca="false">O34-Q34-R34</f>
        <v>-21235.4298141299</v>
      </c>
      <c r="T34" s="187" t="n">
        <v>0</v>
      </c>
      <c r="U34" s="187" t="n">
        <v>0</v>
      </c>
      <c r="V34" s="187" t="n">
        <v>0</v>
      </c>
      <c r="W34" s="187" t="n">
        <v>0</v>
      </c>
      <c r="X34" s="187" t="n">
        <v>21235.4298141299</v>
      </c>
      <c r="Y34" s="187" t="n">
        <v>0</v>
      </c>
      <c r="Z34" s="187" t="n">
        <v>0</v>
      </c>
      <c r="AA34" s="187" t="n">
        <v>0</v>
      </c>
      <c r="AB34" s="187" t="n">
        <v>0</v>
      </c>
      <c r="AC34" s="187" t="n">
        <v>0</v>
      </c>
      <c r="AD34" s="187" t="n">
        <v>1344.21267753116</v>
      </c>
      <c r="AE34" s="187" t="n">
        <v>145939.576680565</v>
      </c>
      <c r="AF34" s="187" t="n">
        <v>0</v>
      </c>
      <c r="AG34" s="187" t="n">
        <v>167728.302239395</v>
      </c>
      <c r="AH34" s="187" t="n">
        <v>2542.97151289283</v>
      </c>
      <c r="AI34" s="187" t="n">
        <v>24949.2116155965</v>
      </c>
      <c r="AJ34" s="187" t="n">
        <v>17112.5714703421</v>
      </c>
      <c r="AK34" s="187" t="n">
        <v>0</v>
      </c>
      <c r="AL34" s="195" t="n">
        <f aca="false">SUM(AE34:AK34)</f>
        <v>358272.633518792</v>
      </c>
      <c r="AM34" s="187" t="n">
        <v>358272.633518792</v>
      </c>
      <c r="AN34" s="187" t="n">
        <v>462812.020295523</v>
      </c>
      <c r="AO34" s="195" t="n">
        <f aca="false">O34-P34</f>
        <v>0</v>
      </c>
    </row>
    <row r="35" customFormat="false" ht="15" hidden="false" customHeight="false" outlineLevel="0" collapsed="false">
      <c r="A35" s="189" t="n">
        <v>2055</v>
      </c>
      <c r="B35" s="189" t="n">
        <v>66</v>
      </c>
      <c r="C35" s="189" t="s">
        <v>5538</v>
      </c>
      <c r="D35" s="187" t="n">
        <v>0</v>
      </c>
      <c r="E35" s="187" t="n">
        <v>51844.4411322064</v>
      </c>
      <c r="F35" s="187" t="n">
        <v>27638.5364219127</v>
      </c>
      <c r="G35" s="187" t="n">
        <v>18512.4808118209</v>
      </c>
      <c r="H35" s="187" t="n">
        <v>0</v>
      </c>
      <c r="I35" s="195" t="n">
        <f aca="false">SUM(D35:H35)</f>
        <v>97995.45836594</v>
      </c>
      <c r="J35" s="187" t="n">
        <v>4522.17025256303</v>
      </c>
      <c r="K35" s="187" t="n">
        <v>725.694111553049</v>
      </c>
      <c r="L35" s="187" t="n">
        <v>2436.6887332137</v>
      </c>
      <c r="M35" s="195" t="n">
        <f aca="false">SUM(J35:L35)</f>
        <v>7684.55309732978</v>
      </c>
      <c r="N35" s="187" t="n">
        <v>0</v>
      </c>
      <c r="O35" s="195" t="n">
        <f aca="false">I35-M35-N35</f>
        <v>90310.9052686103</v>
      </c>
      <c r="P35" s="187" t="n">
        <v>90310.9052686103</v>
      </c>
      <c r="Q35" s="187" t="n">
        <v>84885.376196216</v>
      </c>
      <c r="R35" s="187" t="n">
        <v>0</v>
      </c>
      <c r="S35" s="195" t="n">
        <f aca="false">O35-Q35-R35</f>
        <v>5425.52907239423</v>
      </c>
      <c r="T35" s="187" t="n">
        <v>5425.52907239423</v>
      </c>
      <c r="U35" s="187" t="n">
        <v>0</v>
      </c>
      <c r="V35" s="187" t="n">
        <v>0</v>
      </c>
      <c r="W35" s="187" t="n">
        <v>0</v>
      </c>
      <c r="X35" s="187" t="n">
        <v>0</v>
      </c>
      <c r="Y35" s="187" t="n">
        <v>0</v>
      </c>
      <c r="Z35" s="187" t="n">
        <v>0</v>
      </c>
      <c r="AA35" s="187" t="n">
        <v>0</v>
      </c>
      <c r="AB35" s="187" t="n">
        <v>0</v>
      </c>
      <c r="AC35" s="187" t="n">
        <v>0</v>
      </c>
      <c r="AD35" s="187" t="n">
        <v>1404.92167715552</v>
      </c>
      <c r="AE35" s="187" t="n">
        <v>150686.843065242</v>
      </c>
      <c r="AF35" s="187" t="n">
        <v>0</v>
      </c>
      <c r="AG35" s="187" t="n">
        <v>175289.532745932</v>
      </c>
      <c r="AH35" s="187" t="n">
        <v>2593.83094315069</v>
      </c>
      <c r="AI35" s="187" t="n">
        <v>25947.1800802203</v>
      </c>
      <c r="AJ35" s="187" t="n">
        <v>17283.6971850456</v>
      </c>
      <c r="AK35" s="187" t="n">
        <v>0</v>
      </c>
      <c r="AL35" s="195" t="n">
        <f aca="false">SUM(AE35:AK35)</f>
        <v>371801.08401959</v>
      </c>
      <c r="AM35" s="187" t="n">
        <v>371801.08401959</v>
      </c>
      <c r="AN35" s="187" t="n">
        <v>458294.974977439</v>
      </c>
      <c r="AO35" s="195" t="n">
        <f aca="false">O35-P35</f>
        <v>0</v>
      </c>
    </row>
    <row r="36" customFormat="false" ht="15" hidden="false" customHeight="false" outlineLevel="0" collapsed="false">
      <c r="A36" s="189" t="n">
        <v>2056</v>
      </c>
      <c r="B36" s="189" t="n">
        <v>67</v>
      </c>
      <c r="C36" s="189" t="s">
        <v>5538</v>
      </c>
      <c r="D36" s="187" t="n">
        <v>0</v>
      </c>
      <c r="E36" s="187" t="n">
        <v>0</v>
      </c>
      <c r="F36" s="187" t="n">
        <v>50744.3528706318</v>
      </c>
      <c r="G36" s="187" t="n">
        <v>18331.7989990976</v>
      </c>
      <c r="H36" s="187" t="n">
        <v>0</v>
      </c>
      <c r="I36" s="195" t="n">
        <f aca="false">SUM(D36:H36)</f>
        <v>69076.1518697293</v>
      </c>
      <c r="J36" s="187" t="n">
        <v>1615.39130537097</v>
      </c>
      <c r="K36" s="187" t="n">
        <v>0</v>
      </c>
      <c r="L36" s="187" t="n">
        <v>0</v>
      </c>
      <c r="M36" s="195" t="n">
        <f aca="false">SUM(J36:L36)</f>
        <v>1615.39130537097</v>
      </c>
      <c r="N36" s="187" t="n">
        <v>0</v>
      </c>
      <c r="O36" s="195" t="n">
        <f aca="false">I36-M36-N36</f>
        <v>67460.7605643583</v>
      </c>
      <c r="P36" s="187" t="n">
        <v>67460.7605643583</v>
      </c>
      <c r="Q36" s="187" t="n">
        <v>86583.0837201404</v>
      </c>
      <c r="R36" s="187" t="n">
        <v>0</v>
      </c>
      <c r="S36" s="195" t="n">
        <f aca="false">O36-Q36-R36</f>
        <v>-19122.323155782</v>
      </c>
      <c r="T36" s="187" t="n">
        <v>0</v>
      </c>
      <c r="U36" s="187" t="n">
        <v>0</v>
      </c>
      <c r="V36" s="187" t="n">
        <v>0</v>
      </c>
      <c r="W36" s="187" t="n">
        <v>0</v>
      </c>
      <c r="X36" s="187" t="n">
        <v>19122.323155782</v>
      </c>
      <c r="Y36" s="187" t="n">
        <v>0</v>
      </c>
      <c r="Z36" s="187" t="n">
        <v>0</v>
      </c>
      <c r="AA36" s="187" t="n">
        <v>0</v>
      </c>
      <c r="AB36" s="187" t="n">
        <v>0</v>
      </c>
      <c r="AC36" s="187" t="n">
        <v>0</v>
      </c>
      <c r="AD36" s="187" t="n">
        <v>1467.50042395707</v>
      </c>
      <c r="AE36" s="187" t="n">
        <v>132880.165108554</v>
      </c>
      <c r="AF36" s="187" t="n">
        <v>0</v>
      </c>
      <c r="AG36" s="187" t="n">
        <v>180833.613631812</v>
      </c>
      <c r="AH36" s="187" t="n">
        <v>2645.7075620137</v>
      </c>
      <c r="AI36" s="187" t="n">
        <v>26985.0672834292</v>
      </c>
      <c r="AJ36" s="187" t="n">
        <v>17456.534156896</v>
      </c>
      <c r="AK36" s="187" t="n">
        <v>0</v>
      </c>
      <c r="AL36" s="195" t="n">
        <f aca="false">SUM(AE36:AK36)</f>
        <v>360801.087742705</v>
      </c>
      <c r="AM36" s="187" t="n">
        <v>360801.087742705</v>
      </c>
      <c r="AN36" s="187" t="n">
        <v>453822.016021659</v>
      </c>
      <c r="AO36" s="195" t="n">
        <f aca="false">O36-P36</f>
        <v>0</v>
      </c>
    </row>
    <row r="37" customFormat="false" ht="15" hidden="false" customHeight="false" outlineLevel="0" collapsed="false">
      <c r="A37" s="189" t="n">
        <v>2057</v>
      </c>
      <c r="B37" s="189" t="n">
        <v>68</v>
      </c>
      <c r="C37" s="189" t="s">
        <v>5538</v>
      </c>
      <c r="D37" s="187" t="n">
        <v>0</v>
      </c>
      <c r="E37" s="187" t="n">
        <v>0</v>
      </c>
      <c r="F37" s="187" t="n">
        <v>51759.2399280444</v>
      </c>
      <c r="G37" s="187" t="n">
        <v>18152.8806408664</v>
      </c>
      <c r="H37" s="187" t="n">
        <v>0</v>
      </c>
      <c r="I37" s="195" t="n">
        <f aca="false">SUM(D37:H37)</f>
        <v>69912.1205689108</v>
      </c>
      <c r="J37" s="187" t="n">
        <v>1538.58826383576</v>
      </c>
      <c r="K37" s="187" t="n">
        <v>0</v>
      </c>
      <c r="L37" s="187" t="n">
        <v>0</v>
      </c>
      <c r="M37" s="195" t="n">
        <f aca="false">SUM(J37:L37)</f>
        <v>1538.58826383576</v>
      </c>
      <c r="N37" s="187" t="n">
        <v>0</v>
      </c>
      <c r="O37" s="195" t="n">
        <f aca="false">I37-M37-N37</f>
        <v>68373.532305075</v>
      </c>
      <c r="P37" s="187" t="n">
        <v>68373.532305075</v>
      </c>
      <c r="Q37" s="187" t="n">
        <v>88314.7453945432</v>
      </c>
      <c r="R37" s="187" t="n">
        <v>0</v>
      </c>
      <c r="S37" s="195" t="n">
        <f aca="false">O37-Q37-R37</f>
        <v>-19941.2130894682</v>
      </c>
      <c r="T37" s="187" t="n">
        <v>0</v>
      </c>
      <c r="U37" s="187" t="n">
        <v>0</v>
      </c>
      <c r="V37" s="187" t="n">
        <v>0</v>
      </c>
      <c r="W37" s="187" t="n">
        <v>0</v>
      </c>
      <c r="X37" s="187" t="n">
        <v>19941.2130894682</v>
      </c>
      <c r="Y37" s="187" t="n">
        <v>0</v>
      </c>
      <c r="Z37" s="187" t="n">
        <v>0</v>
      </c>
      <c r="AA37" s="187" t="n">
        <v>0</v>
      </c>
      <c r="AB37" s="187" t="n">
        <v>0</v>
      </c>
      <c r="AC37" s="187" t="n">
        <v>0</v>
      </c>
      <c r="AD37" s="187" t="n">
        <v>1532.00597989487</v>
      </c>
      <c r="AE37" s="187" t="n">
        <v>114068.341539277</v>
      </c>
      <c r="AF37" s="187" t="n">
        <v>0</v>
      </c>
      <c r="AG37" s="187" t="n">
        <v>186534.952197189</v>
      </c>
      <c r="AH37" s="187" t="n">
        <v>2698.62171325397</v>
      </c>
      <c r="AI37" s="187" t="n">
        <v>28064.4699747663</v>
      </c>
      <c r="AJ37" s="187" t="n">
        <v>17631.099498465</v>
      </c>
      <c r="AK37" s="187" t="n">
        <v>0</v>
      </c>
      <c r="AL37" s="195" t="n">
        <f aca="false">SUM(AE37:AK37)</f>
        <v>348997.484922951</v>
      </c>
      <c r="AM37" s="187" t="n">
        <v>348997.484922951</v>
      </c>
      <c r="AN37" s="187" t="n">
        <v>449392.713145288</v>
      </c>
      <c r="AO37" s="195" t="n">
        <f aca="false">O37-P37</f>
        <v>0</v>
      </c>
    </row>
    <row r="38" customFormat="false" ht="15" hidden="false" customHeight="false" outlineLevel="0" collapsed="false">
      <c r="A38" s="189" t="n">
        <v>2058</v>
      </c>
      <c r="B38" s="189" t="n">
        <v>69</v>
      </c>
      <c r="C38" s="189" t="s">
        <v>5538</v>
      </c>
      <c r="D38" s="187" t="n">
        <v>0</v>
      </c>
      <c r="E38" s="187" t="n">
        <v>0</v>
      </c>
      <c r="F38" s="187" t="n">
        <v>52794.4247266053</v>
      </c>
      <c r="G38" s="187" t="n">
        <v>17975.7085258115</v>
      </c>
      <c r="H38" s="187" t="n">
        <v>0</v>
      </c>
      <c r="I38" s="195" t="n">
        <f aca="false">SUM(D38:H38)</f>
        <v>70770.1332524168</v>
      </c>
      <c r="J38" s="187" t="n">
        <v>1461.31408353804</v>
      </c>
      <c r="K38" s="187" t="n">
        <v>0</v>
      </c>
      <c r="L38" s="187" t="n">
        <v>0</v>
      </c>
      <c r="M38" s="195" t="n">
        <f aca="false">SUM(J38:L38)</f>
        <v>1461.31408353804</v>
      </c>
      <c r="N38" s="187" t="n">
        <v>0</v>
      </c>
      <c r="O38" s="195" t="n">
        <f aca="false">I38-M38-N38</f>
        <v>69308.8191688788</v>
      </c>
      <c r="P38" s="187" t="n">
        <v>69308.8191688788</v>
      </c>
      <c r="Q38" s="187" t="n">
        <v>90081.040302434</v>
      </c>
      <c r="R38" s="187" t="n">
        <v>0</v>
      </c>
      <c r="S38" s="195" t="n">
        <f aca="false">O38-Q38-R38</f>
        <v>-20772.2211335553</v>
      </c>
      <c r="T38" s="187" t="n">
        <v>0</v>
      </c>
      <c r="U38" s="187" t="n">
        <v>0</v>
      </c>
      <c r="V38" s="187" t="n">
        <v>0</v>
      </c>
      <c r="W38" s="187" t="n">
        <v>0</v>
      </c>
      <c r="X38" s="187" t="n">
        <v>20772.2211335553</v>
      </c>
      <c r="Y38" s="187" t="n">
        <v>0</v>
      </c>
      <c r="Z38" s="187" t="n">
        <v>0</v>
      </c>
      <c r="AA38" s="187" t="n">
        <v>0</v>
      </c>
      <c r="AB38" s="187" t="n">
        <v>0</v>
      </c>
      <c r="AC38" s="187" t="n">
        <v>0</v>
      </c>
      <c r="AD38" s="187" t="n">
        <v>1598.49713817766</v>
      </c>
      <c r="AE38" s="187" t="n">
        <v>94229.0816097789</v>
      </c>
      <c r="AF38" s="187" t="n">
        <v>0</v>
      </c>
      <c r="AG38" s="187" t="n">
        <v>192397.853146899</v>
      </c>
      <c r="AH38" s="187" t="n">
        <v>2752.59414751905</v>
      </c>
      <c r="AI38" s="187" t="n">
        <v>29187.048773757</v>
      </c>
      <c r="AJ38" s="187" t="n">
        <v>17807.4104934496</v>
      </c>
      <c r="AK38" s="187" t="n">
        <v>0</v>
      </c>
      <c r="AL38" s="195" t="n">
        <f aca="false">SUM(AE38:AK38)</f>
        <v>336373.988171404</v>
      </c>
      <c r="AM38" s="187" t="n">
        <v>336373.988171404</v>
      </c>
      <c r="AN38" s="187" t="n">
        <v>445006.64026499</v>
      </c>
      <c r="AO38" s="195" t="n">
        <f aca="false">O38-P38</f>
        <v>0</v>
      </c>
    </row>
    <row r="39" customFormat="false" ht="15" hidden="false" customHeight="false" outlineLevel="0" collapsed="false">
      <c r="A39" s="189" t="n">
        <v>2059</v>
      </c>
      <c r="B39" s="189" t="n">
        <v>70</v>
      </c>
      <c r="C39" s="189" t="s">
        <v>5538</v>
      </c>
      <c r="D39" s="187" t="n">
        <v>0</v>
      </c>
      <c r="E39" s="187" t="n">
        <v>0</v>
      </c>
      <c r="F39" s="187" t="n">
        <v>53850.3132211374</v>
      </c>
      <c r="G39" s="187" t="n">
        <v>17800.2656105996</v>
      </c>
      <c r="H39" s="187" t="n">
        <v>0</v>
      </c>
      <c r="I39" s="195" t="n">
        <f aca="false">SUM(D39:H39)</f>
        <v>71650.578831737</v>
      </c>
      <c r="J39" s="187" t="n">
        <v>1383.54894806317</v>
      </c>
      <c r="K39" s="187" t="n">
        <v>0</v>
      </c>
      <c r="L39" s="187" t="n">
        <v>0</v>
      </c>
      <c r="M39" s="195" t="n">
        <f aca="false">SUM(J39:L39)</f>
        <v>1383.54894806317</v>
      </c>
      <c r="N39" s="187" t="n">
        <v>0</v>
      </c>
      <c r="O39" s="195" t="n">
        <f aca="false">I39-M39-N39</f>
        <v>70267.0298836738</v>
      </c>
      <c r="P39" s="187" t="n">
        <v>70267.0298836738</v>
      </c>
      <c r="Q39" s="187" t="n">
        <v>91882.6611084827</v>
      </c>
      <c r="R39" s="187" t="n">
        <v>0</v>
      </c>
      <c r="S39" s="195" t="n">
        <f aca="false">O39-Q39-R39</f>
        <v>-21615.6312248089</v>
      </c>
      <c r="T39" s="187" t="n">
        <v>0</v>
      </c>
      <c r="U39" s="187" t="n">
        <v>0</v>
      </c>
      <c r="V39" s="187" t="n">
        <v>0</v>
      </c>
      <c r="W39" s="187" t="n">
        <v>0</v>
      </c>
      <c r="X39" s="187" t="n">
        <v>21615.6312248089</v>
      </c>
      <c r="Y39" s="187" t="n">
        <v>0</v>
      </c>
      <c r="Z39" s="187" t="n">
        <v>0</v>
      </c>
      <c r="AA39" s="187" t="n">
        <v>0</v>
      </c>
      <c r="AB39" s="187" t="n">
        <v>0</v>
      </c>
      <c r="AC39" s="187" t="n">
        <v>0</v>
      </c>
      <c r="AD39" s="187" t="n">
        <v>10005.2456065195</v>
      </c>
      <c r="AE39" s="187" t="n">
        <v>73339.5848888197</v>
      </c>
      <c r="AF39" s="187" t="n">
        <v>0</v>
      </c>
      <c r="AG39" s="187" t="n">
        <v>190088.521666256</v>
      </c>
      <c r="AH39" s="187" t="n">
        <v>2807.64603046943</v>
      </c>
      <c r="AI39" s="187" t="n">
        <v>30354.5307247073</v>
      </c>
      <c r="AJ39" s="187" t="n">
        <v>17985.4845983841</v>
      </c>
      <c r="AK39" s="187" t="n">
        <v>0</v>
      </c>
      <c r="AL39" s="195" t="n">
        <f aca="false">SUM(AE39:AK39)</f>
        <v>314575.767908636</v>
      </c>
      <c r="AM39" s="187" t="n">
        <v>314575.767908636</v>
      </c>
      <c r="AN39" s="187" t="n">
        <v>440663.375456004</v>
      </c>
      <c r="AO39" s="195" t="n">
        <f aca="false">O39-P39</f>
        <v>0</v>
      </c>
    </row>
    <row r="40" customFormat="false" ht="15" hidden="false" customHeight="false" outlineLevel="0" collapsed="false">
      <c r="A40" s="189" t="n">
        <v>2060</v>
      </c>
      <c r="B40" s="189" t="n">
        <v>71</v>
      </c>
      <c r="C40" s="189" t="s">
        <v>5538</v>
      </c>
      <c r="D40" s="187" t="n">
        <v>0</v>
      </c>
      <c r="E40" s="187" t="n">
        <v>0</v>
      </c>
      <c r="F40" s="187" t="n">
        <v>54927.3194855601</v>
      </c>
      <c r="G40" s="187" t="n">
        <v>22033.1687728002</v>
      </c>
      <c r="H40" s="187" t="n">
        <v>0</v>
      </c>
      <c r="I40" s="195" t="n">
        <f aca="false">SUM(D40:H40)</f>
        <v>76960.4882583603</v>
      </c>
      <c r="J40" s="187" t="n">
        <v>2186.59949702215</v>
      </c>
      <c r="K40" s="187" t="n">
        <v>0</v>
      </c>
      <c r="L40" s="187" t="n">
        <v>0</v>
      </c>
      <c r="M40" s="195" t="n">
        <f aca="false">SUM(J40:L40)</f>
        <v>2186.59949702215</v>
      </c>
      <c r="N40" s="187" t="n">
        <v>0</v>
      </c>
      <c r="O40" s="195" t="n">
        <f aca="false">I40-M40-N40</f>
        <v>74773.8887613382</v>
      </c>
      <c r="P40" s="187" t="n">
        <v>74773.8887613382</v>
      </c>
      <c r="Q40" s="187" t="n">
        <v>93720.3143306524</v>
      </c>
      <c r="R40" s="187" t="n">
        <v>0</v>
      </c>
      <c r="S40" s="195" t="n">
        <f aca="false">O40-Q40-R40</f>
        <v>-18946.4255693142</v>
      </c>
      <c r="T40" s="187" t="n">
        <v>0</v>
      </c>
      <c r="U40" s="187" t="n">
        <v>0</v>
      </c>
      <c r="V40" s="187" t="n">
        <v>0</v>
      </c>
      <c r="W40" s="187" t="n">
        <v>0</v>
      </c>
      <c r="X40" s="187" t="n">
        <v>18946.4255693142</v>
      </c>
      <c r="Y40" s="187" t="n">
        <v>0</v>
      </c>
      <c r="Z40" s="187" t="n">
        <v>0</v>
      </c>
      <c r="AA40" s="187" t="n">
        <v>0</v>
      </c>
      <c r="AB40" s="187" t="n">
        <v>0</v>
      </c>
      <c r="AC40" s="187" t="n">
        <v>0</v>
      </c>
      <c r="AD40" s="187" t="n">
        <v>1420.77045702311</v>
      </c>
      <c r="AE40" s="187" t="n">
        <v>54937.0909127005</v>
      </c>
      <c r="AF40" s="187" t="n">
        <v>0</v>
      </c>
      <c r="AG40" s="187" t="n">
        <v>196271.292075883</v>
      </c>
      <c r="AH40" s="187" t="n">
        <v>2863.79895107882</v>
      </c>
      <c r="AI40" s="187" t="n">
        <v>31568.7119536955</v>
      </c>
      <c r="AJ40" s="187" t="n">
        <v>18165.339444368</v>
      </c>
      <c r="AK40" s="187" t="n">
        <v>0</v>
      </c>
      <c r="AL40" s="195" t="n">
        <f aca="false">SUM(AE40:AK40)</f>
        <v>303806.233337726</v>
      </c>
      <c r="AM40" s="187" t="n">
        <v>303806.233337726</v>
      </c>
      <c r="AN40" s="187" t="n">
        <v>431817.058193724</v>
      </c>
      <c r="AO40" s="195" t="n">
        <f aca="false">O40-P40</f>
        <v>0</v>
      </c>
    </row>
    <row r="41" customFormat="false" ht="15" hidden="false" customHeight="false" outlineLevel="0" collapsed="false">
      <c r="A41" s="189" t="n">
        <v>2061</v>
      </c>
      <c r="B41" s="189" t="n">
        <v>72</v>
      </c>
      <c r="C41" s="189" t="s">
        <v>5538</v>
      </c>
      <c r="D41" s="187" t="n">
        <v>0</v>
      </c>
      <c r="E41" s="187" t="n">
        <v>0</v>
      </c>
      <c r="F41" s="187" t="n">
        <v>56025.8658752713</v>
      </c>
      <c r="G41" s="187" t="n">
        <v>21590.8529096862</v>
      </c>
      <c r="H41" s="187" t="n">
        <v>0</v>
      </c>
      <c r="I41" s="195" t="n">
        <f aca="false">SUM(D41:H41)</f>
        <v>77616.7187849576</v>
      </c>
      <c r="J41" s="187" t="n">
        <v>2053.7356392486</v>
      </c>
      <c r="K41" s="187" t="n">
        <v>0</v>
      </c>
      <c r="L41" s="187" t="n">
        <v>0</v>
      </c>
      <c r="M41" s="195" t="n">
        <f aca="false">SUM(J41:L41)</f>
        <v>2053.7356392486</v>
      </c>
      <c r="N41" s="187" t="n">
        <v>0</v>
      </c>
      <c r="O41" s="195" t="n">
        <f aca="false">I41-M41-N41</f>
        <v>75562.983145709</v>
      </c>
      <c r="P41" s="187" t="n">
        <v>75562.983145709</v>
      </c>
      <c r="Q41" s="187" t="n">
        <v>95594.7206172654</v>
      </c>
      <c r="R41" s="187" t="n">
        <v>0</v>
      </c>
      <c r="S41" s="195" t="n">
        <f aca="false">O41-Q41-R41</f>
        <v>-20031.7374715565</v>
      </c>
      <c r="T41" s="187" t="n">
        <v>0</v>
      </c>
      <c r="U41" s="187" t="n">
        <v>0</v>
      </c>
      <c r="V41" s="187" t="n">
        <v>0</v>
      </c>
      <c r="W41" s="187" t="n">
        <v>0</v>
      </c>
      <c r="X41" s="187" t="n">
        <v>20031.7374715565</v>
      </c>
      <c r="Y41" s="187" t="n">
        <v>0</v>
      </c>
      <c r="Z41" s="187" t="n">
        <v>0</v>
      </c>
      <c r="AA41" s="187" t="n">
        <v>0</v>
      </c>
      <c r="AB41" s="187" t="n">
        <v>0</v>
      </c>
      <c r="AC41" s="187" t="n">
        <v>0</v>
      </c>
      <c r="AD41" s="187" t="n">
        <v>1547.30234147914</v>
      </c>
      <c r="AE41" s="187" t="n">
        <v>35254.4069755555</v>
      </c>
      <c r="AF41" s="187" t="n">
        <v>0</v>
      </c>
      <c r="AG41" s="187" t="n">
        <v>202574.841417439</v>
      </c>
      <c r="AH41" s="187" t="n">
        <v>2921.0749301004</v>
      </c>
      <c r="AI41" s="187" t="n">
        <v>32831.4604318434</v>
      </c>
      <c r="AJ41" s="187" t="n">
        <v>18346.9928388116</v>
      </c>
      <c r="AK41" s="187" t="n">
        <v>0</v>
      </c>
      <c r="AL41" s="195" t="n">
        <f aca="false">SUM(AE41:AK41)</f>
        <v>291928.77659375</v>
      </c>
      <c r="AM41" s="187" t="n">
        <v>291928.77659375</v>
      </c>
      <c r="AN41" s="187" t="n">
        <v>423148.330750486</v>
      </c>
      <c r="AO41" s="195" t="n">
        <f aca="false">O41-P41</f>
        <v>0</v>
      </c>
    </row>
    <row r="42" customFormat="false" ht="15" hidden="false" customHeight="false" outlineLevel="0" collapsed="false">
      <c r="A42" s="189" t="n">
        <v>2062</v>
      </c>
      <c r="B42" s="189" t="n">
        <v>73</v>
      </c>
      <c r="C42" s="189" t="s">
        <v>5538</v>
      </c>
      <c r="D42" s="187" t="n">
        <v>0</v>
      </c>
      <c r="E42" s="187" t="n">
        <v>0</v>
      </c>
      <c r="F42" s="187" t="n">
        <v>57146.3831927768</v>
      </c>
      <c r="G42" s="187" t="n">
        <v>21157.4165375243</v>
      </c>
      <c r="H42" s="187" t="n">
        <v>0</v>
      </c>
      <c r="I42" s="195" t="n">
        <f aca="false">SUM(D42:H42)</f>
        <v>78303.799730301</v>
      </c>
      <c r="J42" s="187" t="n">
        <v>1921.75966596244</v>
      </c>
      <c r="K42" s="187" t="n">
        <v>0</v>
      </c>
      <c r="L42" s="187" t="n">
        <v>0</v>
      </c>
      <c r="M42" s="195" t="n">
        <f aca="false">SUM(J42:L42)</f>
        <v>1921.75966596244</v>
      </c>
      <c r="N42" s="187" t="n">
        <v>0</v>
      </c>
      <c r="O42" s="195" t="n">
        <f aca="false">I42-M42-N42</f>
        <v>76382.0400643386</v>
      </c>
      <c r="P42" s="187" t="n">
        <v>76382.0400643386</v>
      </c>
      <c r="Q42" s="187" t="n">
        <v>97506.6150296107</v>
      </c>
      <c r="R42" s="187" t="n">
        <v>0</v>
      </c>
      <c r="S42" s="195" t="n">
        <f aca="false">O42-Q42-R42</f>
        <v>-21124.5749652721</v>
      </c>
      <c r="T42" s="187" t="n">
        <v>0</v>
      </c>
      <c r="U42" s="187" t="n">
        <v>0</v>
      </c>
      <c r="V42" s="187" t="n">
        <v>0</v>
      </c>
      <c r="W42" s="187" t="n">
        <v>0</v>
      </c>
      <c r="X42" s="187" t="n">
        <v>21124.5749652721</v>
      </c>
      <c r="Y42" s="187" t="n">
        <v>0</v>
      </c>
      <c r="Z42" s="187" t="n">
        <v>0</v>
      </c>
      <c r="AA42" s="187" t="n">
        <v>0</v>
      </c>
      <c r="AB42" s="187" t="n">
        <v>0</v>
      </c>
      <c r="AC42" s="187" t="n">
        <v>0</v>
      </c>
      <c r="AD42" s="187" t="n">
        <v>1955.3341743135</v>
      </c>
      <c r="AE42" s="187" t="n">
        <v>14271.1303303862</v>
      </c>
      <c r="AF42" s="187" t="n">
        <v>0</v>
      </c>
      <c r="AG42" s="187" t="n">
        <v>208722.500899823</v>
      </c>
      <c r="AH42" s="187" t="n">
        <v>2979.49642870241</v>
      </c>
      <c r="AI42" s="187" t="n">
        <v>34144.7188491171</v>
      </c>
      <c r="AJ42" s="187" t="n">
        <v>18530.4627671998</v>
      </c>
      <c r="AK42" s="187" t="n">
        <v>0</v>
      </c>
      <c r="AL42" s="195" t="n">
        <f aca="false">SUM(AE42:AK42)</f>
        <v>278648.309275229</v>
      </c>
      <c r="AM42" s="187" t="n">
        <v>278648.309275229</v>
      </c>
      <c r="AN42" s="187" t="n">
        <v>414653.62801067</v>
      </c>
      <c r="AO42" s="195" t="n">
        <f aca="false">O42-P42</f>
        <v>0</v>
      </c>
    </row>
    <row r="43" customFormat="false" ht="15" hidden="false" customHeight="false" outlineLevel="0" collapsed="false">
      <c r="A43" s="189" t="n">
        <v>2063</v>
      </c>
      <c r="B43" s="189" t="n">
        <v>74</v>
      </c>
      <c r="C43" s="189" t="s">
        <v>5538</v>
      </c>
      <c r="D43" s="187" t="n">
        <v>0</v>
      </c>
      <c r="E43" s="187" t="n">
        <v>0</v>
      </c>
      <c r="F43" s="187" t="n">
        <v>58289.3108566323</v>
      </c>
      <c r="G43" s="187" t="n">
        <v>20732.6814005335</v>
      </c>
      <c r="H43" s="187" t="n">
        <v>0</v>
      </c>
      <c r="I43" s="195" t="n">
        <f aca="false">SUM(D43:H43)</f>
        <v>79021.9922571658</v>
      </c>
      <c r="J43" s="187" t="n">
        <v>1790.61816573343</v>
      </c>
      <c r="K43" s="187" t="n">
        <v>0</v>
      </c>
      <c r="L43" s="187" t="n">
        <v>0</v>
      </c>
      <c r="M43" s="195" t="n">
        <f aca="false">SUM(J43:L43)</f>
        <v>1790.61816573343</v>
      </c>
      <c r="N43" s="187" t="n">
        <v>0</v>
      </c>
      <c r="O43" s="195" t="n">
        <f aca="false">I43-M43-N43</f>
        <v>77231.3740914324</v>
      </c>
      <c r="P43" s="187" t="n">
        <v>77231.3740914324</v>
      </c>
      <c r="Q43" s="187" t="n">
        <v>99456.7473302029</v>
      </c>
      <c r="R43" s="187" t="n">
        <v>0</v>
      </c>
      <c r="S43" s="195" t="n">
        <f aca="false">O43-Q43-R43</f>
        <v>-22225.3732387706</v>
      </c>
      <c r="T43" s="187" t="n">
        <v>0</v>
      </c>
      <c r="U43" s="187" t="n">
        <v>0</v>
      </c>
      <c r="V43" s="187" t="n">
        <v>0</v>
      </c>
      <c r="W43" s="187" t="n">
        <v>0</v>
      </c>
      <c r="X43" s="187" t="n">
        <v>14271.1303303862</v>
      </c>
      <c r="Y43" s="187" t="n">
        <v>0</v>
      </c>
      <c r="Z43" s="187" t="n">
        <v>7954.24290838437</v>
      </c>
      <c r="AA43" s="187" t="n">
        <v>0</v>
      </c>
      <c r="AB43" s="187" t="n">
        <v>0</v>
      </c>
      <c r="AC43" s="187" t="n">
        <v>112.790570853595</v>
      </c>
      <c r="AD43" s="187" t="n">
        <v>1725.96427919018</v>
      </c>
      <c r="AE43" s="187" t="n">
        <v>0</v>
      </c>
      <c r="AF43" s="187" t="n">
        <v>0</v>
      </c>
      <c r="AG43" s="187" t="n">
        <v>206955.721838218</v>
      </c>
      <c r="AH43" s="187" t="n">
        <v>3039.08635727646</v>
      </c>
      <c r="AI43" s="187" t="n">
        <v>35510.5076030818</v>
      </c>
      <c r="AJ43" s="187" t="n">
        <v>18715.7673948718</v>
      </c>
      <c r="AK43" s="187" t="n">
        <v>0</v>
      </c>
      <c r="AL43" s="195" t="n">
        <f aca="false">SUM(AE43:AK43)</f>
        <v>264221.083193448</v>
      </c>
      <c r="AM43" s="187" t="n">
        <v>264221.083193448</v>
      </c>
      <c r="AN43" s="187" t="n">
        <v>406329.456428355</v>
      </c>
      <c r="AO43" s="195" t="n">
        <f aca="false">O43-P43</f>
        <v>0</v>
      </c>
    </row>
    <row r="44" customFormat="false" ht="15" hidden="false" customHeight="false" outlineLevel="0" collapsed="false">
      <c r="A44" s="189" t="n">
        <v>2064</v>
      </c>
      <c r="B44" s="189" t="n">
        <v>75</v>
      </c>
      <c r="C44" s="189" t="s">
        <v>5538</v>
      </c>
      <c r="D44" s="187" t="n">
        <v>0</v>
      </c>
      <c r="E44" s="187" t="n">
        <v>0</v>
      </c>
      <c r="F44" s="187" t="n">
        <v>59455.0970737649</v>
      </c>
      <c r="G44" s="187" t="n">
        <v>20316.4728214178</v>
      </c>
      <c r="H44" s="187" t="n">
        <v>0</v>
      </c>
      <c r="I44" s="195" t="n">
        <f aca="false">SUM(D44:H44)</f>
        <v>79771.5698951827</v>
      </c>
      <c r="J44" s="187" t="n">
        <v>1660.25808762282</v>
      </c>
      <c r="K44" s="187" t="n">
        <v>0</v>
      </c>
      <c r="L44" s="187" t="n">
        <v>0</v>
      </c>
      <c r="M44" s="195" t="n">
        <f aca="false">SUM(J44:L44)</f>
        <v>1660.25808762282</v>
      </c>
      <c r="N44" s="187" t="n">
        <v>0</v>
      </c>
      <c r="O44" s="195" t="n">
        <f aca="false">I44-M44-N44</f>
        <v>78111.3118075599</v>
      </c>
      <c r="P44" s="187" t="n">
        <v>78111.3118075599</v>
      </c>
      <c r="Q44" s="187" t="n">
        <v>101445.882276807</v>
      </c>
      <c r="R44" s="187" t="n">
        <v>0</v>
      </c>
      <c r="S44" s="195" t="n">
        <f aca="false">O44-Q44-R44</f>
        <v>-23334.5704692471</v>
      </c>
      <c r="T44" s="187" t="n">
        <v>0</v>
      </c>
      <c r="U44" s="187" t="n">
        <v>0</v>
      </c>
      <c r="V44" s="187" t="n">
        <v>0</v>
      </c>
      <c r="W44" s="187" t="n">
        <v>0</v>
      </c>
      <c r="X44" s="187" t="n">
        <v>0</v>
      </c>
      <c r="Y44" s="187" t="n">
        <v>0</v>
      </c>
      <c r="Z44" s="187" t="n">
        <v>23334.5704692471</v>
      </c>
      <c r="AA44" s="187" t="n">
        <v>0</v>
      </c>
      <c r="AB44" s="187" t="n">
        <v>0</v>
      </c>
      <c r="AC44" s="187" t="n">
        <v>1464.58407142</v>
      </c>
      <c r="AD44" s="187" t="n">
        <v>1333.94636541551</v>
      </c>
      <c r="AE44" s="187" t="n">
        <v>0</v>
      </c>
      <c r="AF44" s="187" t="n">
        <v>0</v>
      </c>
      <c r="AG44" s="187" t="n">
        <v>188108.883624038</v>
      </c>
      <c r="AH44" s="187" t="n">
        <v>3099.86808442198</v>
      </c>
      <c r="AI44" s="187" t="n">
        <v>36930.9279072051</v>
      </c>
      <c r="AJ44" s="187" t="n">
        <v>18902.9250688205</v>
      </c>
      <c r="AK44" s="187" t="n">
        <v>0</v>
      </c>
      <c r="AL44" s="195" t="n">
        <f aca="false">SUM(AE44:AK44)</f>
        <v>247042.604684485</v>
      </c>
      <c r="AM44" s="187" t="n">
        <v>247042.604684485</v>
      </c>
      <c r="AN44" s="187" t="n">
        <v>398172.392590556</v>
      </c>
      <c r="AO44" s="195" t="n">
        <f aca="false">O44-P44</f>
        <v>0</v>
      </c>
    </row>
    <row r="45" customFormat="false" ht="15" hidden="false" customHeight="false" outlineLevel="0" collapsed="false">
      <c r="A45" s="189" t="n">
        <v>2065</v>
      </c>
      <c r="B45" s="189" t="n">
        <v>76</v>
      </c>
      <c r="C45" s="189" t="s">
        <v>5538</v>
      </c>
      <c r="D45" s="187" t="n">
        <v>0</v>
      </c>
      <c r="E45" s="187" t="n">
        <v>0</v>
      </c>
      <c r="F45" s="187" t="n">
        <v>60644.1990152402</v>
      </c>
      <c r="G45" s="187" t="n">
        <v>19908.6196295278</v>
      </c>
      <c r="H45" s="187" t="n">
        <v>0</v>
      </c>
      <c r="I45" s="195" t="n">
        <f aca="false">SUM(D45:H45)</f>
        <v>80552.818644768</v>
      </c>
      <c r="J45" s="187" t="n">
        <v>1530.62671971162</v>
      </c>
      <c r="K45" s="187" t="n">
        <v>0</v>
      </c>
      <c r="L45" s="187" t="n">
        <v>0</v>
      </c>
      <c r="M45" s="195" t="n">
        <f aca="false">SUM(J45:L45)</f>
        <v>1530.62671971162</v>
      </c>
      <c r="N45" s="187" t="n">
        <v>0</v>
      </c>
      <c r="O45" s="195" t="n">
        <f aca="false">I45-M45-N45</f>
        <v>79022.1919250564</v>
      </c>
      <c r="P45" s="187" t="n">
        <v>79022.1919250564</v>
      </c>
      <c r="Q45" s="187" t="n">
        <v>103474.799922343</v>
      </c>
      <c r="R45" s="187" t="n">
        <v>0</v>
      </c>
      <c r="S45" s="195" t="n">
        <f aca="false">O45-Q45-R45</f>
        <v>-24452.6079972867</v>
      </c>
      <c r="T45" s="187" t="n">
        <v>0</v>
      </c>
      <c r="U45" s="187" t="n">
        <v>0</v>
      </c>
      <c r="V45" s="187" t="n">
        <v>0</v>
      </c>
      <c r="W45" s="187" t="n">
        <v>0</v>
      </c>
      <c r="X45" s="187" t="n">
        <v>0</v>
      </c>
      <c r="Y45" s="187" t="n">
        <v>0</v>
      </c>
      <c r="Z45" s="187" t="n">
        <v>24452.6079972867</v>
      </c>
      <c r="AA45" s="187" t="n">
        <v>0</v>
      </c>
      <c r="AB45" s="187" t="n">
        <v>0</v>
      </c>
      <c r="AC45" s="187" t="n">
        <v>774.065171781095</v>
      </c>
      <c r="AD45" s="187" t="n">
        <v>1360.62529272382</v>
      </c>
      <c r="AE45" s="187" t="n">
        <v>0</v>
      </c>
      <c r="AF45" s="187" t="n">
        <v>0</v>
      </c>
      <c r="AG45" s="187" t="n">
        <v>168036.873580445</v>
      </c>
      <c r="AH45" s="187" t="n">
        <v>3161.86544611042</v>
      </c>
      <c r="AI45" s="187" t="n">
        <v>38408.1650234933</v>
      </c>
      <c r="AJ45" s="187" t="n">
        <v>19091.9543195087</v>
      </c>
      <c r="AK45" s="187" t="n">
        <v>0</v>
      </c>
      <c r="AL45" s="195" t="n">
        <f aca="false">SUM(AE45:AK45)</f>
        <v>228698.858369557</v>
      </c>
      <c r="AM45" s="187" t="n">
        <v>228698.858369557</v>
      </c>
      <c r="AN45" s="187" t="n">
        <v>390179.081809301</v>
      </c>
      <c r="AO45" s="195" t="n">
        <f aca="false">O45-P45</f>
        <v>0</v>
      </c>
    </row>
    <row r="46" customFormat="false" ht="15" hidden="false" customHeight="false" outlineLevel="0" collapsed="false">
      <c r="A46" s="189" t="n">
        <v>2066</v>
      </c>
      <c r="B46" s="189" t="n">
        <v>77</v>
      </c>
      <c r="C46" s="189" t="s">
        <v>5538</v>
      </c>
      <c r="D46" s="187" t="n">
        <v>0</v>
      </c>
      <c r="E46" s="187" t="n">
        <v>0</v>
      </c>
      <c r="F46" s="187" t="n">
        <v>61857.0829955451</v>
      </c>
      <c r="G46" s="187" t="n">
        <v>20535.7411478579</v>
      </c>
      <c r="H46" s="187" t="n">
        <v>0</v>
      </c>
      <c r="I46" s="195" t="n">
        <f aca="false">SUM(D46:H46)</f>
        <v>82392.824143403</v>
      </c>
      <c r="J46" s="187" t="n">
        <v>1607.02907925376</v>
      </c>
      <c r="K46" s="187" t="n">
        <v>0</v>
      </c>
      <c r="L46" s="187" t="n">
        <v>0</v>
      </c>
      <c r="M46" s="195" t="n">
        <f aca="false">SUM(J46:L46)</f>
        <v>1607.02907925376</v>
      </c>
      <c r="N46" s="187" t="n">
        <v>0</v>
      </c>
      <c r="O46" s="195" t="n">
        <f aca="false">I46-M46-N46</f>
        <v>80785.7950641492</v>
      </c>
      <c r="P46" s="187" t="n">
        <v>80785.7950641492</v>
      </c>
      <c r="Q46" s="187" t="n">
        <v>105544.29592079</v>
      </c>
      <c r="R46" s="187" t="n">
        <v>0</v>
      </c>
      <c r="S46" s="195" t="n">
        <f aca="false">O46-Q46-R46</f>
        <v>-24758.5008566408</v>
      </c>
      <c r="T46" s="187" t="n">
        <v>0</v>
      </c>
      <c r="U46" s="187" t="n">
        <v>0</v>
      </c>
      <c r="V46" s="187" t="n">
        <v>0</v>
      </c>
      <c r="W46" s="187" t="n">
        <v>0</v>
      </c>
      <c r="X46" s="187" t="n">
        <v>0</v>
      </c>
      <c r="Y46" s="187" t="n">
        <v>0</v>
      </c>
      <c r="Z46" s="187" t="n">
        <v>24758.5008566408</v>
      </c>
      <c r="AA46" s="187" t="n">
        <v>0</v>
      </c>
      <c r="AB46" s="187" t="n">
        <v>0</v>
      </c>
      <c r="AC46" s="187" t="n">
        <v>1388.06723117204</v>
      </c>
      <c r="AD46" s="187" t="n">
        <v>677.481882867357</v>
      </c>
      <c r="AE46" s="187" t="n">
        <v>0</v>
      </c>
      <c r="AF46" s="187" t="n">
        <v>0</v>
      </c>
      <c r="AG46" s="187" t="n">
        <v>146888.43582947</v>
      </c>
      <c r="AH46" s="187" t="n">
        <v>3225.10275503263</v>
      </c>
      <c r="AI46" s="187" t="n">
        <v>39944.491624433</v>
      </c>
      <c r="AJ46" s="187" t="n">
        <v>19282.8738627038</v>
      </c>
      <c r="AK46" s="187" t="n">
        <v>0</v>
      </c>
      <c r="AL46" s="195" t="n">
        <f aca="false">SUM(AE46:AK46)</f>
        <v>209340.90407164</v>
      </c>
      <c r="AM46" s="187" t="n">
        <v>209340.90407164</v>
      </c>
      <c r="AN46" s="187" t="n">
        <v>381287.105892278</v>
      </c>
      <c r="AO46" s="195" t="n">
        <f aca="false">O46-P46</f>
        <v>0</v>
      </c>
    </row>
    <row r="47" customFormat="false" ht="15" hidden="false" customHeight="false" outlineLevel="0" collapsed="false">
      <c r="A47" s="189" t="n">
        <v>2067</v>
      </c>
      <c r="B47" s="189" t="n">
        <v>78</v>
      </c>
      <c r="C47" s="189" t="s">
        <v>5538</v>
      </c>
      <c r="D47" s="187" t="n">
        <v>0</v>
      </c>
      <c r="E47" s="187" t="n">
        <v>0</v>
      </c>
      <c r="F47" s="187" t="n">
        <v>63094.224655456</v>
      </c>
      <c r="G47" s="187" t="n">
        <v>21182.6169940155</v>
      </c>
      <c r="H47" s="187" t="n">
        <v>0</v>
      </c>
      <c r="I47" s="195" t="n">
        <f aca="false">SUM(D47:H47)</f>
        <v>84276.8416494714</v>
      </c>
      <c r="J47" s="187" t="n">
        <v>1686.40186547891</v>
      </c>
      <c r="K47" s="187" t="n">
        <v>0</v>
      </c>
      <c r="L47" s="187" t="n">
        <v>0</v>
      </c>
      <c r="M47" s="195" t="n">
        <f aca="false">SUM(J47:L47)</f>
        <v>1686.40186547891</v>
      </c>
      <c r="N47" s="187" t="n">
        <v>0</v>
      </c>
      <c r="O47" s="195" t="n">
        <f aca="false">I47-M47-N47</f>
        <v>82590.4397839925</v>
      </c>
      <c r="P47" s="187" t="n">
        <v>82590.4397839925</v>
      </c>
      <c r="Q47" s="187" t="n">
        <v>107655.181839206</v>
      </c>
      <c r="R47" s="187" t="n">
        <v>0</v>
      </c>
      <c r="S47" s="195" t="n">
        <f aca="false">O47-Q47-R47</f>
        <v>-25064.7420552133</v>
      </c>
      <c r="T47" s="187" t="n">
        <v>0</v>
      </c>
      <c r="U47" s="187" t="n">
        <v>0</v>
      </c>
      <c r="V47" s="187" t="n">
        <v>0</v>
      </c>
      <c r="W47" s="187" t="n">
        <v>0</v>
      </c>
      <c r="X47" s="187" t="n">
        <v>0</v>
      </c>
      <c r="Y47" s="187" t="n">
        <v>0</v>
      </c>
      <c r="Z47" s="187" t="n">
        <v>25064.7420552133</v>
      </c>
      <c r="AA47" s="187" t="n">
        <v>0</v>
      </c>
      <c r="AB47" s="187" t="n">
        <v>0</v>
      </c>
      <c r="AC47" s="187" t="n">
        <v>1453.64858221102</v>
      </c>
      <c r="AD47" s="187" t="n">
        <v>10934.6307177906</v>
      </c>
      <c r="AE47" s="187" t="n">
        <v>0</v>
      </c>
      <c r="AF47" s="187" t="n">
        <v>0</v>
      </c>
      <c r="AG47" s="187" t="n">
        <v>114250.216281937</v>
      </c>
      <c r="AH47" s="187" t="n">
        <v>3289.60481013329</v>
      </c>
      <c r="AI47" s="187" t="n">
        <v>41542.2712894103</v>
      </c>
      <c r="AJ47" s="187" t="n">
        <v>19475.7026013308</v>
      </c>
      <c r="AK47" s="187" t="n">
        <v>0</v>
      </c>
      <c r="AL47" s="195" t="n">
        <f aca="false">SUM(AE47:AK47)</f>
        <v>178557.794982811</v>
      </c>
      <c r="AM47" s="187" t="n">
        <v>178557.794982811</v>
      </c>
      <c r="AN47" s="187" t="n">
        <v>371447.780298558</v>
      </c>
      <c r="AO47" s="195" t="n">
        <f aca="false">O47-P47</f>
        <v>0</v>
      </c>
    </row>
    <row r="48" customFormat="false" ht="15" hidden="false" customHeight="false" outlineLevel="0" collapsed="false">
      <c r="A48" s="189" t="n">
        <v>2068</v>
      </c>
      <c r="B48" s="189" t="n">
        <v>79</v>
      </c>
      <c r="C48" s="189" t="s">
        <v>5538</v>
      </c>
      <c r="D48" s="187" t="n">
        <v>0</v>
      </c>
      <c r="E48" s="187" t="n">
        <v>0</v>
      </c>
      <c r="F48" s="187" t="n">
        <v>64356.1091485651</v>
      </c>
      <c r="G48" s="187" t="n">
        <v>21849.869429327</v>
      </c>
      <c r="H48" s="187" t="n">
        <v>0</v>
      </c>
      <c r="I48" s="195" t="n">
        <f aca="false">SUM(D48:H48)</f>
        <v>86205.978577892</v>
      </c>
      <c r="J48" s="187" t="n">
        <v>1768.84992187472</v>
      </c>
      <c r="K48" s="187" t="n">
        <v>0</v>
      </c>
      <c r="L48" s="187" t="n">
        <v>0</v>
      </c>
      <c r="M48" s="195" t="n">
        <f aca="false">SUM(J48:L48)</f>
        <v>1768.84992187472</v>
      </c>
      <c r="N48" s="187" t="n">
        <v>0</v>
      </c>
      <c r="O48" s="195" t="n">
        <f aca="false">I48-M48-N48</f>
        <v>84437.1286560173</v>
      </c>
      <c r="P48" s="187" t="n">
        <v>84437.1286560173</v>
      </c>
      <c r="Q48" s="187" t="n">
        <v>109808.28547599</v>
      </c>
      <c r="R48" s="187" t="n">
        <v>0</v>
      </c>
      <c r="S48" s="195" t="n">
        <f aca="false">O48-Q48-R48</f>
        <v>-25371.1568199726</v>
      </c>
      <c r="T48" s="187" t="n">
        <v>0</v>
      </c>
      <c r="U48" s="187" t="n">
        <v>0</v>
      </c>
      <c r="V48" s="187" t="n">
        <v>0</v>
      </c>
      <c r="W48" s="187" t="n">
        <v>0</v>
      </c>
      <c r="X48" s="187" t="n">
        <v>0</v>
      </c>
      <c r="Y48" s="187" t="n">
        <v>0</v>
      </c>
      <c r="Z48" s="187" t="n">
        <v>25371.1568199726</v>
      </c>
      <c r="AA48" s="187" t="n">
        <v>0</v>
      </c>
      <c r="AB48" s="187" t="n">
        <v>0</v>
      </c>
      <c r="AC48" s="187" t="n">
        <v>381.111149045597</v>
      </c>
      <c r="AD48" s="187" t="n">
        <v>0</v>
      </c>
      <c r="AE48" s="187" t="n">
        <v>0</v>
      </c>
      <c r="AF48" s="187" t="n">
        <v>0</v>
      </c>
      <c r="AG48" s="187" t="n">
        <v>92037.8662454355</v>
      </c>
      <c r="AH48" s="187" t="n">
        <v>3355.39690633595</v>
      </c>
      <c r="AI48" s="187" t="n">
        <v>43203.9621409867</v>
      </c>
      <c r="AJ48" s="187" t="n">
        <v>19670.4596273441</v>
      </c>
      <c r="AK48" s="187" t="n">
        <v>0</v>
      </c>
      <c r="AL48" s="195" t="n">
        <f aca="false">SUM(AE48:AK48)</f>
        <v>158267.684920102</v>
      </c>
      <c r="AM48" s="187" t="n">
        <v>158267.684920102</v>
      </c>
      <c r="AN48" s="187" t="n">
        <v>360610.245061612</v>
      </c>
      <c r="AO48" s="195" t="n">
        <f aca="false">O48-P48</f>
        <v>0</v>
      </c>
    </row>
    <row r="49" customFormat="false" ht="15" hidden="false" customHeight="false" outlineLevel="0" collapsed="false">
      <c r="A49" s="189" t="n">
        <v>2069</v>
      </c>
      <c r="B49" s="189" t="n">
        <v>80</v>
      </c>
      <c r="C49" s="189" t="s">
        <v>5538</v>
      </c>
      <c r="D49" s="187" t="n">
        <v>0</v>
      </c>
      <c r="E49" s="187" t="n">
        <v>0</v>
      </c>
      <c r="F49" s="187" t="n">
        <v>66861.689796316</v>
      </c>
      <c r="G49" s="187" t="n">
        <v>22538.1403163508</v>
      </c>
      <c r="H49" s="187" t="n">
        <v>0</v>
      </c>
      <c r="I49" s="195" t="n">
        <f aca="false">SUM(D49:H49)</f>
        <v>89399.8301126668</v>
      </c>
      <c r="J49" s="187" t="n">
        <v>2098.1733129556</v>
      </c>
      <c r="K49" s="187" t="n">
        <v>0</v>
      </c>
      <c r="L49" s="187" t="n">
        <v>0</v>
      </c>
      <c r="M49" s="195" t="n">
        <f aca="false">SUM(J49:L49)</f>
        <v>2098.1733129556</v>
      </c>
      <c r="N49" s="187" t="n">
        <v>0</v>
      </c>
      <c r="O49" s="195" t="n">
        <f aca="false">I49-M49-N49</f>
        <v>87301.6567997112</v>
      </c>
      <c r="P49" s="187" t="n">
        <v>87301.6567997111</v>
      </c>
      <c r="Q49" s="187" t="n">
        <v>112004.45118551</v>
      </c>
      <c r="R49" s="187" t="n">
        <v>0</v>
      </c>
      <c r="S49" s="195" t="n">
        <f aca="false">O49-Q49-R49</f>
        <v>-24702.7943857985</v>
      </c>
      <c r="T49" s="187" t="n">
        <v>0</v>
      </c>
      <c r="U49" s="187" t="n">
        <v>0</v>
      </c>
      <c r="V49" s="187" t="n">
        <v>0</v>
      </c>
      <c r="W49" s="187" t="n">
        <v>0</v>
      </c>
      <c r="X49" s="187" t="n">
        <v>0</v>
      </c>
      <c r="Y49" s="187" t="n">
        <v>0</v>
      </c>
      <c r="Z49" s="187" t="n">
        <v>24702.7943857986</v>
      </c>
      <c r="AA49" s="187" t="n">
        <v>0</v>
      </c>
      <c r="AB49" s="187" t="n">
        <v>0</v>
      </c>
      <c r="AC49" s="187" t="n">
        <v>366.395857400603</v>
      </c>
      <c r="AD49" s="187" t="n">
        <v>0</v>
      </c>
      <c r="AE49" s="187" t="n">
        <v>0</v>
      </c>
      <c r="AF49" s="187" t="n">
        <v>0</v>
      </c>
      <c r="AG49" s="187" t="n">
        <v>69647.4230423258</v>
      </c>
      <c r="AH49" s="187" t="n">
        <v>3422.50484446267</v>
      </c>
      <c r="AI49" s="187" t="n">
        <v>44932.1206266262</v>
      </c>
      <c r="AJ49" s="187" t="n">
        <v>19867.1642236176</v>
      </c>
      <c r="AK49" s="187" t="n">
        <v>0</v>
      </c>
      <c r="AL49" s="195" t="n">
        <f aca="false">SUM(AE49:AK49)</f>
        <v>137869.212737032</v>
      </c>
      <c r="AM49" s="187" t="n">
        <v>137869.212737032</v>
      </c>
      <c r="AN49" s="187" t="n">
        <v>348721.376044737</v>
      </c>
      <c r="AO49" s="195" t="n">
        <f aca="false">O49-P49</f>
        <v>0</v>
      </c>
    </row>
    <row r="50" customFormat="false" ht="15" hidden="false" customHeight="false" outlineLevel="0" collapsed="false">
      <c r="A50" s="189" t="n">
        <v>2070</v>
      </c>
      <c r="B50" s="189" t="n">
        <v>81</v>
      </c>
      <c r="C50" s="189" t="s">
        <v>5538</v>
      </c>
      <c r="D50" s="187" t="n">
        <v>0</v>
      </c>
      <c r="E50" s="187" t="n">
        <v>0</v>
      </c>
      <c r="F50" s="187" t="n">
        <v>68198.9235922423</v>
      </c>
      <c r="G50" s="187" t="n">
        <v>23248.0917363158</v>
      </c>
      <c r="H50" s="187" t="n">
        <v>0</v>
      </c>
      <c r="I50" s="195" t="n">
        <f aca="false">SUM(D50:H50)</f>
        <v>91447.0153285581</v>
      </c>
      <c r="J50" s="187" t="n">
        <v>2191.97450194231</v>
      </c>
      <c r="K50" s="187" t="n">
        <v>0</v>
      </c>
      <c r="L50" s="187" t="n">
        <v>0</v>
      </c>
      <c r="M50" s="195" t="n">
        <f aca="false">SUM(J50:L50)</f>
        <v>2191.97450194231</v>
      </c>
      <c r="N50" s="187" t="n">
        <v>0</v>
      </c>
      <c r="O50" s="195" t="n">
        <f aca="false">I50-M50-N50</f>
        <v>89255.0408266158</v>
      </c>
      <c r="P50" s="187" t="n">
        <v>89255.0408266158</v>
      </c>
      <c r="Q50" s="187" t="n">
        <v>114244.54020922</v>
      </c>
      <c r="R50" s="187" t="n">
        <v>0</v>
      </c>
      <c r="S50" s="195" t="n">
        <f aca="false">O50-Q50-R50</f>
        <v>-24989.4993826041</v>
      </c>
      <c r="T50" s="187" t="n">
        <v>0</v>
      </c>
      <c r="U50" s="187" t="n">
        <v>0</v>
      </c>
      <c r="V50" s="187" t="n">
        <v>0</v>
      </c>
      <c r="W50" s="187" t="n">
        <v>0</v>
      </c>
      <c r="X50" s="187" t="n">
        <v>0</v>
      </c>
      <c r="Y50" s="187" t="n">
        <v>0</v>
      </c>
      <c r="Z50" s="187" t="n">
        <v>24989.4993826041</v>
      </c>
      <c r="AA50" s="187" t="n">
        <v>0</v>
      </c>
      <c r="AB50" s="187" t="n">
        <v>0</v>
      </c>
      <c r="AC50" s="187" t="n">
        <v>737.559772828834</v>
      </c>
      <c r="AD50" s="187" t="n">
        <v>373.408531554675</v>
      </c>
      <c r="AE50" s="187" t="n">
        <v>0</v>
      </c>
      <c r="AF50" s="187" t="n">
        <v>0</v>
      </c>
      <c r="AG50" s="187" t="n">
        <v>45303.7699108139</v>
      </c>
      <c r="AH50" s="187" t="n">
        <v>3490.95494135192</v>
      </c>
      <c r="AI50" s="187" t="n">
        <v>46729.4054516913</v>
      </c>
      <c r="AJ50" s="187" t="n">
        <v>20065.8358658537</v>
      </c>
      <c r="AK50" s="187" t="n">
        <v>0</v>
      </c>
      <c r="AL50" s="195" t="n">
        <f aca="false">SUM(AE50:AK50)</f>
        <v>115589.966169711</v>
      </c>
      <c r="AM50" s="187" t="n">
        <v>115589.966169711</v>
      </c>
      <c r="AN50" s="187" t="n">
        <v>335725.692764137</v>
      </c>
      <c r="AO50" s="195" t="n">
        <f aca="false">O50-P50</f>
        <v>0</v>
      </c>
    </row>
    <row r="51" customFormat="false" ht="15" hidden="false" customHeight="false" outlineLevel="0" collapsed="false">
      <c r="A51" s="189" t="n">
        <v>2071</v>
      </c>
      <c r="B51" s="189" t="n">
        <v>82</v>
      </c>
      <c r="C51" s="189" t="s">
        <v>5538</v>
      </c>
      <c r="D51" s="187" t="n">
        <v>0</v>
      </c>
      <c r="E51" s="187" t="n">
        <v>0</v>
      </c>
      <c r="F51" s="187" t="n">
        <v>69562.9020640872</v>
      </c>
      <c r="G51" s="187" t="n">
        <v>23980.4066260098</v>
      </c>
      <c r="H51" s="187" t="n">
        <v>0</v>
      </c>
      <c r="I51" s="195" t="n">
        <f aca="false">SUM(D51:H51)</f>
        <v>93543.3086900969</v>
      </c>
      <c r="J51" s="187" t="n">
        <v>2289.28460297468</v>
      </c>
      <c r="K51" s="187" t="n">
        <v>0</v>
      </c>
      <c r="L51" s="187" t="n">
        <v>0</v>
      </c>
      <c r="M51" s="195" t="n">
        <f aca="false">SUM(J51:L51)</f>
        <v>2289.28460297468</v>
      </c>
      <c r="N51" s="187" t="n">
        <v>0</v>
      </c>
      <c r="O51" s="195" t="n">
        <f aca="false">I51-M51-N51</f>
        <v>91254.0240871222</v>
      </c>
      <c r="P51" s="187" t="n">
        <v>91254.0240871222</v>
      </c>
      <c r="Q51" s="187" t="n">
        <v>116529.431013404</v>
      </c>
      <c r="R51" s="187" t="n">
        <v>0</v>
      </c>
      <c r="S51" s="195" t="n">
        <f aca="false">O51-Q51-R51</f>
        <v>-25275.4069262821</v>
      </c>
      <c r="T51" s="187" t="n">
        <v>0</v>
      </c>
      <c r="U51" s="187" t="n">
        <v>0</v>
      </c>
      <c r="V51" s="187" t="n">
        <v>0</v>
      </c>
      <c r="W51" s="187" t="n">
        <v>0</v>
      </c>
      <c r="X51" s="187" t="n">
        <v>0</v>
      </c>
      <c r="Y51" s="187" t="n">
        <v>0</v>
      </c>
      <c r="Z51" s="187" t="n">
        <v>25275.4069262821</v>
      </c>
      <c r="AA51" s="187" t="n">
        <v>0</v>
      </c>
      <c r="AB51" s="187" t="n">
        <v>0</v>
      </c>
      <c r="AC51" s="187" t="n">
        <v>1113.10390059337</v>
      </c>
      <c r="AD51" s="187" t="n">
        <v>0</v>
      </c>
      <c r="AE51" s="187" t="n">
        <v>0</v>
      </c>
      <c r="AF51" s="187" t="n">
        <v>0</v>
      </c>
      <c r="AG51" s="187" t="n">
        <v>19671.8694472959</v>
      </c>
      <c r="AH51" s="187" t="n">
        <v>3560.77404017896</v>
      </c>
      <c r="AI51" s="187" t="n">
        <v>48598.5816697589</v>
      </c>
      <c r="AJ51" s="187" t="n">
        <v>20266.4942245123</v>
      </c>
      <c r="AK51" s="187" t="n">
        <v>0</v>
      </c>
      <c r="AL51" s="195" t="n">
        <f aca="false">SUM(AE51:AK51)</f>
        <v>92097.719381746</v>
      </c>
      <c r="AM51" s="187" t="n">
        <v>92097.719381746</v>
      </c>
      <c r="AN51" s="187" t="n">
        <v>321565.262651478</v>
      </c>
      <c r="AO51" s="195" t="n">
        <f aca="false">O51-P51</f>
        <v>0</v>
      </c>
    </row>
    <row r="52" customFormat="false" ht="15" hidden="false" customHeight="false" outlineLevel="0" collapsed="false">
      <c r="A52" s="189" t="n">
        <v>2072</v>
      </c>
      <c r="B52" s="189" t="n">
        <v>83</v>
      </c>
      <c r="C52" s="189" t="s">
        <v>5538</v>
      </c>
      <c r="D52" s="187" t="n">
        <v>0</v>
      </c>
      <c r="E52" s="187" t="n">
        <v>0</v>
      </c>
      <c r="F52" s="187" t="n">
        <v>70954.1601053689</v>
      </c>
      <c r="G52" s="187" t="n">
        <v>24735.7894347291</v>
      </c>
      <c r="H52" s="187" t="n">
        <v>0</v>
      </c>
      <c r="I52" s="195" t="n">
        <f aca="false">SUM(D52:H52)</f>
        <v>95689.949540098</v>
      </c>
      <c r="J52" s="187" t="n">
        <v>2390.225230274</v>
      </c>
      <c r="K52" s="187" t="n">
        <v>0</v>
      </c>
      <c r="L52" s="187" t="n">
        <v>0</v>
      </c>
      <c r="M52" s="195" t="n">
        <f aca="false">SUM(J52:L52)</f>
        <v>2390.225230274</v>
      </c>
      <c r="N52" s="187" t="n">
        <v>0</v>
      </c>
      <c r="O52" s="195" t="n">
        <f aca="false">I52-M52-N52</f>
        <v>93299.724309824</v>
      </c>
      <c r="P52" s="187" t="n">
        <v>93299.724309824</v>
      </c>
      <c r="Q52" s="187" t="n">
        <v>118860.019633672</v>
      </c>
      <c r="R52" s="187" t="n">
        <v>0</v>
      </c>
      <c r="S52" s="195" t="n">
        <f aca="false">O52-Q52-R52</f>
        <v>-25560.2953238484</v>
      </c>
      <c r="T52" s="187" t="n">
        <v>0</v>
      </c>
      <c r="U52" s="187" t="n">
        <v>0</v>
      </c>
      <c r="V52" s="187" t="n">
        <v>0</v>
      </c>
      <c r="W52" s="187" t="n">
        <v>0</v>
      </c>
      <c r="X52" s="187" t="n">
        <v>0</v>
      </c>
      <c r="Y52" s="187" t="n">
        <v>0</v>
      </c>
      <c r="Z52" s="187" t="n">
        <v>18724.6456962717</v>
      </c>
      <c r="AA52" s="187" t="n">
        <v>3116.98209888816</v>
      </c>
      <c r="AB52" s="187" t="n">
        <v>3718.66752868855</v>
      </c>
      <c r="AC52" s="187" t="n">
        <v>2778.49510139712</v>
      </c>
      <c r="AD52" s="187" t="n">
        <v>0</v>
      </c>
      <c r="AE52" s="187" t="n">
        <v>0</v>
      </c>
      <c r="AF52" s="187" t="n">
        <v>0</v>
      </c>
      <c r="AG52" s="187" t="n">
        <v>0</v>
      </c>
      <c r="AH52" s="187" t="n">
        <v>0</v>
      </c>
      <c r="AI52" s="187" t="n">
        <v>45232.1321212677</v>
      </c>
      <c r="AJ52" s="187" t="n">
        <v>20469.1591667574</v>
      </c>
      <c r="AK52" s="187" t="n">
        <v>0</v>
      </c>
      <c r="AL52" s="195" t="n">
        <f aca="false">SUM(AE52:AK52)</f>
        <v>65701.2912880251</v>
      </c>
      <c r="AM52" s="187" t="n">
        <v>65701.2912880251</v>
      </c>
      <c r="AN52" s="187" t="n">
        <v>306179.601623076</v>
      </c>
      <c r="AO52" s="195" t="n">
        <f aca="false">O52-P52</f>
        <v>0</v>
      </c>
    </row>
    <row r="53" customFormat="false" ht="15" hidden="false" customHeight="false" outlineLevel="0" collapsed="false">
      <c r="A53" s="189" t="n">
        <v>2073</v>
      </c>
      <c r="B53" s="189" t="n">
        <v>84</v>
      </c>
      <c r="C53" s="189" t="s">
        <v>5538</v>
      </c>
      <c r="D53" s="187" t="n">
        <v>0</v>
      </c>
      <c r="E53" s="187" t="n">
        <v>0</v>
      </c>
      <c r="F53" s="187" t="n">
        <v>72373.2433074763</v>
      </c>
      <c r="G53" s="187" t="n">
        <v>25514.966801923</v>
      </c>
      <c r="H53" s="187" t="n">
        <v>0</v>
      </c>
      <c r="I53" s="195" t="n">
        <f aca="false">SUM(D53:H53)</f>
        <v>97888.2101093993</v>
      </c>
      <c r="J53" s="187" t="n">
        <v>2494.92205057936</v>
      </c>
      <c r="K53" s="187" t="n">
        <v>0</v>
      </c>
      <c r="L53" s="187" t="n">
        <v>0</v>
      </c>
      <c r="M53" s="195" t="n">
        <f aca="false">SUM(J53:L53)</f>
        <v>2494.92205057936</v>
      </c>
      <c r="N53" s="187" t="n">
        <v>0</v>
      </c>
      <c r="O53" s="195" t="n">
        <f aca="false">I53-M53-N53</f>
        <v>95393.2880588199</v>
      </c>
      <c r="P53" s="187" t="n">
        <v>95393.2880588199</v>
      </c>
      <c r="Q53" s="187" t="n">
        <v>121237.220026346</v>
      </c>
      <c r="R53" s="187" t="n">
        <v>0</v>
      </c>
      <c r="S53" s="195" t="n">
        <f aca="false">O53-Q53-R53</f>
        <v>-25843.931967526</v>
      </c>
      <c r="T53" s="187" t="n">
        <v>0</v>
      </c>
      <c r="U53" s="187" t="n">
        <v>0</v>
      </c>
      <c r="V53" s="187" t="n">
        <v>0</v>
      </c>
      <c r="W53" s="187" t="n">
        <v>0</v>
      </c>
      <c r="X53" s="187" t="n">
        <v>0</v>
      </c>
      <c r="Y53" s="187" t="n">
        <v>0</v>
      </c>
      <c r="Z53" s="187" t="n">
        <v>0</v>
      </c>
      <c r="AA53" s="187" t="n">
        <v>0</v>
      </c>
      <c r="AB53" s="187" t="n">
        <v>25843.9319675259</v>
      </c>
      <c r="AC53" s="187" t="n">
        <v>9172.86448519163</v>
      </c>
      <c r="AD53" s="187" t="n">
        <v>0</v>
      </c>
      <c r="AE53" s="187" t="n">
        <v>0</v>
      </c>
      <c r="AF53" s="187" t="n">
        <v>0</v>
      </c>
      <c r="AG53" s="187" t="n">
        <v>0</v>
      </c>
      <c r="AH53" s="187" t="n">
        <v>0</v>
      </c>
      <c r="AI53" s="187" t="n">
        <v>10623.9490952922</v>
      </c>
      <c r="AJ53" s="187" t="n">
        <v>20673.850758425</v>
      </c>
      <c r="AK53" s="187" t="n">
        <v>0</v>
      </c>
      <c r="AL53" s="195" t="n">
        <f aca="false">SUM(AE53:AK53)</f>
        <v>31297.7998537171</v>
      </c>
      <c r="AM53" s="187" t="n">
        <v>31297.7998537171</v>
      </c>
      <c r="AN53" s="187" t="n">
        <v>289505.57081802</v>
      </c>
      <c r="AO53" s="195" t="n">
        <f aca="false">O53-P53</f>
        <v>0</v>
      </c>
    </row>
    <row r="54" customFormat="false" ht="15" hidden="false" customHeight="false" outlineLevel="0" collapsed="false">
      <c r="A54" s="189" t="n">
        <v>2074</v>
      </c>
      <c r="B54" s="189" t="n">
        <v>85</v>
      </c>
      <c r="C54" s="189" t="s">
        <v>5538</v>
      </c>
      <c r="D54" s="187" t="n">
        <v>0</v>
      </c>
      <c r="E54" s="187" t="n">
        <v>0</v>
      </c>
      <c r="F54" s="187" t="n">
        <v>73820.7081736258</v>
      </c>
      <c r="G54" s="187" t="n">
        <v>26318.6882561836</v>
      </c>
      <c r="H54" s="187" t="n">
        <v>0</v>
      </c>
      <c r="I54" s="195" t="n">
        <f aca="false">SUM(D54:H54)</f>
        <v>100139.396429809</v>
      </c>
      <c r="J54" s="187" t="n">
        <v>2603.50491523537</v>
      </c>
      <c r="K54" s="187" t="n">
        <v>0</v>
      </c>
      <c r="L54" s="187" t="n">
        <v>0</v>
      </c>
      <c r="M54" s="195" t="n">
        <f aca="false">SUM(J54:L54)</f>
        <v>2603.50491523537</v>
      </c>
      <c r="N54" s="187" t="n">
        <v>0</v>
      </c>
      <c r="O54" s="195" t="n">
        <f aca="false">I54-M54-N54</f>
        <v>97535.891514574</v>
      </c>
      <c r="P54" s="187" t="n">
        <v>97535.8915145741</v>
      </c>
      <c r="Q54" s="187" t="n">
        <v>123661.964426873</v>
      </c>
      <c r="R54" s="187" t="n">
        <v>0</v>
      </c>
      <c r="S54" s="195" t="n">
        <f aca="false">O54-Q54-R54</f>
        <v>-26126.0729122988</v>
      </c>
      <c r="T54" s="187" t="n">
        <v>0</v>
      </c>
      <c r="U54" s="187" t="n">
        <v>0</v>
      </c>
      <c r="V54" s="187" t="n">
        <v>0</v>
      </c>
      <c r="W54" s="187" t="n">
        <v>0</v>
      </c>
      <c r="X54" s="187" t="n">
        <v>0</v>
      </c>
      <c r="Y54" s="187" t="n">
        <v>0</v>
      </c>
      <c r="Z54" s="187" t="n">
        <v>0</v>
      </c>
      <c r="AA54" s="187" t="n">
        <v>0</v>
      </c>
      <c r="AB54" s="187" t="n">
        <v>8100.15631897404</v>
      </c>
      <c r="AC54" s="187" t="n">
        <v>2523.79277631813</v>
      </c>
      <c r="AD54" s="187" t="n">
        <v>0</v>
      </c>
      <c r="AE54" s="187" t="n">
        <v>0</v>
      </c>
      <c r="AF54" s="187" t="n">
        <v>0</v>
      </c>
      <c r="AG54" s="187" t="n">
        <v>0</v>
      </c>
      <c r="AH54" s="187" t="n">
        <v>0</v>
      </c>
      <c r="AI54" s="187" t="n">
        <v>0</v>
      </c>
      <c r="AJ54" s="187" t="n">
        <v>2674.41350675125</v>
      </c>
      <c r="AK54" s="187" t="n">
        <v>0</v>
      </c>
      <c r="AL54" s="195" t="n">
        <f aca="false">SUM(AE54:AK54)</f>
        <v>2674.41350675125</v>
      </c>
      <c r="AM54" s="187" t="n">
        <v>2674.41350675125</v>
      </c>
      <c r="AN54" s="187" t="n">
        <v>271477.269362534</v>
      </c>
      <c r="AO54" s="195" t="n">
        <f aca="false">O54-P54</f>
        <v>0</v>
      </c>
    </row>
    <row r="55" customFormat="false" ht="15" hidden="false" customHeight="false" outlineLevel="0" collapsed="false">
      <c r="A55" s="189" t="n">
        <v>2075</v>
      </c>
      <c r="B55" s="189" t="n">
        <v>86</v>
      </c>
      <c r="C55" s="189" t="s">
        <v>5538</v>
      </c>
      <c r="D55" s="187" t="n">
        <v>0</v>
      </c>
      <c r="E55" s="187" t="n">
        <v>0</v>
      </c>
      <c r="F55" s="187" t="n">
        <v>75297.1223370983</v>
      </c>
      <c r="G55" s="187" t="n">
        <v>27147.7269362534</v>
      </c>
      <c r="H55" s="187" t="n">
        <v>0</v>
      </c>
      <c r="I55" s="195" t="n">
        <f aca="false">SUM(D55:H55)</f>
        <v>102444.849273352</v>
      </c>
      <c r="J55" s="187" t="n">
        <v>2716.1079965293</v>
      </c>
      <c r="K55" s="187" t="n">
        <v>0</v>
      </c>
      <c r="L55" s="187" t="n">
        <v>0</v>
      </c>
      <c r="M55" s="195" t="n">
        <f aca="false">SUM(J55:L55)</f>
        <v>2716.1079965293</v>
      </c>
      <c r="N55" s="187" t="n">
        <v>0</v>
      </c>
      <c r="O55" s="195" t="n">
        <f aca="false">I55-M55-N55</f>
        <v>99728.7412768224</v>
      </c>
      <c r="P55" s="187" t="n">
        <v>99728.7412768224</v>
      </c>
      <c r="Q55" s="187" t="n">
        <v>126135.20371541</v>
      </c>
      <c r="R55" s="187" t="n">
        <v>0</v>
      </c>
      <c r="S55" s="195" t="n">
        <f aca="false">O55-Q55-R55</f>
        <v>-26406.4624385879</v>
      </c>
      <c r="T55" s="187" t="n">
        <v>0</v>
      </c>
      <c r="U55" s="187" t="n">
        <v>0</v>
      </c>
      <c r="V55" s="187" t="n">
        <v>0</v>
      </c>
      <c r="W55" s="187" t="n">
        <v>0</v>
      </c>
      <c r="X55" s="187" t="n">
        <v>0</v>
      </c>
      <c r="Y55" s="187" t="n">
        <v>0</v>
      </c>
      <c r="Z55" s="187" t="n">
        <v>0</v>
      </c>
      <c r="AA55" s="187" t="n">
        <v>0</v>
      </c>
      <c r="AB55" s="187" t="n">
        <v>0</v>
      </c>
      <c r="AC55" s="187" t="n">
        <v>0</v>
      </c>
      <c r="AD55" s="187" t="n">
        <v>0</v>
      </c>
      <c r="AE55" s="187" t="n">
        <v>0</v>
      </c>
      <c r="AF55" s="187" t="n">
        <v>0</v>
      </c>
      <c r="AG55" s="187" t="n">
        <v>0</v>
      </c>
      <c r="AH55" s="187" t="n">
        <v>0</v>
      </c>
      <c r="AI55" s="187" t="n">
        <v>0</v>
      </c>
      <c r="AJ55" s="187" t="n">
        <v>0</v>
      </c>
      <c r="AK55" s="187" t="n">
        <v>0</v>
      </c>
      <c r="AL55" s="195" t="n">
        <f aca="false">SUM(AE55:AK55)</f>
        <v>0</v>
      </c>
      <c r="AM55" s="187" t="n">
        <v>0</v>
      </c>
      <c r="AN55" s="187" t="n">
        <v>252025.923012708</v>
      </c>
      <c r="AO55" s="195" t="n">
        <f aca="false">O55-P55</f>
        <v>0</v>
      </c>
    </row>
    <row r="56" customFormat="false" ht="15" hidden="false" customHeight="false" outlineLevel="0" collapsed="false">
      <c r="A56" s="189" t="n">
        <v>2076</v>
      </c>
      <c r="B56" s="189" t="n">
        <v>87</v>
      </c>
      <c r="C56" s="189" t="s">
        <v>5538</v>
      </c>
      <c r="D56" s="187" t="n">
        <v>0</v>
      </c>
      <c r="E56" s="187" t="n">
        <v>0</v>
      </c>
      <c r="F56" s="187" t="n">
        <v>76803.0647838403</v>
      </c>
      <c r="G56" s="187" t="n">
        <v>28002.8803347454</v>
      </c>
      <c r="H56" s="187" t="n">
        <v>0</v>
      </c>
      <c r="I56" s="195" t="n">
        <f aca="false">SUM(D56:H56)</f>
        <v>104805.945118586</v>
      </c>
      <c r="J56" s="187" t="n">
        <v>2832.86992841327</v>
      </c>
      <c r="K56" s="187" t="n">
        <v>0</v>
      </c>
      <c r="L56" s="187" t="n">
        <v>0</v>
      </c>
      <c r="M56" s="195" t="n">
        <f aca="false">SUM(J56:L56)</f>
        <v>2832.86992841327</v>
      </c>
      <c r="N56" s="187" t="n">
        <v>0</v>
      </c>
      <c r="O56" s="195" t="n">
        <f aca="false">I56-M56-N56</f>
        <v>101973.075190172</v>
      </c>
      <c r="P56" s="187" t="n">
        <v>101973.075190172</v>
      </c>
      <c r="Q56" s="187" t="n">
        <v>128657.907789719</v>
      </c>
      <c r="R56" s="187" t="n">
        <v>0</v>
      </c>
      <c r="S56" s="195" t="n">
        <f aca="false">O56-Q56-R56</f>
        <v>-26684.8325995461</v>
      </c>
      <c r="T56" s="187" t="n">
        <v>0</v>
      </c>
      <c r="U56" s="187" t="n">
        <v>0</v>
      </c>
      <c r="V56" s="187" t="n">
        <v>0</v>
      </c>
      <c r="W56" s="187" t="n">
        <v>0</v>
      </c>
      <c r="X56" s="187" t="n">
        <v>0</v>
      </c>
      <c r="Y56" s="187" t="n">
        <v>0</v>
      </c>
      <c r="Z56" s="187" t="n">
        <v>0</v>
      </c>
      <c r="AA56" s="187" t="n">
        <v>0</v>
      </c>
      <c r="AB56" s="187" t="n">
        <v>0</v>
      </c>
      <c r="AC56" s="187" t="n">
        <v>0</v>
      </c>
      <c r="AD56" s="187" t="n">
        <v>0</v>
      </c>
      <c r="AE56" s="187" t="n">
        <v>0</v>
      </c>
      <c r="AF56" s="187" t="n">
        <v>0</v>
      </c>
      <c r="AG56" s="187" t="n">
        <v>0</v>
      </c>
      <c r="AH56" s="187" t="n">
        <v>0</v>
      </c>
      <c r="AI56" s="187" t="n">
        <v>0</v>
      </c>
      <c r="AJ56" s="187" t="n">
        <v>0</v>
      </c>
      <c r="AK56" s="187" t="n">
        <v>0</v>
      </c>
      <c r="AL56" s="195" t="n">
        <f aca="false">SUM(AE56:AK56)</f>
        <v>0</v>
      </c>
      <c r="AM56" s="187" t="n">
        <v>0</v>
      </c>
      <c r="AN56" s="187" t="n">
        <v>231079.768522319</v>
      </c>
      <c r="AO56" s="195" t="n">
        <f aca="false">O56-P56</f>
        <v>0</v>
      </c>
    </row>
    <row r="57" customFormat="false" ht="15" hidden="false" customHeight="false" outlineLevel="0" collapsed="false">
      <c r="A57" s="189" t="n">
        <v>2077</v>
      </c>
      <c r="B57" s="189" t="n">
        <v>88</v>
      </c>
      <c r="C57" s="189" t="s">
        <v>5538</v>
      </c>
      <c r="D57" s="187" t="n">
        <v>0</v>
      </c>
      <c r="E57" s="187" t="n">
        <v>0</v>
      </c>
      <c r="F57" s="187" t="n">
        <v>78339.1260795171</v>
      </c>
      <c r="G57" s="187" t="n">
        <v>28884.9710652899</v>
      </c>
      <c r="H57" s="187" t="n">
        <v>0</v>
      </c>
      <c r="I57" s="195" t="n">
        <f aca="false">SUM(D57:H57)</f>
        <v>107224.097144807</v>
      </c>
      <c r="J57" s="187" t="n">
        <v>2953.93395175145</v>
      </c>
      <c r="K57" s="187" t="n">
        <v>0</v>
      </c>
      <c r="L57" s="187" t="n">
        <v>0</v>
      </c>
      <c r="M57" s="195" t="n">
        <f aca="false">SUM(J57:L57)</f>
        <v>2953.93395175145</v>
      </c>
      <c r="N57" s="187" t="n">
        <v>0</v>
      </c>
      <c r="O57" s="195" t="n">
        <f aca="false">I57-M57-N57</f>
        <v>104270.163193056</v>
      </c>
      <c r="P57" s="187" t="n">
        <v>104270.163193056</v>
      </c>
      <c r="Q57" s="187" t="n">
        <v>131231.065945513</v>
      </c>
      <c r="R57" s="187" t="n">
        <v>0</v>
      </c>
      <c r="S57" s="195" t="n">
        <f aca="false">O57-Q57-R57</f>
        <v>-26960.9027524573</v>
      </c>
      <c r="T57" s="187" t="n">
        <v>0</v>
      </c>
      <c r="U57" s="187" t="n">
        <v>0</v>
      </c>
      <c r="V57" s="187" t="n">
        <v>0</v>
      </c>
      <c r="W57" s="187" t="n">
        <v>0</v>
      </c>
      <c r="X57" s="187" t="n">
        <v>0</v>
      </c>
      <c r="Y57" s="187" t="n">
        <v>0</v>
      </c>
      <c r="Z57" s="187" t="n">
        <v>0</v>
      </c>
      <c r="AA57" s="187" t="n">
        <v>0</v>
      </c>
      <c r="AB57" s="187" t="n">
        <v>0</v>
      </c>
      <c r="AC57" s="187" t="n">
        <v>0</v>
      </c>
      <c r="AD57" s="187" t="n">
        <v>0</v>
      </c>
      <c r="AE57" s="187" t="n">
        <v>0</v>
      </c>
      <c r="AF57" s="187" t="n">
        <v>0</v>
      </c>
      <c r="AG57" s="187" t="n">
        <v>0</v>
      </c>
      <c r="AH57" s="187" t="n">
        <v>0</v>
      </c>
      <c r="AI57" s="187" t="n">
        <v>0</v>
      </c>
      <c r="AJ57" s="187" t="n">
        <v>0</v>
      </c>
      <c r="AK57" s="187" t="n">
        <v>0</v>
      </c>
      <c r="AL57" s="195" t="n">
        <f aca="false">SUM(AE57:AK57)</f>
        <v>0</v>
      </c>
      <c r="AM57" s="187" t="n">
        <v>0</v>
      </c>
      <c r="AN57" s="187" t="n">
        <v>208563.933576926</v>
      </c>
      <c r="AO57" s="195" t="n">
        <f aca="false">O57-P57</f>
        <v>0</v>
      </c>
    </row>
    <row r="58" customFormat="false" ht="15" hidden="false" customHeight="false" outlineLevel="0" collapsed="false">
      <c r="A58" s="189" t="n">
        <v>2078</v>
      </c>
      <c r="B58" s="189" t="n">
        <v>89</v>
      </c>
      <c r="C58" s="189" t="s">
        <v>5538</v>
      </c>
      <c r="D58" s="187" t="n">
        <v>0</v>
      </c>
      <c r="E58" s="187" t="n">
        <v>0</v>
      </c>
      <c r="F58" s="187" t="n">
        <v>79905.9086011074</v>
      </c>
      <c r="G58" s="187" t="n">
        <v>29794.8476538465</v>
      </c>
      <c r="H58" s="187" t="n">
        <v>0</v>
      </c>
      <c r="I58" s="195" t="n">
        <f aca="false">SUM(D58:H58)</f>
        <v>109700.756254954</v>
      </c>
      <c r="J58" s="187" t="n">
        <v>3079.44806423664</v>
      </c>
      <c r="K58" s="187" t="n">
        <v>0</v>
      </c>
      <c r="L58" s="187" t="n">
        <v>0</v>
      </c>
      <c r="M58" s="195" t="n">
        <f aca="false">SUM(J58:L58)</f>
        <v>3079.44806423664</v>
      </c>
      <c r="N58" s="187" t="n">
        <v>0</v>
      </c>
      <c r="O58" s="195" t="n">
        <f aca="false">I58-M58-N58</f>
        <v>106621.308190717</v>
      </c>
      <c r="P58" s="187" t="n">
        <v>106621.308190717</v>
      </c>
      <c r="Q58" s="187" t="n">
        <v>133855.687264423</v>
      </c>
      <c r="R58" s="187" t="n">
        <v>0</v>
      </c>
      <c r="S58" s="195" t="n">
        <f aca="false">O58-Q58-R58</f>
        <v>-27234.3790737058</v>
      </c>
      <c r="T58" s="187" t="n">
        <v>0</v>
      </c>
      <c r="U58" s="187" t="n">
        <v>0</v>
      </c>
      <c r="V58" s="187" t="n">
        <v>0</v>
      </c>
      <c r="W58" s="187" t="n">
        <v>0</v>
      </c>
      <c r="X58" s="187" t="n">
        <v>0</v>
      </c>
      <c r="Y58" s="187" t="n">
        <v>0</v>
      </c>
      <c r="Z58" s="187" t="n">
        <v>0</v>
      </c>
      <c r="AA58" s="187" t="n">
        <v>0</v>
      </c>
      <c r="AB58" s="187" t="n">
        <v>0</v>
      </c>
      <c r="AC58" s="187" t="n">
        <v>0</v>
      </c>
      <c r="AD58" s="187" t="n">
        <v>0</v>
      </c>
      <c r="AE58" s="187" t="n">
        <v>0</v>
      </c>
      <c r="AF58" s="187" t="n">
        <v>0</v>
      </c>
      <c r="AG58" s="187" t="n">
        <v>0</v>
      </c>
      <c r="AH58" s="187" t="n">
        <v>0</v>
      </c>
      <c r="AI58" s="187" t="n">
        <v>0</v>
      </c>
      <c r="AJ58" s="187" t="n">
        <v>0</v>
      </c>
      <c r="AK58" s="187" t="n">
        <v>0</v>
      </c>
      <c r="AL58" s="195" t="n">
        <f aca="false">SUM(AE58:AK58)</f>
        <v>0</v>
      </c>
      <c r="AM58" s="187" t="n">
        <v>0</v>
      </c>
      <c r="AN58" s="187" t="n">
        <v>184400.312129656</v>
      </c>
      <c r="AO58" s="195" t="n">
        <f aca="false">O58-P58</f>
        <v>0</v>
      </c>
    </row>
    <row r="59" customFormat="false" ht="15" hidden="false" customHeight="false" outlineLevel="0" collapsed="false">
      <c r="A59" s="189" t="n">
        <v>2079</v>
      </c>
      <c r="B59" s="189" t="n">
        <v>90</v>
      </c>
      <c r="C59" s="189" t="s">
        <v>5538</v>
      </c>
      <c r="D59" s="187" t="n">
        <v>0</v>
      </c>
      <c r="E59" s="187" t="n">
        <v>0</v>
      </c>
      <c r="F59" s="187" t="n">
        <v>81504.0267731296</v>
      </c>
      <c r="G59" s="187" t="n">
        <v>30733.3853549427</v>
      </c>
      <c r="H59" s="187" t="n">
        <v>0</v>
      </c>
      <c r="I59" s="195" t="n">
        <f aca="false">SUM(D59:H59)</f>
        <v>112237.412128072</v>
      </c>
      <c r="J59" s="187" t="n">
        <v>3209.56517512522</v>
      </c>
      <c r="K59" s="187" t="n">
        <v>0</v>
      </c>
      <c r="L59" s="187" t="n">
        <v>0</v>
      </c>
      <c r="M59" s="195" t="n">
        <f aca="false">SUM(J59:L59)</f>
        <v>3209.56517512522</v>
      </c>
      <c r="N59" s="187" t="n">
        <v>0</v>
      </c>
      <c r="O59" s="195" t="n">
        <f aca="false">I59-M59-N59</f>
        <v>109027.846952947</v>
      </c>
      <c r="P59" s="187" t="n">
        <v>109027.846952947</v>
      </c>
      <c r="Q59" s="187" t="n">
        <v>136532.801009712</v>
      </c>
      <c r="R59" s="187" t="n">
        <v>0</v>
      </c>
      <c r="S59" s="195" t="n">
        <f aca="false">O59-Q59-R59</f>
        <v>-27504.9540567645</v>
      </c>
      <c r="T59" s="187" t="n">
        <v>0</v>
      </c>
      <c r="U59" s="187" t="n">
        <v>0</v>
      </c>
      <c r="V59" s="187" t="n">
        <v>0</v>
      </c>
      <c r="W59" s="187" t="n">
        <v>0</v>
      </c>
      <c r="X59" s="187" t="n">
        <v>0</v>
      </c>
      <c r="Y59" s="187" t="n">
        <v>0</v>
      </c>
      <c r="Z59" s="187" t="n">
        <v>0</v>
      </c>
      <c r="AA59" s="187" t="n">
        <v>0</v>
      </c>
      <c r="AB59" s="187" t="n">
        <v>0</v>
      </c>
      <c r="AC59" s="187" t="n">
        <v>0</v>
      </c>
      <c r="AD59" s="187" t="n">
        <v>0</v>
      </c>
      <c r="AE59" s="187" t="n">
        <v>0</v>
      </c>
      <c r="AF59" s="187" t="n">
        <v>0</v>
      </c>
      <c r="AG59" s="187" t="n">
        <v>0</v>
      </c>
      <c r="AH59" s="187" t="n">
        <v>0</v>
      </c>
      <c r="AI59" s="187" t="n">
        <v>0</v>
      </c>
      <c r="AJ59" s="187" t="n">
        <v>0</v>
      </c>
      <c r="AK59" s="187" t="n">
        <v>0</v>
      </c>
      <c r="AL59" s="195" t="n">
        <f aca="false">SUM(AE59:AK59)</f>
        <v>0</v>
      </c>
      <c r="AM59" s="187" t="n">
        <v>0</v>
      </c>
      <c r="AN59" s="187" t="n">
        <v>158507.434968117</v>
      </c>
      <c r="AO59" s="195" t="n">
        <f aca="false">O59-P59</f>
        <v>0</v>
      </c>
    </row>
    <row r="60" customFormat="false" ht="15" hidden="false" customHeight="false" outlineLevel="0" collapsed="false">
      <c r="A60" s="189" t="n">
        <v>2080</v>
      </c>
      <c r="B60" s="189" t="n">
        <v>91</v>
      </c>
      <c r="C60" s="189" t="s">
        <v>5538</v>
      </c>
      <c r="D60" s="187" t="n">
        <v>0</v>
      </c>
      <c r="E60" s="187" t="n">
        <v>0</v>
      </c>
      <c r="F60" s="187" t="n">
        <v>83134.1073085922</v>
      </c>
      <c r="G60" s="187" t="n">
        <v>31701.4869936234</v>
      </c>
      <c r="H60" s="187" t="n">
        <v>0</v>
      </c>
      <c r="I60" s="195" t="n">
        <f aca="false">SUM(D60:H60)</f>
        <v>114835.594302216</v>
      </c>
      <c r="J60" s="187" t="n">
        <v>3344.4432649441</v>
      </c>
      <c r="K60" s="187" t="n">
        <v>0</v>
      </c>
      <c r="L60" s="187" t="n">
        <v>0</v>
      </c>
      <c r="M60" s="195" t="n">
        <f aca="false">SUM(J60:L60)</f>
        <v>3344.4432649441</v>
      </c>
      <c r="N60" s="187" t="n">
        <v>0</v>
      </c>
      <c r="O60" s="195" t="n">
        <f aca="false">I60-M60-N60</f>
        <v>111491.151037271</v>
      </c>
      <c r="P60" s="187" t="n">
        <v>111491.151037271</v>
      </c>
      <c r="Q60" s="187" t="n">
        <v>139263.457029906</v>
      </c>
      <c r="R60" s="187" t="n">
        <v>0</v>
      </c>
      <c r="S60" s="195" t="n">
        <f aca="false">O60-Q60-R60</f>
        <v>-27772.3059926344</v>
      </c>
      <c r="T60" s="187" t="n">
        <v>0</v>
      </c>
      <c r="U60" s="187" t="n">
        <v>0</v>
      </c>
      <c r="V60" s="187" t="n">
        <v>0</v>
      </c>
      <c r="W60" s="187" t="n">
        <v>0</v>
      </c>
      <c r="X60" s="187" t="n">
        <v>0</v>
      </c>
      <c r="Y60" s="187" t="n">
        <v>0</v>
      </c>
      <c r="Z60" s="187" t="n">
        <v>0</v>
      </c>
      <c r="AA60" s="187" t="n">
        <v>0</v>
      </c>
      <c r="AB60" s="187" t="n">
        <v>0</v>
      </c>
      <c r="AC60" s="187" t="n">
        <v>0</v>
      </c>
      <c r="AD60" s="187" t="n">
        <v>0</v>
      </c>
      <c r="AE60" s="187" t="n">
        <v>0</v>
      </c>
      <c r="AF60" s="187" t="n">
        <v>0</v>
      </c>
      <c r="AG60" s="187" t="n">
        <v>0</v>
      </c>
      <c r="AH60" s="187" t="n">
        <v>0</v>
      </c>
      <c r="AI60" s="187" t="n">
        <v>0</v>
      </c>
      <c r="AJ60" s="187" t="n">
        <v>0</v>
      </c>
      <c r="AK60" s="187" t="n">
        <v>0</v>
      </c>
      <c r="AL60" s="195" t="n">
        <f aca="false">SUM(AE60:AK60)</f>
        <v>0</v>
      </c>
      <c r="AM60" s="187" t="n">
        <v>0</v>
      </c>
      <c r="AN60" s="187" t="n">
        <v>130800.33533569</v>
      </c>
      <c r="AO60" s="195" t="n">
        <f aca="false">O60-P60</f>
        <v>0</v>
      </c>
    </row>
    <row r="61" customFormat="false" ht="15" hidden="false" customHeight="false" outlineLevel="0" collapsed="false">
      <c r="A61" s="189" t="n">
        <v>2081</v>
      </c>
      <c r="B61" s="189" t="n">
        <v>92</v>
      </c>
      <c r="C61" s="189" t="s">
        <v>5538</v>
      </c>
      <c r="D61" s="187" t="n">
        <v>0</v>
      </c>
      <c r="E61" s="187" t="n">
        <v>0</v>
      </c>
      <c r="F61" s="187" t="n">
        <v>84796.789454764</v>
      </c>
      <c r="G61" s="187" t="n">
        <v>32700.0838339225</v>
      </c>
      <c r="H61" s="187" t="n">
        <v>0</v>
      </c>
      <c r="I61" s="195" t="n">
        <f aca="false">SUM(D61:H61)</f>
        <v>117496.873288687</v>
      </c>
      <c r="J61" s="187" t="n">
        <v>3484.24555032831</v>
      </c>
      <c r="K61" s="187" t="n">
        <v>0</v>
      </c>
      <c r="L61" s="187" t="n">
        <v>0</v>
      </c>
      <c r="M61" s="195" t="n">
        <f aca="false">SUM(J61:L61)</f>
        <v>3484.24555032831</v>
      </c>
      <c r="N61" s="187" t="n">
        <v>0</v>
      </c>
      <c r="O61" s="195" t="n">
        <f aca="false">I61-M61-N61</f>
        <v>114012.627738358</v>
      </c>
      <c r="P61" s="187" t="n">
        <v>114012.627738358</v>
      </c>
      <c r="Q61" s="187" t="n">
        <v>142048.726170504</v>
      </c>
      <c r="R61" s="187" t="n">
        <v>0</v>
      </c>
      <c r="S61" s="195" t="n">
        <f aca="false">O61-Q61-R61</f>
        <v>-28036.0984321457</v>
      </c>
      <c r="T61" s="187" t="n">
        <v>0</v>
      </c>
      <c r="U61" s="187" t="n">
        <v>0</v>
      </c>
      <c r="V61" s="187" t="n">
        <v>0</v>
      </c>
      <c r="W61" s="187" t="n">
        <v>0</v>
      </c>
      <c r="X61" s="187" t="n">
        <v>0</v>
      </c>
      <c r="Y61" s="187" t="n">
        <v>0</v>
      </c>
      <c r="Z61" s="187" t="n">
        <v>0</v>
      </c>
      <c r="AA61" s="187" t="n">
        <v>0</v>
      </c>
      <c r="AB61" s="187" t="n">
        <v>0</v>
      </c>
      <c r="AC61" s="187" t="n">
        <v>0</v>
      </c>
      <c r="AD61" s="187" t="n">
        <v>0</v>
      </c>
      <c r="AE61" s="187" t="n">
        <v>0</v>
      </c>
      <c r="AF61" s="187" t="n">
        <v>0</v>
      </c>
      <c r="AG61" s="187" t="n">
        <v>0</v>
      </c>
      <c r="AH61" s="187" t="n">
        <v>0</v>
      </c>
      <c r="AI61" s="187" t="n">
        <v>0</v>
      </c>
      <c r="AJ61" s="187" t="n">
        <v>0</v>
      </c>
      <c r="AK61" s="187" t="n">
        <v>0</v>
      </c>
      <c r="AL61" s="195" t="n">
        <f aca="false">SUM(AE61:AK61)</f>
        <v>0</v>
      </c>
      <c r="AM61" s="187" t="n">
        <v>0</v>
      </c>
      <c r="AN61" s="187" t="n">
        <v>101190.409424073</v>
      </c>
      <c r="AO61" s="195" t="n">
        <f aca="false">O61-P61</f>
        <v>0</v>
      </c>
    </row>
    <row r="62" customFormat="false" ht="15" hidden="false" customHeight="false" outlineLevel="0" collapsed="false">
      <c r="A62" s="189" t="n">
        <v>2082</v>
      </c>
      <c r="B62" s="189" t="n">
        <v>93</v>
      </c>
      <c r="C62" s="189" t="s">
        <v>5538</v>
      </c>
      <c r="D62" s="187" t="n">
        <v>0</v>
      </c>
      <c r="E62" s="187" t="n">
        <v>0</v>
      </c>
      <c r="F62" s="187" t="n">
        <v>86492.7252438593</v>
      </c>
      <c r="G62" s="187" t="n">
        <v>33730.1364746911</v>
      </c>
      <c r="H62" s="187" t="n">
        <v>0</v>
      </c>
      <c r="I62" s="195" t="n">
        <f aca="false">SUM(D62:H62)</f>
        <v>120222.86171855</v>
      </c>
      <c r="J62" s="187" t="n">
        <v>3629.1406541529</v>
      </c>
      <c r="K62" s="187" t="n">
        <v>0</v>
      </c>
      <c r="L62" s="187" t="n">
        <v>0</v>
      </c>
      <c r="M62" s="195" t="n">
        <f aca="false">SUM(J62:L62)</f>
        <v>3629.1406541529</v>
      </c>
      <c r="N62" s="187" t="n">
        <v>0</v>
      </c>
      <c r="O62" s="195" t="n">
        <f aca="false">I62-M62-N62</f>
        <v>116593.721064397</v>
      </c>
      <c r="P62" s="187" t="n">
        <v>116593.721064398</v>
      </c>
      <c r="Q62" s="187" t="n">
        <v>144889.700693914</v>
      </c>
      <c r="R62" s="187" t="n">
        <v>0</v>
      </c>
      <c r="S62" s="195" t="n">
        <f aca="false">O62-Q62-R62</f>
        <v>-28295.9796295165</v>
      </c>
      <c r="T62" s="187" t="n">
        <v>0</v>
      </c>
      <c r="U62" s="187" t="n">
        <v>0</v>
      </c>
      <c r="V62" s="187" t="n">
        <v>0</v>
      </c>
      <c r="W62" s="187" t="n">
        <v>0</v>
      </c>
      <c r="X62" s="187" t="n">
        <v>0</v>
      </c>
      <c r="Y62" s="187" t="n">
        <v>0</v>
      </c>
      <c r="Z62" s="187" t="n">
        <v>0</v>
      </c>
      <c r="AA62" s="187" t="n">
        <v>0</v>
      </c>
      <c r="AB62" s="187" t="n">
        <v>0</v>
      </c>
      <c r="AC62" s="187" t="n">
        <v>0</v>
      </c>
      <c r="AD62" s="187" t="n">
        <v>0</v>
      </c>
      <c r="AE62" s="187" t="n">
        <v>0</v>
      </c>
      <c r="AF62" s="187" t="n">
        <v>0</v>
      </c>
      <c r="AG62" s="187" t="n">
        <v>0</v>
      </c>
      <c r="AH62" s="187" t="n">
        <v>0</v>
      </c>
      <c r="AI62" s="187" t="n">
        <v>0</v>
      </c>
      <c r="AJ62" s="187" t="n">
        <v>0</v>
      </c>
      <c r="AK62" s="187" t="n">
        <v>0</v>
      </c>
      <c r="AL62" s="195" t="n">
        <f aca="false">SUM(AE62:AK62)</f>
        <v>0</v>
      </c>
      <c r="AM62" s="187" t="n">
        <v>0</v>
      </c>
      <c r="AN62" s="187" t="n">
        <v>69585.2715472877</v>
      </c>
      <c r="AO62" s="195" t="n">
        <f aca="false">O62-P62</f>
        <v>0</v>
      </c>
    </row>
    <row r="63" customFormat="false" ht="15" hidden="false" customHeight="false" outlineLevel="0" collapsed="false">
      <c r="A63" s="189" t="n">
        <v>2083</v>
      </c>
      <c r="B63" s="189" t="n">
        <v>94</v>
      </c>
      <c r="C63" s="189" t="s">
        <v>5538</v>
      </c>
      <c r="D63" s="187" t="n">
        <v>0</v>
      </c>
      <c r="E63" s="187" t="n">
        <v>0</v>
      </c>
      <c r="F63" s="187" t="n">
        <v>88222.5797487365</v>
      </c>
      <c r="G63" s="187" t="n">
        <v>34792.6357736438</v>
      </c>
      <c r="H63" s="187" t="n">
        <v>0</v>
      </c>
      <c r="I63" s="195" t="n">
        <f aca="false">SUM(D63:H63)</f>
        <v>123015.21552238</v>
      </c>
      <c r="J63" s="187" t="n">
        <v>3779.30278112775</v>
      </c>
      <c r="K63" s="187" t="n">
        <v>0</v>
      </c>
      <c r="L63" s="187" t="n">
        <v>0</v>
      </c>
      <c r="M63" s="195" t="n">
        <f aca="false">SUM(J63:L63)</f>
        <v>3779.30278112775</v>
      </c>
      <c r="N63" s="187" t="n">
        <v>0</v>
      </c>
      <c r="O63" s="195" t="n">
        <f aca="false">I63-M63-N63</f>
        <v>119235.912741253</v>
      </c>
      <c r="P63" s="187" t="n">
        <v>119235.912741253</v>
      </c>
      <c r="Q63" s="187" t="n">
        <v>147787.494707792</v>
      </c>
      <c r="R63" s="187" t="n">
        <v>0</v>
      </c>
      <c r="S63" s="195" t="n">
        <f aca="false">O63-Q63-R63</f>
        <v>-28551.5819665396</v>
      </c>
      <c r="T63" s="187" t="n">
        <v>0</v>
      </c>
      <c r="U63" s="187" t="n">
        <v>0</v>
      </c>
      <c r="V63" s="187" t="n">
        <v>0</v>
      </c>
      <c r="W63" s="187" t="n">
        <v>0</v>
      </c>
      <c r="X63" s="187" t="n">
        <v>0</v>
      </c>
      <c r="Y63" s="187" t="n">
        <v>0</v>
      </c>
      <c r="Z63" s="187" t="n">
        <v>0</v>
      </c>
      <c r="AA63" s="187" t="n">
        <v>0</v>
      </c>
      <c r="AB63" s="187" t="n">
        <v>0</v>
      </c>
      <c r="AC63" s="187" t="n">
        <v>0</v>
      </c>
      <c r="AD63" s="187" t="n">
        <v>0</v>
      </c>
      <c r="AE63" s="187" t="n">
        <v>0</v>
      </c>
      <c r="AF63" s="187" t="n">
        <v>0</v>
      </c>
      <c r="AG63" s="187" t="n">
        <v>0</v>
      </c>
      <c r="AH63" s="187" t="n">
        <v>0</v>
      </c>
      <c r="AI63" s="187" t="n">
        <v>0</v>
      </c>
      <c r="AJ63" s="187" t="n">
        <v>0</v>
      </c>
      <c r="AK63" s="187" t="n">
        <v>0</v>
      </c>
      <c r="AL63" s="195" t="n">
        <f aca="false">SUM(AE63:AK63)</f>
        <v>0</v>
      </c>
      <c r="AM63" s="187" t="n">
        <v>0</v>
      </c>
      <c r="AN63" s="187" t="n">
        <v>35888.6038005136</v>
      </c>
      <c r="AO63" s="195" t="n">
        <f aca="false">O63-P63</f>
        <v>0</v>
      </c>
    </row>
    <row r="64" customFormat="false" ht="15" hidden="false" customHeight="false" outlineLevel="0" collapsed="false">
      <c r="A64" s="189" t="n">
        <v>2084</v>
      </c>
      <c r="B64" s="189" t="n">
        <v>95</v>
      </c>
      <c r="C64" s="189" t="s">
        <v>5538</v>
      </c>
      <c r="D64" s="187" t="n">
        <v>0</v>
      </c>
      <c r="E64" s="187" t="n">
        <v>0</v>
      </c>
      <c r="F64" s="187" t="n">
        <v>89987.0313437112</v>
      </c>
      <c r="G64" s="187" t="n">
        <v>35888.6038005136</v>
      </c>
      <c r="H64" s="187" t="n">
        <v>0</v>
      </c>
      <c r="I64" s="195" t="n">
        <f aca="false">SUM(D64:H64)</f>
        <v>125875.635144225</v>
      </c>
      <c r="J64" s="187" t="n">
        <v>3934.91189902969</v>
      </c>
      <c r="K64" s="187" t="n">
        <v>0</v>
      </c>
      <c r="L64" s="187" t="n">
        <v>0</v>
      </c>
      <c r="M64" s="195" t="n">
        <f aca="false">SUM(J64:L64)</f>
        <v>3934.91189902969</v>
      </c>
      <c r="N64" s="187" t="n">
        <v>0</v>
      </c>
      <c r="O64" s="195" t="n">
        <f aca="false">I64-M64-N64</f>
        <v>121940.723245195</v>
      </c>
      <c r="P64" s="187" t="n">
        <v>121940.723245195</v>
      </c>
      <c r="Q64" s="187" t="n">
        <v>150743.244601948</v>
      </c>
      <c r="R64" s="187" t="n">
        <v>0</v>
      </c>
      <c r="S64" s="195" t="n">
        <f aca="false">O64-Q64-R64</f>
        <v>-28802.5213567529</v>
      </c>
      <c r="T64" s="187" t="n">
        <v>0</v>
      </c>
      <c r="U64" s="187" t="n">
        <v>0</v>
      </c>
      <c r="V64" s="187" t="n">
        <v>0</v>
      </c>
      <c r="W64" s="187" t="n">
        <v>0</v>
      </c>
      <c r="X64" s="187" t="n">
        <v>0</v>
      </c>
      <c r="Y64" s="187" t="n">
        <v>0</v>
      </c>
      <c r="Z64" s="187" t="n">
        <v>0</v>
      </c>
      <c r="AA64" s="187" t="n">
        <v>0</v>
      </c>
      <c r="AB64" s="187" t="n">
        <v>0</v>
      </c>
      <c r="AC64" s="187" t="n">
        <v>0</v>
      </c>
      <c r="AD64" s="187" t="n">
        <v>0</v>
      </c>
      <c r="AE64" s="187" t="n">
        <v>0</v>
      </c>
      <c r="AF64" s="187" t="n">
        <v>0</v>
      </c>
      <c r="AG64" s="187" t="n">
        <v>0</v>
      </c>
      <c r="AH64" s="187" t="n">
        <v>0</v>
      </c>
      <c r="AI64" s="187" t="n">
        <v>0</v>
      </c>
      <c r="AJ64" s="187" t="n">
        <v>0</v>
      </c>
      <c r="AK64" s="187" t="n">
        <v>0</v>
      </c>
      <c r="AL64" s="195" t="n">
        <f aca="false">SUM(AE64:AK64)</f>
        <v>0</v>
      </c>
      <c r="AM64" s="187" t="n">
        <v>0</v>
      </c>
      <c r="AN64" s="187" t="n">
        <v>0</v>
      </c>
      <c r="AO64" s="195" t="n">
        <f aca="false">O64-P64</f>
        <v>0</v>
      </c>
    </row>
    <row r="66" customFormat="false" ht="69.75" hidden="false" customHeight="true" outlineLevel="0" collapsed="false">
      <c r="A66" s="94" t="s">
        <v>5539</v>
      </c>
      <c r="B66" s="94"/>
      <c r="C66" s="94"/>
      <c r="D66" s="94"/>
      <c r="E66" s="94"/>
      <c r="F66" s="94"/>
      <c r="G66" s="94"/>
      <c r="H66" s="94"/>
      <c r="I66" s="94"/>
      <c r="J66" s="94"/>
      <c r="K66" s="94"/>
      <c r="L66" s="94"/>
      <c r="M66" s="94"/>
      <c r="N66" s="94"/>
      <c r="O66" s="94"/>
      <c r="P66" s="94"/>
      <c r="Q66" s="94"/>
      <c r="R66" s="94"/>
      <c r="S66" s="94"/>
      <c r="T66" s="94"/>
      <c r="U66" s="94"/>
      <c r="V66" s="94"/>
      <c r="W66" s="94"/>
      <c r="X66" s="94"/>
    </row>
    <row r="67" customFormat="false" ht="216.4" hidden="false" customHeight="false" outlineLevel="0" collapsed="false">
      <c r="A67" s="196" t="s">
        <v>5540</v>
      </c>
    </row>
  </sheetData>
  <mergeCells count="2">
    <mergeCell ref="A2:AF2"/>
    <mergeCell ref="A66:X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80"/>
    <col collapsed="false" customWidth="true" hidden="false" outlineLevel="0" max="3" min="3" style="0" width="18"/>
    <col collapsed="false" customWidth="true" hidden="false" outlineLevel="0" max="4" min="4" style="0" width="60"/>
    <col collapsed="false" customWidth="true" hidden="false" outlineLevel="0" max="5" min="5" style="0" width="50"/>
    <col collapsed="false" customWidth="true" hidden="false" outlineLevel="0" max="6" min="6" style="0" width="10"/>
  </cols>
  <sheetData>
    <row r="1" customFormat="false" ht="19.7" hidden="false" customHeight="false" outlineLevel="0" collapsed="false">
      <c r="A1" s="24" t="s">
        <v>231</v>
      </c>
    </row>
    <row r="2" customFormat="false" ht="39.75" hidden="false" customHeight="true" outlineLevel="0" collapsed="false">
      <c r="A2" s="94" t="s">
        <v>5541</v>
      </c>
      <c r="B2" s="94"/>
      <c r="C2" s="94"/>
      <c r="D2" s="94"/>
      <c r="E2" s="94"/>
      <c r="F2" s="94"/>
    </row>
    <row r="4" customFormat="false" ht="15" hidden="false" customHeight="false" outlineLevel="0" collapsed="false">
      <c r="A4" s="174" t="s">
        <v>127</v>
      </c>
      <c r="B4" s="174" t="s">
        <v>5542</v>
      </c>
      <c r="C4" s="174" t="s">
        <v>5543</v>
      </c>
      <c r="D4" s="174" t="s">
        <v>4846</v>
      </c>
    </row>
    <row r="5" customFormat="false" ht="28.35" hidden="false" customHeight="false" outlineLevel="0" collapsed="false">
      <c r="A5" s="26" t="s">
        <v>5544</v>
      </c>
      <c r="B5" s="26" t="s">
        <v>5545</v>
      </c>
      <c r="C5" s="26" t="s">
        <v>5546</v>
      </c>
      <c r="D5" s="26"/>
    </row>
    <row r="6" customFormat="false" ht="28.35" hidden="false" customHeight="false" outlineLevel="0" collapsed="false">
      <c r="A6" s="26" t="s">
        <v>3931</v>
      </c>
      <c r="B6" s="26" t="s">
        <v>5547</v>
      </c>
      <c r="C6" s="26" t="s">
        <v>5546</v>
      </c>
      <c r="D6" s="26"/>
    </row>
    <row r="7" customFormat="false" ht="28.35" hidden="false" customHeight="false" outlineLevel="0" collapsed="false">
      <c r="A7" s="26" t="s">
        <v>3952</v>
      </c>
      <c r="B7" s="26" t="s">
        <v>5548</v>
      </c>
      <c r="C7" s="26" t="s">
        <v>5546</v>
      </c>
      <c r="D7" s="26"/>
    </row>
    <row r="8" customFormat="false" ht="28.35" hidden="false" customHeight="false" outlineLevel="0" collapsed="false">
      <c r="A8" s="26" t="s">
        <v>4930</v>
      </c>
      <c r="B8" s="26" t="s">
        <v>5549</v>
      </c>
      <c r="C8" s="26" t="s">
        <v>5546</v>
      </c>
      <c r="D8" s="26"/>
    </row>
    <row r="9" customFormat="false" ht="28.35" hidden="false" customHeight="false" outlineLevel="0" collapsed="false">
      <c r="A9" s="26" t="s">
        <v>5550</v>
      </c>
      <c r="B9" s="26" t="s">
        <v>5551</v>
      </c>
      <c r="C9" s="26" t="s">
        <v>5546</v>
      </c>
      <c r="D9" s="26"/>
    </row>
    <row r="10" customFormat="false" ht="28.35" hidden="false" customHeight="false" outlineLevel="0" collapsed="false">
      <c r="A10" s="26" t="s">
        <v>5552</v>
      </c>
      <c r="B10" s="26" t="s">
        <v>5553</v>
      </c>
      <c r="C10" s="26" t="s">
        <v>5546</v>
      </c>
      <c r="D10" s="26"/>
    </row>
    <row r="11" customFormat="false" ht="28.35" hidden="false" customHeight="false" outlineLevel="0" collapsed="false">
      <c r="A11" s="26" t="s">
        <v>5554</v>
      </c>
      <c r="B11" s="26" t="s">
        <v>5555</v>
      </c>
      <c r="C11" s="26" t="s">
        <v>5546</v>
      </c>
      <c r="D11" s="26"/>
    </row>
    <row r="12" customFormat="false" ht="28.35" hidden="false" customHeight="false" outlineLevel="0" collapsed="false">
      <c r="A12" s="26" t="s">
        <v>5556</v>
      </c>
      <c r="B12" s="26" t="s">
        <v>5557</v>
      </c>
      <c r="C12" s="26" t="s">
        <v>5546</v>
      </c>
      <c r="D12" s="26"/>
    </row>
    <row r="13" customFormat="false" ht="28.35" hidden="false" customHeight="false" outlineLevel="0" collapsed="false">
      <c r="A13" s="26" t="s">
        <v>5558</v>
      </c>
      <c r="B13" s="26" t="s">
        <v>5559</v>
      </c>
      <c r="C13" s="26" t="s">
        <v>5546</v>
      </c>
      <c r="D13" s="26"/>
    </row>
    <row r="14" customFormat="false" ht="28.35" hidden="false" customHeight="false" outlineLevel="0" collapsed="false">
      <c r="A14" s="26" t="s">
        <v>5560</v>
      </c>
      <c r="B14" s="26" t="s">
        <v>5561</v>
      </c>
      <c r="C14" s="26" t="s">
        <v>5546</v>
      </c>
      <c r="D14" s="26"/>
    </row>
    <row r="15" customFormat="false" ht="28.35" hidden="false" customHeight="false" outlineLevel="0" collapsed="false">
      <c r="A15" s="26" t="s">
        <v>5562</v>
      </c>
      <c r="B15" s="26" t="s">
        <v>5563</v>
      </c>
      <c r="C15" s="26" t="s">
        <v>5546</v>
      </c>
      <c r="D15" s="26"/>
    </row>
    <row r="16" customFormat="false" ht="28.35" hidden="false" customHeight="false" outlineLevel="0" collapsed="false">
      <c r="A16" s="26" t="s">
        <v>5564</v>
      </c>
      <c r="B16" s="26" t="s">
        <v>5565</v>
      </c>
      <c r="C16" s="26" t="s">
        <v>5546</v>
      </c>
      <c r="D16" s="26"/>
    </row>
    <row r="17" customFormat="false" ht="41.75" hidden="false" customHeight="false" outlineLevel="0" collapsed="false">
      <c r="A17" s="26" t="s">
        <v>5566</v>
      </c>
      <c r="B17" s="26" t="s">
        <v>5567</v>
      </c>
      <c r="C17" s="26" t="s">
        <v>5546</v>
      </c>
      <c r="D17" s="26"/>
    </row>
    <row r="18" customFormat="false" ht="28.35" hidden="false" customHeight="false" outlineLevel="0" collapsed="false">
      <c r="A18" s="26" t="s">
        <v>5121</v>
      </c>
      <c r="B18" s="26" t="s">
        <v>5568</v>
      </c>
      <c r="C18" s="26" t="s">
        <v>5546</v>
      </c>
      <c r="D18" s="26"/>
    </row>
    <row r="19" customFormat="false" ht="28.35" hidden="false" customHeight="false" outlineLevel="0" collapsed="false">
      <c r="A19" s="26" t="s">
        <v>5569</v>
      </c>
      <c r="B19" s="26" t="s">
        <v>5570</v>
      </c>
      <c r="C19" s="26" t="s">
        <v>5546</v>
      </c>
      <c r="D19" s="26"/>
    </row>
    <row r="20" customFormat="false" ht="28.35" hidden="false" customHeight="false" outlineLevel="0" collapsed="false">
      <c r="A20" s="26" t="s">
        <v>416</v>
      </c>
      <c r="B20" s="26" t="s">
        <v>5571</v>
      </c>
      <c r="C20" s="26" t="s">
        <v>5546</v>
      </c>
      <c r="D20" s="26"/>
    </row>
    <row r="21" customFormat="false" ht="15" hidden="false" customHeight="false" outlineLevel="0" collapsed="false">
      <c r="A21" s="26" t="s">
        <v>5572</v>
      </c>
      <c r="B21" s="26" t="s">
        <v>5573</v>
      </c>
      <c r="C21" s="26" t="s">
        <v>5574</v>
      </c>
      <c r="D21" s="26"/>
    </row>
    <row r="22" customFormat="false" ht="28.35" hidden="false" customHeight="false" outlineLevel="0" collapsed="false">
      <c r="A22" s="26" t="s">
        <v>5575</v>
      </c>
      <c r="B22" s="26" t="s">
        <v>5576</v>
      </c>
      <c r="C22" s="26" t="s">
        <v>5577</v>
      </c>
      <c r="D22" s="26" t="s">
        <v>5578</v>
      </c>
    </row>
    <row r="23" customFormat="false" ht="15" hidden="false" customHeight="false" outlineLevel="0" collapsed="false">
      <c r="A23" s="26" t="s">
        <v>5579</v>
      </c>
      <c r="B23" s="26" t="s">
        <v>5580</v>
      </c>
      <c r="C23" s="26" t="s">
        <v>5577</v>
      </c>
      <c r="D23" s="26" t="s">
        <v>5581</v>
      </c>
    </row>
    <row r="24" customFormat="false" ht="55.2" hidden="false" customHeight="false" outlineLevel="0" collapsed="false">
      <c r="A24" s="26" t="s">
        <v>5582</v>
      </c>
      <c r="B24" s="26" t="s">
        <v>5583</v>
      </c>
      <c r="C24" s="26" t="s">
        <v>5577</v>
      </c>
      <c r="D24" s="26" t="s">
        <v>5584</v>
      </c>
    </row>
    <row r="25" customFormat="false" ht="41.75" hidden="false" customHeight="false" outlineLevel="0" collapsed="false">
      <c r="A25" s="26" t="s">
        <v>5585</v>
      </c>
      <c r="B25" s="26" t="s">
        <v>5586</v>
      </c>
      <c r="C25" s="26" t="s">
        <v>5577</v>
      </c>
      <c r="D25" s="26" t="s">
        <v>5587</v>
      </c>
    </row>
    <row r="26" customFormat="false" ht="41.75" hidden="false" customHeight="false" outlineLevel="0" collapsed="false">
      <c r="A26" s="26" t="s">
        <v>5588</v>
      </c>
      <c r="B26" s="26" t="s">
        <v>5589</v>
      </c>
      <c r="C26" s="26" t="s">
        <v>5577</v>
      </c>
      <c r="D26" s="26" t="s">
        <v>5590</v>
      </c>
    </row>
    <row r="27" customFormat="false" ht="28.35" hidden="false" customHeight="false" outlineLevel="0" collapsed="false">
      <c r="A27" s="26" t="s">
        <v>1913</v>
      </c>
      <c r="B27" s="26" t="s">
        <v>5591</v>
      </c>
      <c r="C27" s="26" t="s">
        <v>5592</v>
      </c>
      <c r="D27" s="26"/>
    </row>
    <row r="28" customFormat="false" ht="28.35" hidden="false" customHeight="false" outlineLevel="0" collapsed="false">
      <c r="A28" s="26" t="s">
        <v>5593</v>
      </c>
      <c r="B28" s="26" t="s">
        <v>5594</v>
      </c>
      <c r="C28" s="26" t="s">
        <v>5592</v>
      </c>
      <c r="D28" s="26"/>
    </row>
    <row r="29" customFormat="false" ht="28.35" hidden="false" customHeight="false" outlineLevel="0" collapsed="false">
      <c r="A29" s="26" t="s">
        <v>1814</v>
      </c>
      <c r="B29" s="26" t="s">
        <v>5595</v>
      </c>
      <c r="C29" s="26" t="s">
        <v>5577</v>
      </c>
      <c r="D29" s="26" t="s">
        <v>5596</v>
      </c>
    </row>
    <row r="30" customFormat="false" ht="28.35" hidden="false" customHeight="false" outlineLevel="0" collapsed="false">
      <c r="A30" s="26" t="s">
        <v>1813</v>
      </c>
      <c r="B30" s="26" t="s">
        <v>5597</v>
      </c>
      <c r="C30" s="26" t="s">
        <v>5577</v>
      </c>
      <c r="D30" s="26" t="s">
        <v>5598</v>
      </c>
    </row>
    <row r="31" customFormat="false" ht="15" hidden="false" customHeight="false" outlineLevel="0" collapsed="false">
      <c r="A31" s="26" t="s">
        <v>808</v>
      </c>
      <c r="B31" s="26" t="s">
        <v>5599</v>
      </c>
      <c r="C31" s="26" t="s">
        <v>5574</v>
      </c>
      <c r="D31" s="26"/>
    </row>
    <row r="32" customFormat="false" ht="15" hidden="false" customHeight="false" outlineLevel="0" collapsed="false">
      <c r="A32" s="26" t="s">
        <v>1803</v>
      </c>
      <c r="B32" s="26" t="s">
        <v>5600</v>
      </c>
      <c r="C32" s="26" t="s">
        <v>5574</v>
      </c>
      <c r="D32" s="26"/>
    </row>
    <row r="33" customFormat="false" ht="15" hidden="false" customHeight="false" outlineLevel="0" collapsed="false">
      <c r="A33" s="26" t="s">
        <v>5601</v>
      </c>
      <c r="B33" s="26" t="s">
        <v>4270</v>
      </c>
      <c r="C33" s="26" t="s">
        <v>5574</v>
      </c>
      <c r="D33" s="26"/>
    </row>
    <row r="34" customFormat="false" ht="68.65" hidden="false" customHeight="false" outlineLevel="0" collapsed="false">
      <c r="A34" s="26" t="s">
        <v>1809</v>
      </c>
      <c r="B34" s="26" t="s">
        <v>5602</v>
      </c>
      <c r="C34" s="26" t="s">
        <v>5577</v>
      </c>
      <c r="D34" s="26" t="s">
        <v>5603</v>
      </c>
    </row>
    <row r="35" customFormat="false" ht="41.75" hidden="false" customHeight="false" outlineLevel="0" collapsed="false">
      <c r="A35" s="26" t="s">
        <v>5604</v>
      </c>
      <c r="B35" s="26" t="s">
        <v>5605</v>
      </c>
      <c r="C35" s="26" t="s">
        <v>5577</v>
      </c>
      <c r="D35" s="26" t="s">
        <v>5606</v>
      </c>
    </row>
    <row r="36" customFormat="false" ht="15" hidden="false" customHeight="false" outlineLevel="0" collapsed="false">
      <c r="A36" s="26" t="s">
        <v>5607</v>
      </c>
      <c r="B36" s="26" t="s">
        <v>5608</v>
      </c>
      <c r="C36" s="26" t="s">
        <v>5577</v>
      </c>
      <c r="D36" s="26"/>
    </row>
    <row r="37" customFormat="false" ht="15" hidden="false" customHeight="false" outlineLevel="0" collapsed="false">
      <c r="A37" s="26" t="s">
        <v>5609</v>
      </c>
      <c r="B37" s="26" t="s">
        <v>5610</v>
      </c>
      <c r="C37" s="26" t="s">
        <v>5577</v>
      </c>
      <c r="D37" s="26"/>
    </row>
    <row r="38" customFormat="false" ht="15" hidden="false" customHeight="false" outlineLevel="0" collapsed="false">
      <c r="A38" s="26" t="s">
        <v>533</v>
      </c>
      <c r="B38" s="26" t="s">
        <v>5611</v>
      </c>
      <c r="C38" s="26" t="s">
        <v>5574</v>
      </c>
      <c r="D38" s="26"/>
    </row>
    <row r="39" customFormat="false" ht="15" hidden="false" customHeight="false" outlineLevel="0" collapsed="false">
      <c r="A39" s="26" t="s">
        <v>5612</v>
      </c>
      <c r="B39" s="26" t="s">
        <v>5613</v>
      </c>
      <c r="C39" s="26" t="s">
        <v>5574</v>
      </c>
      <c r="D39" s="26"/>
    </row>
    <row r="40" customFormat="false" ht="15" hidden="false" customHeight="false" outlineLevel="0" collapsed="false">
      <c r="A40" s="26" t="s">
        <v>5614</v>
      </c>
      <c r="B40" s="26" t="s">
        <v>5615</v>
      </c>
      <c r="C40" s="26" t="s">
        <v>5574</v>
      </c>
      <c r="D40" s="26"/>
    </row>
    <row r="41" customFormat="false" ht="28.35" hidden="false" customHeight="false" outlineLevel="0" collapsed="false">
      <c r="A41" s="26" t="s">
        <v>5616</v>
      </c>
      <c r="B41" s="26" t="s">
        <v>5617</v>
      </c>
      <c r="C41" s="26" t="s">
        <v>5577</v>
      </c>
      <c r="D41" s="26"/>
    </row>
    <row r="42" customFormat="false" ht="15" hidden="false" customHeight="false" outlineLevel="0" collapsed="false">
      <c r="A42" s="26" t="s">
        <v>5618</v>
      </c>
      <c r="B42" s="26" t="s">
        <v>5619</v>
      </c>
      <c r="C42" s="26" t="s">
        <v>5620</v>
      </c>
      <c r="D42" s="26"/>
    </row>
    <row r="43" customFormat="false" ht="15" hidden="false" customHeight="false" outlineLevel="0" collapsed="false">
      <c r="A43" s="26" t="s">
        <v>2535</v>
      </c>
      <c r="B43" s="26" t="s">
        <v>5621</v>
      </c>
      <c r="C43" s="26" t="s">
        <v>5574</v>
      </c>
      <c r="D43" s="26"/>
    </row>
    <row r="44" customFormat="false" ht="15" hidden="false" customHeight="false" outlineLevel="0" collapsed="false">
      <c r="A44" s="26" t="s">
        <v>5622</v>
      </c>
      <c r="B44" s="26" t="s">
        <v>5623</v>
      </c>
      <c r="C44" s="26" t="s">
        <v>5577</v>
      </c>
      <c r="D44" s="26"/>
    </row>
    <row r="45" customFormat="false" ht="15" hidden="false" customHeight="false" outlineLevel="0" collapsed="false">
      <c r="A45" s="26" t="s">
        <v>5624</v>
      </c>
      <c r="B45" s="26" t="s">
        <v>5625</v>
      </c>
      <c r="C45" s="26" t="s">
        <v>5577</v>
      </c>
      <c r="D45" s="26"/>
    </row>
    <row r="46" customFormat="false" ht="28.35" hidden="false" customHeight="false" outlineLevel="0" collapsed="false">
      <c r="A46" s="26" t="s">
        <v>5626</v>
      </c>
      <c r="B46" s="26" t="s">
        <v>5627</v>
      </c>
      <c r="C46" s="26" t="s">
        <v>5620</v>
      </c>
      <c r="D46" s="26"/>
    </row>
    <row r="47" customFormat="false" ht="28.35" hidden="false" customHeight="false" outlineLevel="0" collapsed="false">
      <c r="A47" s="26" t="s">
        <v>5628</v>
      </c>
      <c r="B47" s="26" t="s">
        <v>5629</v>
      </c>
      <c r="C47" s="26" t="s">
        <v>5546</v>
      </c>
      <c r="D47" s="26"/>
    </row>
    <row r="48" customFormat="false" ht="55.2" hidden="false" customHeight="false" outlineLevel="0" collapsed="false">
      <c r="A48" s="26" t="s">
        <v>5630</v>
      </c>
      <c r="B48" s="26" t="s">
        <v>5631</v>
      </c>
      <c r="C48" s="26" t="s">
        <v>5620</v>
      </c>
      <c r="D48" s="26"/>
    </row>
    <row r="49" customFormat="false" ht="28.35" hidden="false" customHeight="false" outlineLevel="0" collapsed="false">
      <c r="A49" s="26" t="s">
        <v>5632</v>
      </c>
      <c r="B49" s="26" t="s">
        <v>5633</v>
      </c>
      <c r="C49" s="26" t="s">
        <v>5546</v>
      </c>
      <c r="D49" s="26"/>
    </row>
    <row r="50" customFormat="false" ht="28.35" hidden="false" customHeight="false" outlineLevel="0" collapsed="false">
      <c r="A50" s="26" t="s">
        <v>5634</v>
      </c>
      <c r="B50" s="26" t="s">
        <v>5635</v>
      </c>
      <c r="C50" s="26" t="s">
        <v>5577</v>
      </c>
      <c r="D50" s="26"/>
    </row>
    <row r="51" customFormat="false" ht="41.75" hidden="false" customHeight="false" outlineLevel="0" collapsed="false">
      <c r="A51" s="26" t="s">
        <v>5636</v>
      </c>
      <c r="B51" s="26" t="s">
        <v>5637</v>
      </c>
      <c r="C51" s="26" t="s">
        <v>5546</v>
      </c>
      <c r="D51" s="26"/>
    </row>
    <row r="52" customFormat="false" ht="41.75" hidden="false" customHeight="false" outlineLevel="0" collapsed="false">
      <c r="A52" s="26" t="s">
        <v>5638</v>
      </c>
      <c r="B52" s="26" t="s">
        <v>5639</v>
      </c>
      <c r="C52" s="26" t="s">
        <v>5577</v>
      </c>
      <c r="D52" s="26"/>
    </row>
    <row r="53" customFormat="false" ht="41.75" hidden="false" customHeight="false" outlineLevel="0" collapsed="false">
      <c r="A53" s="26" t="s">
        <v>5640</v>
      </c>
      <c r="B53" s="26" t="s">
        <v>5641</v>
      </c>
      <c r="C53" s="26" t="s">
        <v>5642</v>
      </c>
      <c r="D53" s="26"/>
    </row>
    <row r="54" customFormat="false" ht="55.2" hidden="false" customHeight="false" outlineLevel="0" collapsed="false">
      <c r="A54" s="26" t="s">
        <v>5643</v>
      </c>
      <c r="B54" s="26" t="s">
        <v>5644</v>
      </c>
      <c r="C54" s="26" t="s">
        <v>5620</v>
      </c>
      <c r="D54" s="26"/>
    </row>
    <row r="55" customFormat="false" ht="108.95" hidden="false" customHeight="false" outlineLevel="0" collapsed="false">
      <c r="A55" s="26" t="s">
        <v>5645</v>
      </c>
      <c r="B55" s="26" t="s">
        <v>5646</v>
      </c>
      <c r="C55" s="26" t="s">
        <v>5620</v>
      </c>
      <c r="D55" s="26"/>
    </row>
    <row r="57" customFormat="false" ht="28.35" hidden="false" customHeight="false" outlineLevel="0" collapsed="false">
      <c r="A57" s="197" t="s">
        <v>5647</v>
      </c>
    </row>
    <row r="58" customFormat="false" ht="15" hidden="false" customHeight="false" outlineLevel="0" collapsed="false">
      <c r="A58" s="174" t="s">
        <v>5648</v>
      </c>
      <c r="B58" s="174" t="s">
        <v>1321</v>
      </c>
      <c r="C58" s="174" t="s">
        <v>1545</v>
      </c>
      <c r="D58" s="174" t="s">
        <v>5649</v>
      </c>
      <c r="E58" s="174" t="s">
        <v>4255</v>
      </c>
      <c r="F58" s="174" t="s">
        <v>4256</v>
      </c>
    </row>
    <row r="59" customFormat="false" ht="28.35" hidden="false" customHeight="false" outlineLevel="0" collapsed="false">
      <c r="A59" s="26" t="s">
        <v>4261</v>
      </c>
      <c r="B59" s="26" t="s">
        <v>5650</v>
      </c>
      <c r="C59" s="26" t="n">
        <v>0.02</v>
      </c>
      <c r="D59" s="26" t="s">
        <v>4263</v>
      </c>
      <c r="E59" s="26" t="s">
        <v>4264</v>
      </c>
      <c r="F59" s="26" t="s">
        <v>4265</v>
      </c>
    </row>
    <row r="60" customFormat="false" ht="15" hidden="false" customHeight="false" outlineLevel="0" collapsed="false">
      <c r="A60" s="26" t="s">
        <v>4261</v>
      </c>
      <c r="B60" s="26" t="s">
        <v>1458</v>
      </c>
      <c r="C60" s="26" t="n">
        <v>0.03</v>
      </c>
      <c r="D60" s="26" t="s">
        <v>4268</v>
      </c>
      <c r="E60" s="26" t="s">
        <v>4269</v>
      </c>
      <c r="F60" s="26" t="s">
        <v>4270</v>
      </c>
    </row>
    <row r="61" customFormat="false" ht="28.35" hidden="false" customHeight="false" outlineLevel="0" collapsed="false">
      <c r="A61" s="26" t="s">
        <v>4261</v>
      </c>
      <c r="B61" s="26" t="s">
        <v>5651</v>
      </c>
      <c r="C61" s="26" t="n">
        <v>0.01</v>
      </c>
      <c r="D61" s="26" t="s">
        <v>4273</v>
      </c>
      <c r="E61" s="26" t="s">
        <v>4274</v>
      </c>
      <c r="F61" s="26" t="s">
        <v>4275</v>
      </c>
    </row>
    <row r="62" customFormat="false" ht="41.75" hidden="false" customHeight="false" outlineLevel="0" collapsed="false">
      <c r="A62" s="26" t="s">
        <v>4261</v>
      </c>
      <c r="B62" s="26" t="s">
        <v>5652</v>
      </c>
      <c r="C62" s="26" t="n">
        <v>0.026</v>
      </c>
      <c r="D62" s="26" t="s">
        <v>5653</v>
      </c>
      <c r="E62" s="26" t="s">
        <v>4277</v>
      </c>
      <c r="F62" s="26" t="s">
        <v>4270</v>
      </c>
    </row>
    <row r="63" customFormat="false" ht="55.2" hidden="false" customHeight="false" outlineLevel="0" collapsed="false">
      <c r="A63" s="26" t="s">
        <v>4261</v>
      </c>
      <c r="B63" s="26" t="s">
        <v>5654</v>
      </c>
      <c r="C63" s="26" t="n">
        <v>0.05</v>
      </c>
      <c r="D63" s="26" t="s">
        <v>4280</v>
      </c>
      <c r="E63" s="26" t="s">
        <v>4281</v>
      </c>
      <c r="F63" s="26" t="s">
        <v>4270</v>
      </c>
    </row>
    <row r="64" customFormat="false" ht="28.35" hidden="false" customHeight="false" outlineLevel="0" collapsed="false">
      <c r="A64" s="26" t="s">
        <v>4261</v>
      </c>
      <c r="B64" s="26" t="s">
        <v>5655</v>
      </c>
      <c r="C64" s="26" t="n">
        <v>0.045</v>
      </c>
      <c r="D64" s="26" t="s">
        <v>4284</v>
      </c>
      <c r="E64" s="26" t="s">
        <v>4285</v>
      </c>
      <c r="F64" s="26" t="s">
        <v>4270</v>
      </c>
    </row>
    <row r="65" customFormat="false" ht="28.35" hidden="false" customHeight="false" outlineLevel="0" collapsed="false">
      <c r="A65" s="26" t="s">
        <v>4261</v>
      </c>
      <c r="B65" s="26" t="s">
        <v>5656</v>
      </c>
      <c r="C65" s="26" t="n">
        <v>0.0315</v>
      </c>
      <c r="D65" s="26" t="s">
        <v>4288</v>
      </c>
      <c r="E65" s="26" t="s">
        <v>4285</v>
      </c>
      <c r="F65" s="26" t="s">
        <v>4270</v>
      </c>
    </row>
    <row r="66" customFormat="false" ht="41.75" hidden="false" customHeight="false" outlineLevel="0" collapsed="false">
      <c r="A66" s="26" t="s">
        <v>3411</v>
      </c>
      <c r="B66" s="26" t="s">
        <v>5657</v>
      </c>
      <c r="C66" s="26" t="n">
        <v>0.03</v>
      </c>
      <c r="D66" s="26" t="s">
        <v>4291</v>
      </c>
      <c r="E66" s="26" t="s">
        <v>4292</v>
      </c>
      <c r="F66" s="26" t="s">
        <v>4270</v>
      </c>
    </row>
    <row r="67" customFormat="false" ht="28.35" hidden="false" customHeight="false" outlineLevel="0" collapsed="false">
      <c r="A67" s="26" t="s">
        <v>3411</v>
      </c>
      <c r="B67" s="26" t="s">
        <v>5658</v>
      </c>
      <c r="C67" s="26" t="n">
        <v>0.02</v>
      </c>
      <c r="D67" s="26" t="s">
        <v>4296</v>
      </c>
      <c r="E67" s="26" t="s">
        <v>4297</v>
      </c>
      <c r="F67" s="26" t="s">
        <v>4270</v>
      </c>
    </row>
    <row r="68" customFormat="false" ht="15" hidden="false" customHeight="false" outlineLevel="0" collapsed="false">
      <c r="A68" s="26" t="s">
        <v>3411</v>
      </c>
      <c r="B68" s="26" t="s">
        <v>5659</v>
      </c>
      <c r="C68" s="26" t="n">
        <v>0.01</v>
      </c>
      <c r="D68" s="26" t="s">
        <v>4300</v>
      </c>
      <c r="E68" s="26" t="s">
        <v>4301</v>
      </c>
      <c r="F68" s="26" t="s">
        <v>4270</v>
      </c>
    </row>
    <row r="69" customFormat="false" ht="28.35" hidden="false" customHeight="false" outlineLevel="0" collapsed="false">
      <c r="A69" s="26" t="s">
        <v>4302</v>
      </c>
      <c r="B69" s="26" t="s">
        <v>5660</v>
      </c>
      <c r="C69" s="26" t="n">
        <v>0.5</v>
      </c>
      <c r="D69" s="26" t="s">
        <v>4304</v>
      </c>
      <c r="E69" s="26" t="s">
        <v>4305</v>
      </c>
      <c r="F69" s="26" t="s">
        <v>4270</v>
      </c>
    </row>
    <row r="70" customFormat="false" ht="28.35" hidden="false" customHeight="false" outlineLevel="0" collapsed="false">
      <c r="A70" s="26" t="s">
        <v>4302</v>
      </c>
      <c r="B70" s="26" t="s">
        <v>5661</v>
      </c>
      <c r="C70" s="26" t="n">
        <v>25</v>
      </c>
      <c r="D70" s="26" t="s">
        <v>4309</v>
      </c>
      <c r="E70" s="26" t="s">
        <v>4310</v>
      </c>
      <c r="F70" s="26" t="s">
        <v>4270</v>
      </c>
    </row>
    <row r="71" customFormat="false" ht="41.75" hidden="false" customHeight="false" outlineLevel="0" collapsed="false">
      <c r="A71" s="26" t="s">
        <v>4302</v>
      </c>
      <c r="B71" s="26" t="s">
        <v>5662</v>
      </c>
      <c r="C71" s="26" t="n">
        <v>0.8</v>
      </c>
      <c r="D71" s="26" t="s">
        <v>4314</v>
      </c>
      <c r="E71" s="26" t="s">
        <v>4315</v>
      </c>
      <c r="F71" s="26" t="s">
        <v>4270</v>
      </c>
    </row>
    <row r="72" customFormat="false" ht="55.2" hidden="false" customHeight="false" outlineLevel="0" collapsed="false">
      <c r="A72" s="26" t="s">
        <v>4302</v>
      </c>
      <c r="B72" s="26" t="s">
        <v>767</v>
      </c>
      <c r="C72" s="26" t="n">
        <v>60</v>
      </c>
      <c r="D72" s="26" t="s">
        <v>4430</v>
      </c>
      <c r="E72" s="26" t="s">
        <v>5663</v>
      </c>
      <c r="F72" s="26" t="s">
        <v>4270</v>
      </c>
    </row>
    <row r="73" customFormat="false" ht="28.35" hidden="false" customHeight="false" outlineLevel="0" collapsed="false">
      <c r="A73" s="26" t="s">
        <v>4302</v>
      </c>
      <c r="B73" s="26" t="s">
        <v>5664</v>
      </c>
      <c r="C73" s="26" t="n">
        <v>0.25</v>
      </c>
      <c r="D73" s="26" t="s">
        <v>4317</v>
      </c>
      <c r="E73" s="26" t="s">
        <v>4318</v>
      </c>
      <c r="F73" s="26" t="s">
        <v>4319</v>
      </c>
    </row>
    <row r="74" customFormat="false" ht="41.75" hidden="false" customHeight="false" outlineLevel="0" collapsed="false">
      <c r="A74" s="26" t="s">
        <v>4320</v>
      </c>
      <c r="B74" s="26" t="s">
        <v>705</v>
      </c>
      <c r="C74" s="26" t="n">
        <v>6</v>
      </c>
      <c r="D74" s="26" t="s">
        <v>4322</v>
      </c>
      <c r="E74" s="26" t="s">
        <v>4323</v>
      </c>
      <c r="F74" s="26" t="s">
        <v>4270</v>
      </c>
    </row>
    <row r="75" customFormat="false" ht="28.35" hidden="false" customHeight="false" outlineLevel="0" collapsed="false">
      <c r="A75" s="26" t="s">
        <v>4320</v>
      </c>
      <c r="B75" s="26" t="s">
        <v>5665</v>
      </c>
      <c r="C75" s="26" t="n">
        <v>3</v>
      </c>
      <c r="D75" s="26" t="s">
        <v>4327</v>
      </c>
      <c r="E75" s="26" t="s">
        <v>4328</v>
      </c>
      <c r="F75" s="26" t="s">
        <v>4270</v>
      </c>
    </row>
    <row r="76" customFormat="false" ht="28.35" hidden="false" customHeight="false" outlineLevel="0" collapsed="false">
      <c r="A76" s="26" t="s">
        <v>4320</v>
      </c>
      <c r="B76" s="26" t="s">
        <v>1478</v>
      </c>
      <c r="C76" s="26" t="n">
        <v>5</v>
      </c>
      <c r="D76" s="26" t="s">
        <v>4330</v>
      </c>
      <c r="E76" s="26" t="s">
        <v>4331</v>
      </c>
      <c r="F76" s="26" t="s">
        <v>4270</v>
      </c>
    </row>
    <row r="77" customFormat="false" ht="28.35" hidden="false" customHeight="false" outlineLevel="0" collapsed="false">
      <c r="A77" s="26" t="s">
        <v>4320</v>
      </c>
      <c r="B77" s="26" t="s">
        <v>1480</v>
      </c>
      <c r="C77" s="26" t="n">
        <v>0.4</v>
      </c>
      <c r="D77" s="26" t="s">
        <v>4335</v>
      </c>
      <c r="E77" s="26" t="s">
        <v>4336</v>
      </c>
      <c r="F77" s="26" t="s">
        <v>4270</v>
      </c>
    </row>
    <row r="78" customFormat="false" ht="41.75" hidden="false" customHeight="false" outlineLevel="0" collapsed="false">
      <c r="A78" s="26" t="s">
        <v>4364</v>
      </c>
      <c r="B78" s="26" t="s">
        <v>5666</v>
      </c>
      <c r="C78" s="26" t="s">
        <v>5667</v>
      </c>
      <c r="D78" s="26" t="s">
        <v>5668</v>
      </c>
      <c r="E78" s="26" t="s">
        <v>5669</v>
      </c>
      <c r="F78" s="26" t="s">
        <v>4270</v>
      </c>
    </row>
    <row r="79" customFormat="false" ht="28.35" hidden="false" customHeight="false" outlineLevel="0" collapsed="false">
      <c r="A79" s="26" t="s">
        <v>4320</v>
      </c>
      <c r="B79" s="26" t="s">
        <v>5670</v>
      </c>
      <c r="C79" s="26" t="n">
        <v>0.4</v>
      </c>
      <c r="D79" s="26" t="s">
        <v>5671</v>
      </c>
      <c r="E79" s="26" t="s">
        <v>5672</v>
      </c>
      <c r="F79" s="26" t="s">
        <v>4270</v>
      </c>
    </row>
    <row r="80" customFormat="false" ht="15" hidden="false" customHeight="false" outlineLevel="0" collapsed="false">
      <c r="A80" s="26" t="s">
        <v>4320</v>
      </c>
      <c r="B80" s="26" t="s">
        <v>1482</v>
      </c>
      <c r="C80" s="26" t="n">
        <v>0.5</v>
      </c>
      <c r="D80" s="26" t="s">
        <v>4339</v>
      </c>
      <c r="E80" s="26" t="s">
        <v>4340</v>
      </c>
      <c r="F80" s="26" t="s">
        <v>4270</v>
      </c>
    </row>
    <row r="81" customFormat="false" ht="15" hidden="false" customHeight="false" outlineLevel="0" collapsed="false">
      <c r="A81" s="26" t="s">
        <v>4320</v>
      </c>
      <c r="B81" s="26" t="s">
        <v>5673</v>
      </c>
      <c r="C81" s="26" t="n">
        <v>300</v>
      </c>
      <c r="D81" s="26" t="s">
        <v>4343</v>
      </c>
      <c r="E81" s="26" t="s">
        <v>4340</v>
      </c>
      <c r="F81" s="26" t="s">
        <v>4270</v>
      </c>
    </row>
    <row r="82" customFormat="false" ht="28.35" hidden="false" customHeight="false" outlineLevel="0" collapsed="false">
      <c r="A82" s="26" t="s">
        <v>80</v>
      </c>
      <c r="B82" s="26" t="s">
        <v>5674</v>
      </c>
      <c r="C82" s="26" t="n">
        <v>0.6</v>
      </c>
      <c r="D82" s="26" t="s">
        <v>4347</v>
      </c>
      <c r="E82" s="26" t="s">
        <v>4348</v>
      </c>
      <c r="F82" s="26" t="s">
        <v>4270</v>
      </c>
    </row>
    <row r="83" customFormat="false" ht="28.35" hidden="false" customHeight="false" outlineLevel="0" collapsed="false">
      <c r="A83" s="26" t="s">
        <v>80</v>
      </c>
      <c r="B83" s="26" t="s">
        <v>5675</v>
      </c>
      <c r="C83" s="26" t="n">
        <v>15</v>
      </c>
      <c r="D83" s="26" t="s">
        <v>4351</v>
      </c>
      <c r="E83" s="26" t="s">
        <v>4348</v>
      </c>
      <c r="F83" s="26" t="s">
        <v>4270</v>
      </c>
    </row>
    <row r="84" customFormat="false" ht="15" hidden="false" customHeight="false" outlineLevel="0" collapsed="false">
      <c r="A84" s="26" t="s">
        <v>4353</v>
      </c>
      <c r="B84" s="26" t="s">
        <v>5676</v>
      </c>
      <c r="C84" s="26" t="s">
        <v>5677</v>
      </c>
      <c r="D84" s="26" t="s">
        <v>4355</v>
      </c>
      <c r="E84" s="26" t="s">
        <v>4356</v>
      </c>
      <c r="F84" s="26" t="s">
        <v>4270</v>
      </c>
    </row>
    <row r="85" customFormat="false" ht="15" hidden="false" customHeight="false" outlineLevel="0" collapsed="false">
      <c r="A85" s="26" t="s">
        <v>4353</v>
      </c>
      <c r="B85" s="26" t="s">
        <v>5678</v>
      </c>
      <c r="C85" s="26" t="s">
        <v>5679</v>
      </c>
      <c r="D85" s="26" t="s">
        <v>4355</v>
      </c>
      <c r="E85" s="26" t="s">
        <v>4356</v>
      </c>
      <c r="F85" s="26" t="s">
        <v>4270</v>
      </c>
    </row>
    <row r="86" customFormat="false" ht="28.35" hidden="false" customHeight="false" outlineLevel="0" collapsed="false">
      <c r="A86" s="26" t="s">
        <v>4353</v>
      </c>
      <c r="B86" s="26" t="s">
        <v>5680</v>
      </c>
      <c r="C86" s="26" t="s">
        <v>5681</v>
      </c>
      <c r="D86" s="26" t="s">
        <v>4362</v>
      </c>
      <c r="E86" s="26" t="s">
        <v>4363</v>
      </c>
      <c r="F86" s="26" t="s">
        <v>4270</v>
      </c>
    </row>
    <row r="87" customFormat="false" ht="28.35" hidden="false" customHeight="false" outlineLevel="0" collapsed="false">
      <c r="A87" s="26" t="s">
        <v>4364</v>
      </c>
      <c r="B87" s="26" t="s">
        <v>1813</v>
      </c>
      <c r="C87" s="26" t="s">
        <v>4366</v>
      </c>
      <c r="D87" s="26" t="s">
        <v>4367</v>
      </c>
      <c r="E87" s="26" t="s">
        <v>4368</v>
      </c>
      <c r="F87" s="26" t="s">
        <v>4270</v>
      </c>
    </row>
    <row r="88" customFormat="false" ht="28.35" hidden="false" customHeight="false" outlineLevel="0" collapsed="false">
      <c r="A88" s="26" t="s">
        <v>4364</v>
      </c>
      <c r="B88" s="26" t="s">
        <v>1814</v>
      </c>
      <c r="C88" s="26" t="s">
        <v>4366</v>
      </c>
      <c r="D88" s="26" t="s">
        <v>4372</v>
      </c>
      <c r="E88" s="26" t="s">
        <v>4373</v>
      </c>
      <c r="F88" s="26" t="s">
        <v>4270</v>
      </c>
    </row>
    <row r="89" customFormat="false" ht="41.75" hidden="false" customHeight="false" outlineLevel="0" collapsed="false">
      <c r="A89" s="26" t="s">
        <v>4364</v>
      </c>
      <c r="B89" s="26" t="s">
        <v>5682</v>
      </c>
      <c r="C89" s="26" t="s">
        <v>4376</v>
      </c>
      <c r="D89" s="26" t="s">
        <v>4377</v>
      </c>
      <c r="E89" s="26" t="s">
        <v>4378</v>
      </c>
      <c r="F89" s="26" t="s">
        <v>4270</v>
      </c>
    </row>
    <row r="90" customFormat="false" ht="15" hidden="false" customHeight="false" outlineLevel="0" collapsed="false">
      <c r="A90" s="26" t="s">
        <v>4364</v>
      </c>
      <c r="B90" s="26" t="s">
        <v>5683</v>
      </c>
      <c r="C90" s="26" t="s">
        <v>1955</v>
      </c>
      <c r="D90" s="26" t="s">
        <v>4380</v>
      </c>
      <c r="E90" s="26" t="s">
        <v>4381</v>
      </c>
      <c r="F90" s="26" t="s">
        <v>4270</v>
      </c>
    </row>
    <row r="91" customFormat="false" ht="15" hidden="false" customHeight="false" outlineLevel="0" collapsed="false">
      <c r="A91" s="26" t="s">
        <v>4364</v>
      </c>
      <c r="B91" s="26" t="s">
        <v>5684</v>
      </c>
      <c r="C91" s="26" t="n">
        <v>5</v>
      </c>
      <c r="D91" s="26" t="s">
        <v>4383</v>
      </c>
      <c r="E91" s="26" t="s">
        <v>4384</v>
      </c>
      <c r="F91" s="26" t="s">
        <v>4270</v>
      </c>
    </row>
    <row r="92" customFormat="false" ht="28.35" hidden="false" customHeight="false" outlineLevel="0" collapsed="false">
      <c r="A92" s="26" t="s">
        <v>4364</v>
      </c>
      <c r="B92" s="26" t="s">
        <v>5685</v>
      </c>
      <c r="C92" s="26" t="n">
        <v>2</v>
      </c>
      <c r="D92" s="26" t="s">
        <v>4387</v>
      </c>
      <c r="E92" s="26" t="s">
        <v>4388</v>
      </c>
      <c r="F92" s="26" t="s">
        <v>4270</v>
      </c>
    </row>
    <row r="93" customFormat="false" ht="28.35" hidden="false" customHeight="false" outlineLevel="0" collapsed="false">
      <c r="A93" s="26" t="s">
        <v>4390</v>
      </c>
      <c r="B93" s="26" t="s">
        <v>5686</v>
      </c>
      <c r="C93" s="26" t="n">
        <v>0.0348</v>
      </c>
      <c r="D93" s="26" t="s">
        <v>4392</v>
      </c>
      <c r="E93" s="26" t="s">
        <v>4393</v>
      </c>
      <c r="F93" s="26" t="s">
        <v>4394</v>
      </c>
    </row>
    <row r="94" customFormat="false" ht="28.35" hidden="false" customHeight="false" outlineLevel="0" collapsed="false">
      <c r="A94" s="26" t="s">
        <v>4390</v>
      </c>
      <c r="B94" s="26" t="s">
        <v>5687</v>
      </c>
      <c r="C94" s="26" t="n">
        <v>0.0672</v>
      </c>
      <c r="D94" s="26" t="s">
        <v>4398</v>
      </c>
      <c r="E94" s="26" t="s">
        <v>4393</v>
      </c>
      <c r="F94" s="26" t="s">
        <v>4394</v>
      </c>
    </row>
    <row r="95" customFormat="false" ht="28.35" hidden="false" customHeight="false" outlineLevel="0" collapsed="false">
      <c r="A95" s="26" t="s">
        <v>4390</v>
      </c>
      <c r="B95" s="26" t="s">
        <v>5688</v>
      </c>
      <c r="C95" s="26" t="s">
        <v>5689</v>
      </c>
      <c r="D95" s="26" t="s">
        <v>4401</v>
      </c>
      <c r="E95" s="26" t="s">
        <v>4393</v>
      </c>
      <c r="F95" s="26" t="s">
        <v>4402</v>
      </c>
    </row>
    <row r="96" customFormat="false" ht="28.35" hidden="false" customHeight="false" outlineLevel="0" collapsed="false">
      <c r="A96" s="26" t="s">
        <v>4390</v>
      </c>
      <c r="B96" s="26" t="s">
        <v>5690</v>
      </c>
      <c r="C96" s="26" t="n">
        <v>0.0192</v>
      </c>
      <c r="D96" s="26" t="s">
        <v>4405</v>
      </c>
      <c r="E96" s="26" t="s">
        <v>4393</v>
      </c>
      <c r="F96" s="26" t="s">
        <v>4394</v>
      </c>
    </row>
    <row r="97" customFormat="false" ht="15" hidden="false" customHeight="false" outlineLevel="0" collapsed="false">
      <c r="A97" s="26" t="s">
        <v>4390</v>
      </c>
      <c r="B97" s="26" t="s">
        <v>5691</v>
      </c>
      <c r="C97" s="26" t="s">
        <v>5689</v>
      </c>
      <c r="D97" s="26" t="s">
        <v>4408</v>
      </c>
      <c r="E97" s="26" t="s">
        <v>4408</v>
      </c>
      <c r="F97" s="26" t="s">
        <v>4402</v>
      </c>
    </row>
    <row r="98" customFormat="false" ht="55.2" hidden="false" customHeight="false" outlineLevel="0" collapsed="false">
      <c r="A98" s="26" t="s">
        <v>4390</v>
      </c>
      <c r="B98" s="26" t="s">
        <v>5692</v>
      </c>
      <c r="C98" s="26" t="n">
        <v>0.01</v>
      </c>
      <c r="D98" s="26" t="s">
        <v>4411</v>
      </c>
      <c r="E98" s="26" t="s">
        <v>4412</v>
      </c>
      <c r="F98" s="26" t="s">
        <v>4270</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2026-10-21T14:40:12Z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