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<sst xmlns="http://schemas.openxmlformats.org/spreadsheetml/2006/main" count="7293" uniqueCount="4819">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</sst>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general" vertical="bottom" textRotation="0" wrapText="false" indent="0" shrinkToFit="false"/>
      <protection locked="true" hidden="false"/>
    </xf>
    <xf numFmtId="164" fontId="24" fillId="3" borderId="0" xfId="0" applyFont="true" applyBorder="false" applyAlignment="true" applyProtection="false">
      <alignment horizontal="general" vertical="bottom" textRotation="0" wrapText="false" indent="0" shrinkToFit="false"/>
      <protection locked="true" hidden="false"/>
    </xf>
    <xf numFmtId="165" fontId="25" fillId="2" borderId="1"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8"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5" fillId="2" borderId="1" xfId="0" applyFont="true" applyBorder="true" applyAlignment="true" applyProtection="false">
      <alignment horizontal="right" vertical="bottom" textRotation="0" wrapText="false" indent="0" shrinkToFit="false"/>
      <protection locked="true" hidden="false"/>
    </xf>
    <xf numFmtId="164" fontId="28"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5"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6" fontId="28"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5" fillId="2" borderId="1"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30" fillId="5"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top" textRotation="0" wrapText="true" indent="0" shrinkToFit="false"/>
      <protection locked="true" hidden="false"/>
    </xf>
    <xf numFmtId="165" fontId="25" fillId="6" borderId="1" xfId="0" applyFont="true" applyBorder="true" applyAlignment="true" applyProtection="false">
      <alignment horizontal="right" vertical="bottom" textRotation="0" wrapText="false" indent="0" shrinkToFit="false"/>
      <protection locked="true" hidden="false"/>
    </xf>
    <xf numFmtId="166" fontId="25" fillId="6" borderId="1" xfId="0" applyFont="true" applyBorder="true" applyAlignment="true" applyProtection="false">
      <alignment horizontal="right" vertical="bottom" textRotation="0" wrapText="false" indent="0" shrinkToFit="false"/>
      <protection locked="true" hidden="false"/>
    </xf>
    <xf numFmtId="167" fontId="25" fillId="6" borderId="1" xfId="0" applyFont="true" applyBorder="true" applyAlignment="true" applyProtection="false">
      <alignment horizontal="right" vertical="bottom" textRotation="0" wrapText="false" indent="0" shrinkToFit="false"/>
      <protection locked="true" hidden="false"/>
    </xf>
    <xf numFmtId="169" fontId="25"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30" fillId="5" borderId="1" xfId="0" applyFont="true" applyBorder="true" applyAlignment="true" applyProtection="false">
      <alignment horizontal="right" vertical="bottom" textRotation="0" wrapText="false" indent="0" shrinkToFit="true"/>
      <protection locked="true" hidden="false"/>
    </xf>
    <xf numFmtId="164" fontId="25" fillId="6" borderId="1" xfId="0" applyFont="true" applyBorder="tru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7" borderId="0" xfId="0" applyFont="true" applyBorder="true" applyAlignment="true" applyProtection="false">
      <alignment horizontal="general" vertical="bottom" textRotation="0" wrapText="false" indent="0" shrinkToFit="false"/>
      <protection locked="true" hidden="false"/>
    </xf>
    <xf numFmtId="172" fontId="25" fillId="2" borderId="1" xfId="0" applyFont="true" applyBorder="true" applyAlignment="true" applyProtection="false">
      <alignment horizontal="right" vertical="bottom" textRotation="0" wrapText="false" indent="0" shrinkToFit="false"/>
      <protection locked="true" hidden="false"/>
    </xf>
    <xf numFmtId="172" fontId="28"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30" fillId="5" borderId="1" xfId="0" applyFont="true" applyBorder="true" applyAlignment="true" applyProtection="false">
      <alignment horizontal="right" vertical="bottom" textRotation="0" wrapText="false" indent="0" shrinkToFit="true"/>
      <protection locked="true" hidden="false"/>
    </xf>
    <xf numFmtId="174" fontId="25" fillId="2" borderId="1" xfId="0" applyFont="true" applyBorder="true" applyAlignment="true" applyProtection="false">
      <alignment horizontal="right" vertical="bottom" textRotation="0" wrapText="false" indent="0" shrinkToFit="false"/>
      <protection locked="true" hidden="false"/>
    </xf>
    <xf numFmtId="174" fontId="28"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8"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75" fontId="39" fillId="2"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top" textRotation="0" wrapText="true" indent="0" shrinkToFit="false"/>
      <protection locked="true" hidden="false"/>
    </xf>
    <xf numFmtId="165" fontId="0" fillId="6" borderId="0" xfId="0" applyFont="false" applyBorder="false" applyAlignment="true" applyProtection="false">
      <alignment horizontal="general" vertical="bottom" textRotation="0" wrapText="false" indent="0" shrinkToFit="false"/>
      <protection locked="true" hidden="false"/>
    </xf>
    <xf numFmtId="172" fontId="0" fillId="6"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0" fillId="6" borderId="0" xfId="0" applyFont="false" applyBorder="false" applyAlignment="true" applyProtection="false">
      <alignment horizontal="general" vertical="bottom" textRotation="0" wrapText="false" indent="0" shrinkToFit="false"/>
      <protection locked="true" hidden="false"/>
    </xf>
    <xf numFmtId="167" fontId="0" fillId="6" borderId="0" xfId="0" applyFont="false" applyBorder="false" applyAlignment="true" applyProtection="false">
      <alignment horizontal="general" vertical="bottom" textRotation="0" wrapText="false" indent="0" shrinkToFit="false"/>
      <protection locked="true" hidden="false"/>
    </xf>
    <xf numFmtId="174" fontId="0" fillId="6" borderId="0" xfId="0" applyFont="false" applyBorder="false" applyAlignment="true" applyProtection="false">
      <alignment horizontal="general" vertical="bottom" textRotation="0" wrapText="false" indent="0" shrinkToFit="false"/>
      <protection locked="true" hidden="false"/>
    </xf>
    <xf numFmtId="175" fontId="0" fillId="6" borderId="0" xfId="0" applyFont="false" applyBorder="false" applyAlignment="true" applyProtection="false">
      <alignment horizontal="general" vertical="bottom" textRotation="0" wrapText="false" indent="0" shrinkToFit="false"/>
      <protection locked="true" hidden="false"/>
    </xf>
    <xf numFmtId="176" fontId="0" fillId="6" borderId="0" xfId="0" applyFont="false" applyBorder="false" applyAlignment="true" applyProtection="false">
      <alignment horizontal="general" vertical="bottom" textRotation="0" wrapText="false" indent="0" shrinkToFit="false"/>
      <protection locked="true" hidden="false"/>
    </xf>
    <xf numFmtId="166" fontId="0" fillId="6" borderId="0" xfId="0" applyFont="false" applyBorder="false" applyAlignment="true" applyProtection="false">
      <alignment horizontal="general" vertical="bottom" textRotation="0" wrapText="false" indent="0" shrinkToFit="false"/>
      <protection locked="true" hidden="false"/>
    </xf>
    <xf numFmtId="177" fontId="0" fillId="9" borderId="0" xfId="0" applyFont="fals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39" fillId="9"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true" indent="0" shrinkToFit="false"/>
      <protection locked="true" hidden="false"/>
    </xf>
    <xf numFmtId="176" fontId="39" fillId="2" borderId="0" xfId="0" applyFont="true" applyBorder="false" applyAlignment="true" applyProtection="false">
      <alignment horizontal="general" vertical="bottom" textRotation="0" wrapText="false" indent="0" shrinkToFit="false"/>
      <protection locked="true" hidden="false"/>
    </xf>
    <xf numFmtId="173" fontId="39" fillId="2" borderId="0" xfId="0" applyFont="true" applyBorder="false" applyAlignment="true" applyProtection="false">
      <alignment horizontal="general" vertical="bottom" textRotation="0" wrapText="false" indent="0" shrinkToFit="false"/>
      <protection locked="true" hidden="false"/>
    </xf>
    <xf numFmtId="176"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true" applyProtection="false">
      <alignment horizontal="general" vertical="bottom" textRotation="0" wrapText="false" indent="0" shrinkToFit="false"/>
      <protection locked="true" hidden="false"/>
    </xf>
    <xf numFmtId="176"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73" fontId="47" fillId="9" borderId="0" xfId="0" applyFont="true" applyBorder="false" applyAlignment="true" applyProtection="false">
      <alignment horizontal="general" vertical="bottom" textRotation="0" wrapText="false" indent="0" shrinkToFit="false"/>
      <protection locked="true" hidden="false"/>
    </xf>
    <xf numFmtId="172" fontId="39" fillId="2"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69"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7" t="s">
        <v>449</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457</v>
      </c>
      <c r="C22" s="64" t="str">
        <f aca="false">IF(ISBLANK(Stmt_Rate),Current_Rate,Stmt_Rate)</f>
        <v/>
      </c>
      <c r="D22" s="63" t="str">
        <f aca="false">IF(ISBLANK(Stmt_Rate),"Your figure","From your statement")</f>
        <v>Your figure</v>
      </c>
      <c r="E22" s="53" t="s">
        <v>460</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7"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69"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484</v>
      </c>
      <c r="C21" s="65" t="str">
        <f aca="false">IF(ISBLANK(Stmt_Term),Term_A,Stmt_Term)</f>
        <v/>
      </c>
      <c r="D21" s="63"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556</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8" t="n">
        <f aca="false">IF(Need_4&lt;&gt;"",Need_4,(1+Growth_Rate)^(1/12)-1)</f>
        <v>0.000829538114346162</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3"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8" t="n">
        <f aca="false">IF(Need_4&lt;&gt;"",Need_4,(1+Growth_Rate)^(1/12)-1)</f>
        <v>0.00407412378364835</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3" t="str">
        <f aca="false">IF(Inflation_Choice="","Choose an inflation rate first",Inflation_Choice)</f>
        <v>Choose an inflation rate first</v>
      </c>
      <c r="E34" s="53" t="s">
        <v>589</v>
      </c>
    </row>
    <row r="35" customFormat="false" ht="13.5" hidden="false" customHeight="true" outlineLevel="0" collapsed="false">
      <c r="B35" s="57" t="s">
        <v>623</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2" t="str">
        <f aca="false">IF(ISBLANK(Stmt_Total_Value),Amount,Stmt_Total_Value)</f>
        <v/>
      </c>
      <c r="D25" s="63" t="str">
        <f aca="false">IF(ISBLANK(Stmt_Total_Value),"Your figure","From your statement")</f>
        <v>Your figure</v>
      </c>
      <c r="E25" s="53" t="s">
        <v>647</v>
      </c>
    </row>
    <row r="26" customFormat="false" ht="15" hidden="false" customHeight="true" outlineLevel="0" collapsed="false">
      <c r="B26" s="9" t="s">
        <v>640</v>
      </c>
      <c r="C26" s="64" t="str">
        <f aca="false">IF(NOT(ISBLANK(Stmt_Charges)),Stmt_Charges,IF(Statement_Uploaded="Yes",0,Yearly_Fees))</f>
        <v/>
      </c>
      <c r="D26" s="63"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8" t="str">
        <f aca="false">IF(Need_4&lt;&gt;"",Need_4,(1+Growth_Rate)*(1-Used_Yearly_Fees)-1)</f>
        <v>Choose your yearly fees to see this</v>
      </c>
      <c r="D36" s="31"/>
      <c r="E36" s="46" t="s">
        <v>660</v>
      </c>
    </row>
    <row r="37" customFormat="false" ht="15" hidden="false" customHeight="true" outlineLevel="0" collapsed="false">
      <c r="B37" s="9" t="s">
        <v>661</v>
      </c>
      <c r="C37" s="68"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3" t="str">
        <f aca="false">IF(Inflation_Choice="","Choose an inflation rate first",Inflation_Choice)</f>
        <v>Choose an inflation rate first</v>
      </c>
      <c r="E52" s="53" t="s">
        <v>589</v>
      </c>
    </row>
    <row r="53" customFormat="false" ht="13.5" hidden="false" customHeight="true" outlineLevel="0" collapsed="false">
      <c r="B53" s="57" t="s">
        <v>668</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709</v>
      </c>
      <c r="C10" s="57"/>
      <c r="D10" s="57"/>
      <c r="E10" s="57"/>
    </row>
    <row r="11" customFormat="false" ht="15" hidden="false" customHeight="true" outlineLevel="0" collapsed="false">
      <c r="B11" s="9" t="s">
        <v>710</v>
      </c>
      <c r="C11" s="58"/>
      <c r="D11" s="31" t="s">
        <v>227</v>
      </c>
      <c r="E11" s="32" t="s">
        <v>711</v>
      </c>
      <c r="G11" s="56" t="s">
        <v>314</v>
      </c>
    </row>
    <row r="12" customFormat="false" ht="15" hidden="false" customHeight="true" outlineLevel="0" collapsed="false">
      <c r="B12" s="9" t="s">
        <v>712</v>
      </c>
      <c r="C12" s="58"/>
      <c r="D12" s="31" t="s">
        <v>227</v>
      </c>
      <c r="E12" s="32" t="s">
        <v>320</v>
      </c>
      <c r="G12" s="56" t="s">
        <v>314</v>
      </c>
    </row>
    <row r="13" customFormat="false" ht="15" hidden="false" customHeight="true" outlineLevel="0" collapsed="false">
      <c r="B13" s="9" t="s">
        <v>713</v>
      </c>
      <c r="C13" s="58"/>
      <c r="D13" s="31" t="s">
        <v>227</v>
      </c>
      <c r="E13" s="32" t="s">
        <v>320</v>
      </c>
      <c r="G13" s="56" t="s">
        <v>314</v>
      </c>
    </row>
    <row r="14" customFormat="false" ht="15" hidden="false" customHeight="true" outlineLevel="0" collapsed="false">
      <c r="B14" s="9" t="s">
        <v>714</v>
      </c>
      <c r="C14" s="60"/>
      <c r="D14" s="31" t="s">
        <v>715</v>
      </c>
      <c r="E14" s="32" t="s">
        <v>716</v>
      </c>
      <c r="G14" s="56" t="s">
        <v>314</v>
      </c>
    </row>
    <row r="15" customFormat="false" ht="15" hidden="false" customHeight="true" outlineLevel="0" collapsed="false">
      <c r="B15" s="9" t="s">
        <v>717</v>
      </c>
      <c r="C15" s="58"/>
      <c r="D15" s="31" t="s">
        <v>227</v>
      </c>
      <c r="E15" s="32" t="s">
        <v>634</v>
      </c>
      <c r="G15" s="56" t="s">
        <v>314</v>
      </c>
    </row>
    <row r="16" customFormat="false" ht="15" hidden="false" customHeight="true" outlineLevel="0" collapsed="false">
      <c r="B16" s="9" t="s">
        <v>718</v>
      </c>
      <c r="C16" s="75"/>
      <c r="D16" s="31" t="s">
        <v>234</v>
      </c>
      <c r="E16" s="32" t="s">
        <v>719</v>
      </c>
      <c r="G16" s="56" t="s">
        <v>314</v>
      </c>
    </row>
    <row r="17" customFormat="false" ht="15" hidden="false" customHeight="true" outlineLevel="0" collapsed="false">
      <c r="B17" s="9" t="s">
        <v>635</v>
      </c>
      <c r="C17" s="59"/>
      <c r="D17" s="31" t="s">
        <v>238</v>
      </c>
      <c r="E17" s="32" t="s">
        <v>636</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2" t="str">
        <f aca="false">IF(ISBLANK(Stmt_Fund_Value),Pension_Today,Stmt_Fund_Value)</f>
        <v/>
      </c>
      <c r="D37" s="63" t="str">
        <f aca="false">IF(ISBLANK(Stmt_Fund_Value),"Your figure","From your statement")</f>
        <v>Your figure</v>
      </c>
      <c r="E37" s="53" t="s">
        <v>745</v>
      </c>
    </row>
    <row r="38" customFormat="false" ht="15" hidden="false" customHeight="true" outlineLevel="0" collapsed="false">
      <c r="B38" s="9" t="s">
        <v>726</v>
      </c>
      <c r="C38" s="62" t="str">
        <f aca="false">IF(COUNT(Stmt_You_Monthly,Stmt_Employer_Monthly)=0,Monthly_Contribution,SUM(Stmt_You_Monthly,Stmt_Employer_Monthly))</f>
        <v/>
      </c>
      <c r="D38" s="63" t="str">
        <f aca="false">IF(COUNT(Stmt_You_Monthly,Stmt_Employer_Monthly)=0,"Your figure","From your statement")</f>
        <v>Your figure</v>
      </c>
      <c r="E38" s="53" t="s">
        <v>746</v>
      </c>
    </row>
    <row r="39" customFormat="false" ht="15" hidden="false" customHeight="true" outlineLevel="0" collapsed="false">
      <c r="B39" s="9" t="s">
        <v>747</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0"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6" t="s">
        <v>768</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768</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769</v>
      </c>
      <c r="C55" s="70"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3" t="str">
        <f aca="false">IF(Inflation_Choice="","Choose an inflation rate first",Inflation_Choice)</f>
        <v>Choose an inflation rate first</v>
      </c>
      <c r="E73" s="53" t="s">
        <v>589</v>
      </c>
    </row>
    <row r="74" customFormat="false" ht="13.5" hidden="false" customHeight="true" outlineLevel="0" collapsed="false">
      <c r="B74" s="57" t="s">
        <v>786</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800</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7" t="s">
        <v>833</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845</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1"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2" t="s">
        <v>893</v>
      </c>
      <c r="C32" s="82" t="s">
        <v>894</v>
      </c>
      <c r="D32" s="82" t="s">
        <v>895</v>
      </c>
      <c r="E32" s="82" t="s">
        <v>896</v>
      </c>
      <c r="F32" s="82" t="s">
        <v>897</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2" t="s">
        <v>893</v>
      </c>
      <c r="C32" s="82" t="s">
        <v>923</v>
      </c>
      <c r="D32" s="82" t="s">
        <v>924</v>
      </c>
      <c r="E32" s="82" t="s">
        <v>925</v>
      </c>
      <c r="F32" s="82" t="s">
        <v>926</v>
      </c>
      <c r="G32" s="82" t="s">
        <v>927</v>
      </c>
      <c r="H32" s="82" t="s">
        <v>928</v>
      </c>
      <c r="I32" s="82" t="s">
        <v>929</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2" t="str">
        <f aca="false">IF(ISBLANK(Stmt_Total_Value),Amount,Stmt_Total_Value)</f>
        <v/>
      </c>
      <c r="D20" s="63"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5"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957</v>
      </c>
      <c r="C11" s="58"/>
      <c r="D11" s="31" t="s">
        <v>227</v>
      </c>
      <c r="E11" s="32" t="s">
        <v>958</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2" t="str">
        <f aca="false">IF(ISBLANK(Stmt_Monthly_Invested),Monthly_Amount,Stmt_Monthly_Invested)</f>
        <v/>
      </c>
      <c r="D24" s="63" t="str">
        <f aca="false">IF(ISBLANK(Stmt_Monthly_Invested),"Your figure","From your statement")</f>
        <v>Your figure</v>
      </c>
      <c r="E24" s="53" t="s">
        <v>963</v>
      </c>
    </row>
    <row r="25" customFormat="false" ht="15" hidden="false" customHeight="true" outlineLevel="0" collapsed="false">
      <c r="B25" s="9" t="s">
        <v>640</v>
      </c>
      <c r="C25" s="64" t="str">
        <f aca="false">IF(NOT(ISBLANK(Stmt_Charges)),Stmt_Charges,IF(Statement_Uploaded="Yes",0,Yearly_Fees))</f>
        <v/>
      </c>
      <c r="D25" s="63"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8" t="str">
        <f aca="false">IF(Need_5&lt;&gt;"",Need_5,(1+Growth_Rate)*(1-Used_Yearly_Fees)-1)</f>
        <v>Choose your yearly fees to see this</v>
      </c>
      <c r="D35" s="31"/>
      <c r="E35" s="46" t="s">
        <v>660</v>
      </c>
    </row>
    <row r="36" customFormat="false" ht="15" hidden="false" customHeight="true" outlineLevel="0" collapsed="false">
      <c r="B36" s="9" t="s">
        <v>661</v>
      </c>
      <c r="C36" s="68"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3" t="str">
        <f aca="false">IF(Inflation_Choice="","Choose an inflation rate first",Inflation_Choice)</f>
        <v>Choose an inflation rate first</v>
      </c>
      <c r="E49" s="53" t="s">
        <v>589</v>
      </c>
    </row>
    <row r="50" customFormat="false" ht="13.5" hidden="false" customHeight="true" outlineLevel="0" collapsed="false">
      <c r="B50" s="57" t="s">
        <v>976</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635</v>
      </c>
      <c r="C8" s="59"/>
      <c r="D8" s="31" t="s">
        <v>238</v>
      </c>
      <c r="E8" s="32" t="s">
        <v>636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2" t="str">
        <f aca="false">IF(ISBLANK(Stmt_Total_Value),Amount_Invested,Stmt_Total_Value)</f>
        <v/>
      </c>
      <c r="D20" s="63" t="str">
        <f aca="false">IF(ISBLANK(Stmt_Total_Value),"Your figure","From your statement")</f>
        <v>Your figure</v>
      </c>
      <c r="E20" s="53" t="s">
        <v>989</v>
      </c>
    </row>
    <row r="21" customFormat="false" ht="15" hidden="false" customHeight="true" outlineLevel="0" collapsed="false">
      <c r="B21" s="9" t="s">
        <v>990</v>
      </c>
      <c r="C21" s="64" t="str">
        <f aca="false">IF(NOT(ISBLANK(Stmt_Charges)),Stmt_Charges,IF(Statement_Uploaded="Yes",0,Fee_A))</f>
        <v/>
      </c>
      <c r="D21" s="63"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69"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1010</v>
      </c>
      <c r="C8" s="59"/>
      <c r="D8" s="31" t="s">
        <v>238</v>
      </c>
      <c r="E8" s="32" t="s">
        <v>1011</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2" t="str">
        <f aca="false">IF(ISBLANK(Stmt_Total_Value),Amount,Stmt_Total_Value)</f>
        <v/>
      </c>
      <c r="D23" s="63" t="str">
        <f aca="false">IF(ISBLANK(Stmt_Total_Value),"Your figure","From your statement")</f>
        <v>Your figure</v>
      </c>
      <c r="E23" s="53" t="s">
        <v>647</v>
      </c>
    </row>
    <row r="24" customFormat="false" ht="15" hidden="false" customHeight="true" outlineLevel="0" collapsed="false">
      <c r="B24" s="9" t="s">
        <v>1027</v>
      </c>
      <c r="C24" s="65" t="n">
        <f aca="false">IF(ISBLANK(Stmt_Shares_Pct),Style,IF(Stmt_Shares_Pct&gt;=Shares_For_Growth,3,IF(Stmt_Shares_Pct&gt;=Shares_For_Balanced,2,1)))</f>
        <v>2</v>
      </c>
      <c r="D24" s="63"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7"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69"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69" t="n">
        <f aca="false">IF(Need_5&lt;&gt;"",Need_5,CHOOSE(Used_Style,Mu_Cautious,Mu_Balanced,Mu_Growth))</f>
        <v>0.04</v>
      </c>
      <c r="D33" s="31" t="s">
        <v>238</v>
      </c>
      <c r="E33" s="46" t="s">
        <v>1039</v>
      </c>
    </row>
    <row r="34" customFormat="false" ht="15" hidden="false" customHeight="true" outlineLevel="0" collapsed="false">
      <c r="B34" s="9" t="s">
        <v>1040</v>
      </c>
      <c r="C34" s="69" t="n">
        <f aca="false">IF(Need_6&lt;&gt;"",Need_6,CHOOSE(Used_Style,Vol_Cautious,Vol_Balanced,Vol_Growth))</f>
        <v>0.1</v>
      </c>
      <c r="D34" s="31" t="s">
        <v>238</v>
      </c>
      <c r="E34" s="46" t="s">
        <v>1041</v>
      </c>
    </row>
    <row r="35" customFormat="false" ht="15" hidden="false" customHeight="true" outlineLevel="0" collapsed="false">
      <c r="B35" s="9" t="s">
        <v>1042</v>
      </c>
      <c r="C35" s="68"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23"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6"/>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2" t="str">
        <f aca="false">IF(ISBLANK(Stmt_Balance),Mortgage_Balance,Stmt_Balance)</f>
        <v/>
      </c>
      <c r="D22" s="63"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7" t="s">
        <v>1093</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6"/>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2" t="str">
        <f aca="false">IF(ISBLANK(Stmt_Balance),Mortgage_Balance,Stmt_Balance)</f>
        <v/>
      </c>
      <c r="D20" s="63" t="str">
        <f aca="false">IF(ISBLANK(Stmt_Balance),"Your figure","From your statement")</f>
        <v>Your figure</v>
      </c>
      <c r="E20" s="53" t="s">
        <v>420</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416</v>
      </c>
      <c r="C22" s="65" t="str">
        <f aca="false">IF(ISBLANK(Stmt_Term),Years_Left,Stmt_Term)</f>
        <v/>
      </c>
      <c r="D22" s="63" t="str">
        <f aca="false">IF(ISBLANK(Stmt_Term),"Your figure","From your statement")</f>
        <v>Your figure</v>
      </c>
      <c r="E22" s="53" t="s">
        <v>421</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6" t="s">
        <v>768</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7" t="s">
        <v>1155</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1156</v>
      </c>
      <c r="C8" s="58"/>
      <c r="D8" s="31" t="s">
        <v>227</v>
      </c>
      <c r="E8" s="32" t="s">
        <v>634</v>
      </c>
      <c r="G8" s="56" t="s">
        <v>314</v>
      </c>
    </row>
    <row r="9" customFormat="false" ht="15" hidden="false" customHeight="true" outlineLevel="0" collapsed="false">
      <c r="B9" s="9" t="s">
        <v>710</v>
      </c>
      <c r="C9" s="58"/>
      <c r="D9" s="31" t="s">
        <v>227</v>
      </c>
      <c r="E9" s="32" t="s">
        <v>711</v>
      </c>
      <c r="G9" s="56" t="s">
        <v>314</v>
      </c>
    </row>
    <row r="10" customFormat="false" ht="15" hidden="false" customHeight="true" outlineLevel="0" collapsed="false">
      <c r="B10" s="9" t="s">
        <v>633</v>
      </c>
      <c r="C10" s="58"/>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2" t="str">
        <f aca="false">IF(ISBLANK(Stmt_Mortgage_Balance),Mortgage,Stmt_Mortgage_Balance)</f>
        <v/>
      </c>
      <c r="D21" s="63" t="str">
        <f aca="false">IF(ISBLANK(Stmt_Mortgage_Balance),"Your figure","From your statement")</f>
        <v>Your figure</v>
      </c>
      <c r="E21" s="53" t="s">
        <v>1167</v>
      </c>
    </row>
    <row r="22" customFormat="false" ht="15" hidden="false" customHeight="true" outlineLevel="0" collapsed="false">
      <c r="B22" s="9" t="s">
        <v>1162</v>
      </c>
      <c r="C22" s="62" t="str">
        <f aca="false">IF(ISBLANK(Stmt_Property_Value),Property,Stmt_Property_Value)</f>
        <v/>
      </c>
      <c r="D22" s="63" t="str">
        <f aca="false">IF(ISBLANK(Stmt_Property_Value),"Your figure","From your statement")</f>
        <v>Your figure</v>
      </c>
      <c r="E22" s="53" t="s">
        <v>1168</v>
      </c>
    </row>
    <row r="23" customFormat="false" ht="15" hidden="false" customHeight="true" outlineLevel="0" collapsed="false">
      <c r="B23" s="9" t="s">
        <v>1160</v>
      </c>
      <c r="C23" s="62" t="str">
        <f aca="false">IF(ISBLANK(Stmt_Pension_Value),Pensions,Stmt_Pension_Value)</f>
        <v/>
      </c>
      <c r="D23" s="63" t="str">
        <f aca="false">IF(ISBLANK(Stmt_Pension_Value),"Your figure","From your statement")</f>
        <v>Your figure</v>
      </c>
      <c r="E23" s="53" t="s">
        <v>1169</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768</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8"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7" t="s">
        <v>1252</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8"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23"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1269</v>
      </c>
    </row>
    <row r="2" customFormat="false" ht="61.5" hidden="false" customHeight="true" outlineLevel="0" collapsed="false">
      <c r="B2" s="91" t="s">
        <v>1270</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1271</v>
      </c>
      <c r="C4" s="93" t="s">
        <v>222</v>
      </c>
      <c r="D4" s="93" t="s">
        <v>223</v>
      </c>
      <c r="E4" s="93" t="s">
        <v>1272</v>
      </c>
      <c r="F4" s="93" t="s">
        <v>1273</v>
      </c>
      <c r="G4" s="93" t="s">
        <v>1274</v>
      </c>
      <c r="H4" s="93" t="s">
        <v>1275</v>
      </c>
    </row>
    <row r="5" customFormat="false" ht="15" hidden="false" customHeight="true" outlineLevel="0" collapsed="false">
      <c r="B5" s="1" t="s">
        <v>1276</v>
      </c>
      <c r="C5" s="94"/>
      <c r="E5" s="23" t="s">
        <v>1277</v>
      </c>
      <c r="F5" s="23" t="s">
        <v>1278</v>
      </c>
      <c r="G5" s="95" t="str">
        <f aca="false">IF(ISBLANK(C5),IF(Fill_Example="Yes",F5,""),IF(TRUE(),C5,""))</f>
        <v/>
      </c>
      <c r="H5" s="95" t="n">
        <f aca="false">IF(G5="",0,1)</f>
        <v>0</v>
      </c>
    </row>
    <row r="6" customFormat="false" ht="15" hidden="false" customHeight="true" outlineLevel="0" collapsed="false">
      <c r="B6" s="1" t="s">
        <v>1279</v>
      </c>
      <c r="C6" s="96"/>
      <c r="D6" s="1" t="s">
        <v>322</v>
      </c>
      <c r="E6" s="23" t="s">
        <v>1280</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1281</v>
      </c>
      <c r="C7" s="94"/>
      <c r="E7" s="23" t="s">
        <v>1282</v>
      </c>
      <c r="F7" s="23" t="s">
        <v>236</v>
      </c>
      <c r="G7" s="95" t="str">
        <f aca="false">IF(ISBLANK(C7),IF(Fill_Example="Yes",F7,""),IF(ISNUMBER(MATCH(C7,{"Yes","No"},0)),C7,""))</f>
        <v/>
      </c>
      <c r="H7" s="95" t="n">
        <f aca="false">IF(G7="",0,1)</f>
        <v>0</v>
      </c>
    </row>
    <row r="8" customFormat="false" ht="15" hidden="false" customHeight="true" outlineLevel="0" collapsed="false">
      <c r="B8" s="1" t="s">
        <v>1283</v>
      </c>
      <c r="C8" s="94"/>
      <c r="E8" s="23" t="s">
        <v>1284</v>
      </c>
      <c r="F8" s="23"/>
      <c r="G8" s="95" t="str">
        <f aca="false">IF(ISBLANK(C8),IF(Fill_Example="Yes",F8,""),IF(ISNUMBER(MATCH(C8,{"Yes","No"},0)),C8,""))</f>
        <v/>
      </c>
      <c r="H8" s="95" t="n">
        <f aca="false">IF(G8="",0,1)</f>
        <v>0</v>
      </c>
    </row>
    <row r="9" customFormat="false" ht="15" hidden="false" customHeight="true" outlineLevel="0" collapsed="false">
      <c r="B9" s="1" t="s">
        <v>1285</v>
      </c>
      <c r="C9" s="94"/>
      <c r="D9" s="1" t="s">
        <v>1286</v>
      </c>
      <c r="E9" s="23" t="s">
        <v>1287</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1288</v>
      </c>
      <c r="C10" s="94"/>
      <c r="D10" s="1" t="s">
        <v>715</v>
      </c>
      <c r="E10" s="23" t="s">
        <v>1289</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1290</v>
      </c>
      <c r="C11" s="94"/>
      <c r="D11" s="1" t="s">
        <v>715</v>
      </c>
      <c r="E11" s="23" t="s">
        <v>1291</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1292</v>
      </c>
      <c r="C12" s="94"/>
      <c r="D12" s="1" t="s">
        <v>1293</v>
      </c>
      <c r="E12" s="23" t="s">
        <v>1294</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1295</v>
      </c>
      <c r="C13" s="94"/>
      <c r="E13" s="23" t="s">
        <v>1296</v>
      </c>
      <c r="F13" s="23" t="s">
        <v>1297</v>
      </c>
      <c r="G13" s="95" t="str">
        <f aca="false">IF(ISBLANK(C13),IF(Fill_Example="Yes",F13,""),IF(ISNUMBER(MATCH(C13,{"Standard","Cautious"},0)),C13,""))</f>
        <v/>
      </c>
      <c r="H13" s="95" t="n">
        <f aca="false">IF(G13="",0,1)</f>
        <v>0</v>
      </c>
    </row>
    <row r="14" customFormat="false" ht="15" hidden="false" customHeight="true" outlineLevel="0" collapsed="false">
      <c r="B14" s="1" t="s">
        <v>1298</v>
      </c>
      <c r="C14" s="94"/>
      <c r="D14" s="1" t="s">
        <v>1299</v>
      </c>
      <c r="E14" s="23" t="s">
        <v>1300</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1301</v>
      </c>
      <c r="C15" s="94"/>
      <c r="D15" s="1" t="s">
        <v>1302</v>
      </c>
      <c r="E15" s="23" t="s">
        <v>1303</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1304</v>
      </c>
      <c r="C16" s="94"/>
      <c r="E16" s="23" t="s">
        <v>1305</v>
      </c>
      <c r="F16" s="23"/>
      <c r="G16" s="95" t="str">
        <f aca="false">IF(ISBLANK(C16),IF(Fill_Example="Yes",F16,""),IF(ISNUMBER(MATCH(C16,{"Yes","No"},0)),C16,""))</f>
        <v/>
      </c>
      <c r="H16" s="95" t="n">
        <f aca="false">IF(G16="",0,1)</f>
        <v>0</v>
      </c>
    </row>
    <row r="17" customFormat="false" ht="15" hidden="false" customHeight="true" outlineLevel="0" collapsed="false">
      <c r="B17" s="1" t="s">
        <v>1306</v>
      </c>
      <c r="C17" s="94"/>
      <c r="D17" s="1" t="s">
        <v>1302</v>
      </c>
      <c r="E17" s="23" t="s">
        <v>1307</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1308</v>
      </c>
      <c r="C18" s="94"/>
      <c r="E18" s="23" t="s">
        <v>1309</v>
      </c>
      <c r="F18" s="23" t="s">
        <v>3</v>
      </c>
      <c r="G18" s="95" t="str">
        <f aca="false">IF(ISBLANK(C18),IF(Fill_Example="Yes",F18,""),IF(ISNUMBER(MATCH(C18,{"Yes","No"},0)),C18,""))</f>
        <v/>
      </c>
      <c r="H18" s="95" t="n">
        <f aca="false">IF(G18="",0,1)</f>
        <v>0</v>
      </c>
    </row>
    <row r="19" customFormat="false" ht="15" hidden="false" customHeight="true" outlineLevel="0" collapsed="false">
      <c r="B19" s="1" t="s">
        <v>1310</v>
      </c>
      <c r="C19" s="94"/>
      <c r="E19" s="23" t="s">
        <v>1311</v>
      </c>
      <c r="F19" s="23" t="s">
        <v>3</v>
      </c>
      <c r="G19" s="95" t="str">
        <f aca="false">IF(ISBLANK(C19),IF(Fill_Example="Yes",F19,""),IF(ISNUMBER(MATCH(C19,{"Yes","No"},0)),C19,""))</f>
        <v/>
      </c>
      <c r="H19" s="95" t="n">
        <f aca="false">IF(G19="",0,1)</f>
        <v>0</v>
      </c>
    </row>
    <row r="20" customFormat="false" ht="15" hidden="false" customHeight="true" outlineLevel="0" collapsed="false">
      <c r="B20" s="1" t="s">
        <v>1312</v>
      </c>
      <c r="C20" s="94"/>
      <c r="E20" s="23" t="s">
        <v>1313</v>
      </c>
      <c r="F20" s="23" t="s">
        <v>3</v>
      </c>
      <c r="G20" s="95" t="str">
        <f aca="false">IF(ISBLANK(C20),IF(Fill_Example="Yes",F20,""),IF(ISNUMBER(MATCH(C20,{"Yes","No"},0)),C20,""))</f>
        <v/>
      </c>
      <c r="H20" s="95" t="n">
        <f aca="false">IF(G20="",0,1)</f>
        <v>0</v>
      </c>
    </row>
    <row r="22" customFormat="false" ht="15" hidden="false" customHeight="true" outlineLevel="0" collapsed="false">
      <c r="B22" s="93" t="s">
        <v>1314</v>
      </c>
      <c r="C22" s="93" t="s">
        <v>222</v>
      </c>
      <c r="D22" s="93" t="s">
        <v>223</v>
      </c>
      <c r="E22" s="93" t="s">
        <v>1272</v>
      </c>
      <c r="F22" s="93" t="s">
        <v>1273</v>
      </c>
      <c r="G22" s="93" t="s">
        <v>1274</v>
      </c>
      <c r="H22" s="93" t="s">
        <v>1275</v>
      </c>
    </row>
    <row r="23" customFormat="false" ht="15" hidden="false" customHeight="true" outlineLevel="0" collapsed="false">
      <c r="B23" s="1" t="s">
        <v>1315</v>
      </c>
      <c r="C23" s="94"/>
      <c r="D23" s="1" t="s">
        <v>1316</v>
      </c>
      <c r="E23" s="23" t="s">
        <v>1317</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1318</v>
      </c>
      <c r="C24" s="94"/>
      <c r="D24" s="1" t="s">
        <v>1302</v>
      </c>
      <c r="E24" s="23" t="s">
        <v>1319</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1320</v>
      </c>
      <c r="C25" s="94"/>
      <c r="D25" s="1" t="s">
        <v>227</v>
      </c>
      <c r="E25" s="23" t="s">
        <v>1321</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1322</v>
      </c>
      <c r="C27" s="93" t="s">
        <v>222</v>
      </c>
      <c r="D27" s="93" t="s">
        <v>223</v>
      </c>
      <c r="E27" s="93" t="s">
        <v>1272</v>
      </c>
      <c r="F27" s="93" t="s">
        <v>1273</v>
      </c>
      <c r="G27" s="93" t="s">
        <v>1274</v>
      </c>
      <c r="H27" s="93" t="s">
        <v>1275</v>
      </c>
    </row>
    <row r="28" customFormat="false" ht="15" hidden="false" customHeight="true" outlineLevel="0" collapsed="false">
      <c r="B28" s="1" t="s">
        <v>1323</v>
      </c>
      <c r="C28" s="94"/>
      <c r="E28" s="23" t="s">
        <v>1324</v>
      </c>
      <c r="F28" s="23" t="s">
        <v>1325</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1326</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1327</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1328</v>
      </c>
      <c r="C31" s="96"/>
      <c r="D31" s="1" t="s">
        <v>322</v>
      </c>
      <c r="E31" s="23" t="s">
        <v>1329</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1330</v>
      </c>
      <c r="C32" s="94"/>
      <c r="D32" s="1" t="s">
        <v>1302</v>
      </c>
      <c r="E32" s="23" t="s">
        <v>1331</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1332</v>
      </c>
      <c r="C33" s="94"/>
      <c r="D33" s="1" t="s">
        <v>1302</v>
      </c>
      <c r="E33" s="23" t="s">
        <v>1333</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1334</v>
      </c>
      <c r="C34" s="94"/>
      <c r="D34" s="1" t="s">
        <v>227</v>
      </c>
      <c r="E34" s="23" t="s">
        <v>1335</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1336</v>
      </c>
      <c r="C35" s="94"/>
      <c r="D35" s="1" t="s">
        <v>227</v>
      </c>
      <c r="E35" s="23" t="s">
        <v>1337</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1338</v>
      </c>
      <c r="C36" s="94"/>
      <c r="D36" s="1" t="s">
        <v>1302</v>
      </c>
      <c r="E36" s="23" t="s">
        <v>1339</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1340</v>
      </c>
      <c r="C37" s="94"/>
      <c r="E37" s="23" t="s">
        <v>1341</v>
      </c>
      <c r="F37" s="23" t="s">
        <v>1342</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527</v>
      </c>
      <c r="C38" s="94"/>
      <c r="D38" s="1" t="s">
        <v>227</v>
      </c>
      <c r="E38" s="23" t="s">
        <v>1343</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1344</v>
      </c>
      <c r="C39" s="94"/>
      <c r="D39" s="1" t="s">
        <v>227</v>
      </c>
      <c r="E39" s="23" t="s">
        <v>1345</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1346</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1347</v>
      </c>
      <c r="C41" s="94"/>
      <c r="D41" s="1" t="s">
        <v>227</v>
      </c>
      <c r="E41" s="23" t="s">
        <v>1348</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1349</v>
      </c>
      <c r="C42" s="94"/>
      <c r="D42" s="1" t="s">
        <v>1293</v>
      </c>
      <c r="E42" s="23" t="s">
        <v>1350</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1351</v>
      </c>
      <c r="C43" s="94"/>
      <c r="D43" s="1" t="s">
        <v>1302</v>
      </c>
      <c r="E43" s="23" t="s">
        <v>1352</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1353</v>
      </c>
      <c r="C44" s="94"/>
      <c r="D44" s="1" t="s">
        <v>240</v>
      </c>
      <c r="E44" s="23" t="s">
        <v>1354</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1355</v>
      </c>
      <c r="C45" s="94"/>
      <c r="D45" s="1" t="s">
        <v>227</v>
      </c>
      <c r="E45" s="23" t="s">
        <v>1356</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1357</v>
      </c>
      <c r="C46" s="94"/>
      <c r="D46" s="1" t="s">
        <v>1302</v>
      </c>
      <c r="E46" s="23" t="s">
        <v>1358</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1359</v>
      </c>
      <c r="C47" s="94"/>
      <c r="D47" s="1" t="s">
        <v>1293</v>
      </c>
      <c r="E47" s="23" t="s">
        <v>1360</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1361</v>
      </c>
      <c r="C48" s="94"/>
      <c r="D48" s="1" t="s">
        <v>227</v>
      </c>
      <c r="E48" s="23" t="s">
        <v>1362</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1363</v>
      </c>
      <c r="C49" s="94"/>
      <c r="D49" s="1" t="s">
        <v>1302</v>
      </c>
      <c r="E49" s="23" t="s">
        <v>1364</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1365</v>
      </c>
      <c r="C50" s="94"/>
      <c r="D50" s="1" t="s">
        <v>1293</v>
      </c>
      <c r="E50" s="23" t="s">
        <v>1366</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1367</v>
      </c>
      <c r="C51" s="94"/>
      <c r="D51" s="1" t="s">
        <v>227</v>
      </c>
      <c r="E51" s="23" t="s">
        <v>1368</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1369</v>
      </c>
      <c r="C52" s="94"/>
      <c r="D52" s="1" t="s">
        <v>1302</v>
      </c>
      <c r="E52" s="23" t="s">
        <v>1370</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1371</v>
      </c>
      <c r="C53" s="94"/>
      <c r="D53" s="1" t="s">
        <v>227</v>
      </c>
      <c r="E53" s="23" t="s">
        <v>1372</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1373</v>
      </c>
      <c r="C54" s="94"/>
      <c r="D54" s="1" t="s">
        <v>1302</v>
      </c>
      <c r="E54" s="23" t="s">
        <v>1374</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1375</v>
      </c>
      <c r="C55" s="94"/>
      <c r="D55" s="1" t="s">
        <v>1302</v>
      </c>
      <c r="E55" s="23" t="s">
        <v>1376</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1377</v>
      </c>
      <c r="C56" s="94"/>
      <c r="D56" s="1" t="s">
        <v>1293</v>
      </c>
      <c r="E56" s="23" t="s">
        <v>1378</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1379</v>
      </c>
      <c r="C57" s="94"/>
      <c r="E57" s="23" t="s">
        <v>1380</v>
      </c>
      <c r="F57" s="23"/>
      <c r="G57" s="95" t="str">
        <f aca="false">IF(ISBLANK(C57),IF(Fill_Example="Yes",F57,""),IF(ISNUMBER(MATCH(C57,{"Yes","No","Not sure"},0)),C57,""))</f>
        <v/>
      </c>
      <c r="H57" s="95" t="n">
        <f aca="false">IF(G57="",0,1)</f>
        <v>0</v>
      </c>
    </row>
    <row r="58" customFormat="false" ht="15" hidden="false" customHeight="true" outlineLevel="0" collapsed="false">
      <c r="B58" s="1" t="s">
        <v>1381</v>
      </c>
      <c r="C58" s="94"/>
      <c r="E58" s="23" t="s">
        <v>1382</v>
      </c>
      <c r="F58" s="23" t="s">
        <v>1383</v>
      </c>
      <c r="G58" s="95" t="str">
        <f aca="false">IF(ISBLANK(C58),IF(Fill_Example="Yes",F58,""),IF(ISNUMBER(MATCH(C58,{"Expect full","Partly","Not sure"},0)),C58,""))</f>
        <v/>
      </c>
      <c r="H58" s="95" t="n">
        <f aca="false">IF(G58="",0,1)</f>
        <v>0</v>
      </c>
    </row>
    <row r="59" customFormat="false" ht="15" hidden="false" customHeight="true" outlineLevel="0" collapsed="false">
      <c r="B59" s="1" t="s">
        <v>1384</v>
      </c>
      <c r="C59" s="94"/>
      <c r="D59" s="1" t="s">
        <v>240</v>
      </c>
      <c r="E59" s="23" t="s">
        <v>1385</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1386</v>
      </c>
      <c r="C60" s="94"/>
      <c r="E60" s="23" t="s">
        <v>1387</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1388</v>
      </c>
      <c r="C61" s="94"/>
      <c r="E61" s="23" t="s">
        <v>1389</v>
      </c>
      <c r="F61" s="23" t="s">
        <v>236</v>
      </c>
      <c r="G61" s="95" t="str">
        <f aca="false">IF(ISBLANK(C61),IF(Fill_Example="Yes",F61,""),IF(ISNUMBER(MATCH(C61,{"Yes","No","Not sure"},0)),C61,""))</f>
        <v/>
      </c>
      <c r="H61" s="95" t="n">
        <f aca="false">IF(G61="",0,1)</f>
        <v>0</v>
      </c>
    </row>
    <row r="62" customFormat="false" ht="15" hidden="false" customHeight="true" outlineLevel="0" collapsed="false">
      <c r="B62" s="1" t="s">
        <v>1390</v>
      </c>
      <c r="C62" s="94"/>
      <c r="E62" s="23" t="s">
        <v>1391</v>
      </c>
      <c r="F62" s="23" t="s">
        <v>3</v>
      </c>
      <c r="G62" s="95" t="str">
        <f aca="false">IF(ISBLANK(C62),IF(Fill_Example="Yes",F62,""),IF(ISNUMBER(MATCH(C62,{"Yes","No","Not sure"},0)),C62,""))</f>
        <v/>
      </c>
      <c r="H62" s="95" t="n">
        <f aca="false">IF(G62="",0,1)</f>
        <v>0</v>
      </c>
    </row>
    <row r="63" customFormat="false" ht="15" hidden="false" customHeight="true" outlineLevel="0" collapsed="false">
      <c r="B63" s="1" t="s">
        <v>1392</v>
      </c>
      <c r="C63" s="94"/>
      <c r="E63" s="23" t="s">
        <v>1393</v>
      </c>
      <c r="F63" s="23" t="s">
        <v>1394</v>
      </c>
      <c r="G63" s="95" t="str">
        <f aca="false">IF(ISBLANK(C63),IF(Fill_Example="Yes",F63,""),IF(ISNUMBER(MATCH(C63,{"Yes","No","Not sure"},0)),C63,""))</f>
        <v/>
      </c>
      <c r="H63" s="95" t="n">
        <f aca="false">IF(G63="",0,1)</f>
        <v>0</v>
      </c>
    </row>
    <row r="64" customFormat="false" ht="15" hidden="false" customHeight="true" outlineLevel="0" collapsed="false">
      <c r="B64" s="1" t="s">
        <v>1395</v>
      </c>
      <c r="C64" s="94"/>
      <c r="E64" s="23" t="s">
        <v>1396</v>
      </c>
      <c r="F64" s="23" t="s">
        <v>236</v>
      </c>
      <c r="G64" s="95" t="str">
        <f aca="false">IF(ISBLANK(C64),IF(Fill_Example="Yes",F64,""),IF(ISNUMBER(MATCH(C64,{"Yes","No","Not sure"},0)),C64,""))</f>
        <v/>
      </c>
      <c r="H64" s="95" t="n">
        <f aca="false">IF(G64="",0,1)</f>
        <v>0</v>
      </c>
    </row>
    <row r="65" customFormat="false" ht="15" hidden="false" customHeight="true" outlineLevel="0" collapsed="false">
      <c r="B65" s="1" t="s">
        <v>1397</v>
      </c>
      <c r="C65" s="94"/>
      <c r="E65" s="23" t="s">
        <v>1398</v>
      </c>
      <c r="F65" s="23" t="s">
        <v>236</v>
      </c>
      <c r="G65" s="95" t="str">
        <f aca="false">IF(ISBLANK(C65),IF(Fill_Example="Yes",F65,""),IF(ISNUMBER(MATCH(C65,{"Yes","No","Not sure"},0)),C65,""))</f>
        <v/>
      </c>
      <c r="H65" s="95" t="n">
        <f aca="false">IF(G65="",0,1)</f>
        <v>0</v>
      </c>
    </row>
    <row r="67" customFormat="false" ht="15" hidden="false" customHeight="true" outlineLevel="0" collapsed="false">
      <c r="B67" s="93" t="s">
        <v>1399</v>
      </c>
      <c r="C67" s="93" t="s">
        <v>222</v>
      </c>
      <c r="D67" s="93" t="s">
        <v>223</v>
      </c>
      <c r="E67" s="93" t="s">
        <v>1272</v>
      </c>
      <c r="F67" s="93" t="s">
        <v>1273</v>
      </c>
      <c r="G67" s="93" t="s">
        <v>1274</v>
      </c>
      <c r="H67" s="93" t="s">
        <v>1275</v>
      </c>
    </row>
    <row r="68" customFormat="false" ht="15" hidden="false" customHeight="true" outlineLevel="0" collapsed="false">
      <c r="B68" s="1" t="s">
        <v>1400</v>
      </c>
      <c r="C68" s="94"/>
      <c r="E68" s="23" t="s">
        <v>1401</v>
      </c>
      <c r="F68" s="23"/>
      <c r="G68" s="95" t="str">
        <f aca="false">IF(ISBLANK(C68),IF(Fill_Example="Yes",F68,""),IF(ISNUMBER(MATCH(C68,{"Yes","No"},0)),C68,""))</f>
        <v/>
      </c>
      <c r="H68" s="95" t="n">
        <f aca="false">IF(G68="",0,1)</f>
        <v>0</v>
      </c>
    </row>
    <row r="69" customFormat="false" ht="15" hidden="false" customHeight="true" outlineLevel="0" collapsed="false">
      <c r="B69" s="1" t="s">
        <v>1402</v>
      </c>
      <c r="C69" s="94"/>
      <c r="E69" s="23" t="s">
        <v>1403</v>
      </c>
      <c r="F69" s="23"/>
      <c r="G69" s="95" t="str">
        <f aca="false">IF(ISBLANK(C69),IF(Fill_Example="Yes",F69,""),IF(TRUE(),C69,""))</f>
        <v/>
      </c>
      <c r="H69" s="95" t="n">
        <f aca="false">IF(G69="",0,1)</f>
        <v>0</v>
      </c>
    </row>
    <row r="70" customFormat="false" ht="15" hidden="false" customHeight="true" outlineLevel="0" collapsed="false">
      <c r="B70" s="1" t="s">
        <v>1404</v>
      </c>
      <c r="C70" s="94"/>
      <c r="E70" s="23" t="s">
        <v>1405</v>
      </c>
      <c r="F70" s="23"/>
      <c r="G70" s="95" t="str">
        <f aca="false">IF(ISBLANK(C70),IF(Fill_Example="Yes",F70,""),IF(ISNUMBER(MATCH(C70,{"Yes","No"},0)),C70,""))</f>
        <v/>
      </c>
      <c r="H70" s="95" t="n">
        <f aca="false">IF(G70="",0,1)</f>
        <v>0</v>
      </c>
    </row>
    <row r="71" customFormat="false" ht="15" hidden="false" customHeight="true" outlineLevel="0" collapsed="false">
      <c r="B71" s="1" t="s">
        <v>1406</v>
      </c>
      <c r="C71" s="94"/>
      <c r="E71" s="23" t="s">
        <v>1407</v>
      </c>
      <c r="F71" s="23"/>
      <c r="G71" s="95" t="str">
        <f aca="false">IF(ISBLANK(C71),IF(Fill_Example="Yes",F71,""),IF(ISNUMBER(MATCH(C71,{"Yes","No"},0)),C71,""))</f>
        <v/>
      </c>
      <c r="H71" s="95" t="n">
        <f aca="false">IF(G71="",0,1)</f>
        <v>0</v>
      </c>
    </row>
    <row r="72" customFormat="false" ht="15" hidden="false" customHeight="true" outlineLevel="0" collapsed="false">
      <c r="B72" s="1" t="s">
        <v>1408</v>
      </c>
      <c r="C72" s="94"/>
      <c r="E72" s="23" t="s">
        <v>1409</v>
      </c>
      <c r="F72" s="23"/>
      <c r="G72" s="95" t="str">
        <f aca="false">IF(ISBLANK(C72),IF(Fill_Example="Yes",F72,""),IF(ISNUMBER(MATCH(C72,{"Yes","No"},0)),C72,""))</f>
        <v/>
      </c>
      <c r="H72" s="95" t="n">
        <f aca="false">IF(G72="",0,1)</f>
        <v>0</v>
      </c>
    </row>
    <row r="73" customFormat="false" ht="15" hidden="false" customHeight="true" outlineLevel="0" collapsed="false">
      <c r="B73" s="1" t="s">
        <v>1410</v>
      </c>
      <c r="C73" s="94"/>
      <c r="E73" s="23" t="s">
        <v>1411</v>
      </c>
      <c r="F73" s="23"/>
      <c r="G73" s="95" t="str">
        <f aca="false">IF(ISBLANK(C73),IF(Fill_Example="Yes",F73,""),IF(ISNUMBER(MATCH(C73,{"Yes","No"},0)),C73,""))</f>
        <v/>
      </c>
      <c r="H73" s="95" t="n">
        <f aca="false">IF(G73="",0,1)</f>
        <v>0</v>
      </c>
    </row>
    <row r="74" customFormat="false" ht="15" hidden="false" customHeight="true" outlineLevel="0" collapsed="false">
      <c r="B74" s="1" t="s">
        <v>1412</v>
      </c>
      <c r="C74" s="94"/>
      <c r="E74" s="23" t="s">
        <v>1413</v>
      </c>
      <c r="F74" s="23"/>
      <c r="G74" s="95" t="str">
        <f aca="false">IF(ISBLANK(C74),IF(Fill_Example="Yes",F74,""),IF(ISNUMBER(MATCH(C74,{"Yes","No"},0)),C74,""))</f>
        <v/>
      </c>
      <c r="H74" s="95" t="n">
        <f aca="false">IF(G74="",0,1)</f>
        <v>0</v>
      </c>
    </row>
    <row r="75" customFormat="false" ht="15" hidden="false" customHeight="true" outlineLevel="0" collapsed="false">
      <c r="B75" s="1" t="s">
        <v>1414</v>
      </c>
      <c r="C75" s="94"/>
      <c r="E75" s="23" t="s">
        <v>1415</v>
      </c>
      <c r="F75" s="23"/>
      <c r="G75" s="95" t="str">
        <f aca="false">IF(ISBLANK(C75),IF(Fill_Example="Yes",F75,""),IF(ISNUMBER(MATCH(C75,{"Yes","No"},0)),C75,""))</f>
        <v/>
      </c>
      <c r="H75" s="95" t="n">
        <f aca="false">IF(G75="",0,1)</f>
        <v>0</v>
      </c>
    </row>
    <row r="76" customFormat="false" ht="15" hidden="false" customHeight="true" outlineLevel="0" collapsed="false">
      <c r="B76" s="1" t="s">
        <v>1416</v>
      </c>
      <c r="C76" s="94"/>
      <c r="E76" s="23" t="s">
        <v>1417</v>
      </c>
      <c r="F76" s="23"/>
      <c r="G76" s="95" t="str">
        <f aca="false">IF(ISBLANK(C76),IF(Fill_Example="Yes",F76,""),IF(ISNUMBER(MATCH(C76,{"Yes","No"},0)),C76,""))</f>
        <v/>
      </c>
      <c r="H76" s="95" t="n">
        <f aca="false">IF(G76="",0,1)</f>
        <v>0</v>
      </c>
    </row>
    <row r="77" customFormat="false" ht="15" hidden="false" customHeight="true" outlineLevel="0" collapsed="false">
      <c r="B77" s="1" t="s">
        <v>1418</v>
      </c>
      <c r="C77" s="94"/>
      <c r="E77" s="23" t="s">
        <v>1419</v>
      </c>
      <c r="F77" s="23"/>
      <c r="G77" s="95" t="str">
        <f aca="false">IF(ISBLANK(C77),IF(Fill_Example="Yes",F77,""),IF(ISNUMBER(MATCH(C77,{"Yes","No"},0)),C77,""))</f>
        <v/>
      </c>
      <c r="H77" s="95" t="n">
        <f aca="false">IF(G77="",0,1)</f>
        <v>0</v>
      </c>
    </row>
    <row r="78" customFormat="false" ht="15" hidden="false" customHeight="true" outlineLevel="0" collapsed="false">
      <c r="B78" s="1" t="s">
        <v>1420</v>
      </c>
      <c r="C78" s="94"/>
      <c r="E78" s="23" t="s">
        <v>1421</v>
      </c>
      <c r="F78" s="23" t="s">
        <v>1422</v>
      </c>
      <c r="G78" s="95" t="str">
        <f aca="false">IF(ISBLANK(C78),IF(Fill_Example="Yes",F78,""),IF(TRUE(),C78,""))</f>
        <v/>
      </c>
      <c r="H78" s="95" t="n">
        <f aca="false">IF(G78="",0,1)</f>
        <v>0</v>
      </c>
    </row>
    <row r="79" customFormat="false" ht="15" hidden="false" customHeight="true" outlineLevel="0" collapsed="false">
      <c r="B79" s="1" t="s">
        <v>1423</v>
      </c>
      <c r="C79" s="94"/>
      <c r="E79" s="23" t="s">
        <v>1424</v>
      </c>
      <c r="F79" s="23"/>
      <c r="G79" s="95" t="str">
        <f aca="false">IF(ISBLANK(C79),IF(Fill_Example="Yes",F79,""),IF(TRUE(),C79,""))</f>
        <v/>
      </c>
      <c r="H79" s="95" t="n">
        <f aca="false">IF(G79="",0,1)</f>
        <v>0</v>
      </c>
    </row>
    <row r="81" customFormat="false" ht="15" hidden="false" customHeight="true" outlineLevel="0" collapsed="false">
      <c r="B81" s="93" t="s">
        <v>1425</v>
      </c>
      <c r="C81" s="93" t="s">
        <v>222</v>
      </c>
      <c r="D81" s="93" t="s">
        <v>223</v>
      </c>
      <c r="E81" s="93" t="s">
        <v>1272</v>
      </c>
      <c r="F81" s="93" t="s">
        <v>1273</v>
      </c>
      <c r="G81" s="93" t="s">
        <v>1274</v>
      </c>
      <c r="H81" s="93" t="s">
        <v>1275</v>
      </c>
    </row>
    <row r="82" customFormat="false" ht="15" hidden="false" customHeight="true" outlineLevel="0" collapsed="false">
      <c r="B82" s="1" t="s">
        <v>1426</v>
      </c>
      <c r="C82" s="94"/>
      <c r="D82" s="1" t="s">
        <v>1293</v>
      </c>
      <c r="E82" s="23" t="s">
        <v>1427</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1428</v>
      </c>
      <c r="C83" s="94"/>
      <c r="D83" s="1" t="s">
        <v>1293</v>
      </c>
      <c r="E83" s="23" t="s">
        <v>1429</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1430</v>
      </c>
      <c r="C84" s="94"/>
      <c r="D84" s="1" t="s">
        <v>1293</v>
      </c>
      <c r="E84" s="23" t="s">
        <v>1431</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1432</v>
      </c>
      <c r="C85" s="94"/>
      <c r="D85" s="1" t="s">
        <v>1293</v>
      </c>
      <c r="E85" s="23" t="s">
        <v>1433</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1434</v>
      </c>
      <c r="C86" s="94"/>
      <c r="D86" s="1" t="s">
        <v>1293</v>
      </c>
      <c r="E86" s="23" t="s">
        <v>1435</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1436</v>
      </c>
      <c r="C87" s="94"/>
      <c r="E87" s="23" t="s">
        <v>1437</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1438</v>
      </c>
      <c r="C88" s="94"/>
      <c r="E88" s="23" t="s">
        <v>1439</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1440</v>
      </c>
      <c r="C89" s="94"/>
      <c r="D89" s="1" t="s">
        <v>1293</v>
      </c>
      <c r="E89" s="23" t="s">
        <v>1441</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1442</v>
      </c>
      <c r="C90" s="94"/>
      <c r="D90" s="1" t="s">
        <v>715</v>
      </c>
      <c r="E90" s="23" t="s">
        <v>1443</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1444</v>
      </c>
      <c r="C91" s="94"/>
      <c r="D91" s="1" t="s">
        <v>1293</v>
      </c>
      <c r="E91" s="23" t="s">
        <v>1445</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1446</v>
      </c>
      <c r="C92" s="94"/>
      <c r="D92" s="1" t="s">
        <v>1293</v>
      </c>
      <c r="E92" s="23" t="s">
        <v>1447</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1448</v>
      </c>
      <c r="C93" s="94"/>
      <c r="E93" s="23" t="s">
        <v>1449</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1450</v>
      </c>
      <c r="C94" s="94"/>
      <c r="D94" s="1" t="s">
        <v>227</v>
      </c>
      <c r="E94" s="23" t="s">
        <v>1451</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1452</v>
      </c>
      <c r="C95" s="94"/>
      <c r="D95" s="1" t="s">
        <v>682</v>
      </c>
      <c r="E95" s="23" t="s">
        <v>1453</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1454</v>
      </c>
      <c r="C96" s="94"/>
      <c r="D96" s="1" t="s">
        <v>240</v>
      </c>
      <c r="E96" s="23" t="s">
        <v>1455</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1456</v>
      </c>
      <c r="C97" s="94"/>
      <c r="D97" s="1" t="s">
        <v>1293</v>
      </c>
      <c r="E97" s="23" t="s">
        <v>1457</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1458</v>
      </c>
      <c r="C98" s="94"/>
      <c r="D98" s="1" t="s">
        <v>1293</v>
      </c>
      <c r="E98" s="23" t="s">
        <v>1459</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1460</v>
      </c>
      <c r="C99" s="94"/>
      <c r="D99" s="1" t="s">
        <v>1302</v>
      </c>
      <c r="E99" s="23" t="s">
        <v>1461</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1462</v>
      </c>
      <c r="C100" s="94"/>
      <c r="D100" s="1" t="s">
        <v>715</v>
      </c>
      <c r="E100" s="23" t="s">
        <v>1463</v>
      </c>
      <c r="F100" s="23" t="n">
        <v>95</v>
      </c>
      <c r="G100" s="95" t="str">
        <f aca="false">IF(ISBLANK(C100),IF(AND(Fill_Example="Yes",F100&lt;&gt;""),F100,""),IF(IF(ISNUMBER(C100),AND(C100&gt;=80,C100&lt;=105,C100=INT(C100)),FALSE()),C100,""))</f>
        <v/>
      </c>
      <c r="H100" s="95" t="n">
        <f aca="false">IF(G100="",0,1)</f>
        <v>0</v>
      </c>
    </row>
    <row r="101" customFormat="false" ht="15" hidden="false" customHeight="true" outlineLevel="0" collapsed="false">
      <c r="B101" s="1" t="s">
        <v>1464</v>
      </c>
      <c r="C101" s="94"/>
      <c r="D101" s="1" t="s">
        <v>1465</v>
      </c>
      <c r="E101" s="23" t="s">
        <v>1466</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1467</v>
      </c>
      <c r="C102" s="94"/>
      <c r="D102" s="1" t="s">
        <v>1293</v>
      </c>
      <c r="E102" s="23" t="s">
        <v>1468</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1469</v>
      </c>
      <c r="C103" s="94"/>
      <c r="D103" s="1" t="s">
        <v>1293</v>
      </c>
      <c r="E103" s="23" t="s">
        <v>1470</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1471</v>
      </c>
      <c r="C104" s="94"/>
      <c r="D104" s="1" t="s">
        <v>1293</v>
      </c>
      <c r="E104" s="23" t="s">
        <v>1472</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1473</v>
      </c>
      <c r="C105" s="94"/>
      <c r="D105" s="1" t="s">
        <v>1075</v>
      </c>
      <c r="E105" s="23" t="s">
        <v>1474</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1475</v>
      </c>
      <c r="C106" s="94"/>
      <c r="D106" s="1" t="s">
        <v>1075</v>
      </c>
      <c r="E106" s="23" t="s">
        <v>1476</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1477</v>
      </c>
      <c r="C107" s="94"/>
      <c r="D107" s="1" t="s">
        <v>240</v>
      </c>
      <c r="E107" s="23" t="s">
        <v>1478</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1479</v>
      </c>
      <c r="C108" s="94"/>
      <c r="D108" s="1" t="s">
        <v>1293</v>
      </c>
      <c r="E108" s="23" t="s">
        <v>1480</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1481</v>
      </c>
      <c r="C110" s="100" t="s">
        <v>1482</v>
      </c>
      <c r="D110" s="100" t="s">
        <v>1483</v>
      </c>
      <c r="E110" s="100" t="s">
        <v>1484</v>
      </c>
      <c r="F110" s="100" t="s">
        <v>1485</v>
      </c>
      <c r="G110" s="100" t="s">
        <v>380</v>
      </c>
      <c r="H110" s="100" t="s">
        <v>1486</v>
      </c>
      <c r="I110" s="100" t="s">
        <v>1487</v>
      </c>
      <c r="J110" s="100" t="s">
        <v>1488</v>
      </c>
      <c r="N110" s="93" t="s">
        <v>1489</v>
      </c>
      <c r="O110" s="93" t="s">
        <v>1490</v>
      </c>
      <c r="P110" s="93" t="s">
        <v>1491</v>
      </c>
      <c r="Q110" s="93" t="s">
        <v>1492</v>
      </c>
      <c r="R110" s="93" t="s">
        <v>1493</v>
      </c>
      <c r="S110" s="93" t="s">
        <v>1494</v>
      </c>
      <c r="T110" s="93" t="s">
        <v>1495</v>
      </c>
      <c r="U110" s="93" t="s">
        <v>1496</v>
      </c>
    </row>
    <row r="111" customFormat="false" ht="15" hidden="false" customHeight="true" outlineLevel="0" collapsed="false">
      <c r="B111" s="1" t="s">
        <v>1497</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1498</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1499</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1500</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1501</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1502</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1503</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1504</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1505</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1506</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1507</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1508</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1509</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1510</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1511</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1512</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1513</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1514</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1515</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1516</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1517</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1518</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100" type="whole">
      <formula1>80</formula1>
      <formula2>105</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1519</v>
      </c>
    </row>
    <row r="3" customFormat="false" ht="15" hidden="false" customHeight="true" outlineLevel="0" collapsed="false">
      <c r="B3" s="93" t="s">
        <v>1520</v>
      </c>
      <c r="C3" s="93" t="s">
        <v>1521</v>
      </c>
      <c r="D3" s="93" t="s">
        <v>1522</v>
      </c>
    </row>
    <row r="4" customFormat="false" ht="15" hidden="false" customHeight="true" outlineLevel="0" collapsed="false">
      <c r="B4" s="1" t="s">
        <v>1523</v>
      </c>
      <c r="C4" s="101" t="n">
        <f aca="false">Band_Single</f>
        <v>44000</v>
      </c>
      <c r="D4" s="23" t="s">
        <v>1524</v>
      </c>
    </row>
    <row r="5" customFormat="false" ht="15" hidden="false" customHeight="true" outlineLevel="0" collapsed="false">
      <c r="B5" s="1" t="s">
        <v>1525</v>
      </c>
      <c r="C5" s="101" t="n">
        <f aca="false">Band_Single_Parent</f>
        <v>48000</v>
      </c>
      <c r="D5" s="23" t="s">
        <v>1526</v>
      </c>
    </row>
    <row r="6" customFormat="false" ht="15" hidden="false" customHeight="true" outlineLevel="0" collapsed="false">
      <c r="B6" s="1" t="s">
        <v>1527</v>
      </c>
      <c r="C6" s="101" t="n">
        <f aca="false">Band_Married</f>
        <v>53000</v>
      </c>
      <c r="D6" s="23" t="s">
        <v>1528</v>
      </c>
    </row>
    <row r="7" customFormat="false" ht="15" hidden="false" customHeight="true" outlineLevel="0" collapsed="false">
      <c r="B7" s="1" t="s">
        <v>1529</v>
      </c>
      <c r="C7" s="101" t="n">
        <f aca="false">Band_Second_Earner_Max</f>
        <v>35000</v>
      </c>
      <c r="D7" s="23" t="s">
        <v>1530</v>
      </c>
    </row>
    <row r="8" customFormat="false" ht="15" hidden="false" customHeight="true" outlineLevel="0" collapsed="false">
      <c r="B8" s="1" t="s">
        <v>1531</v>
      </c>
      <c r="C8" s="102" t="n">
        <f aca="false">Rate_Standard</f>
        <v>0.2</v>
      </c>
      <c r="D8" s="23" t="s">
        <v>1532</v>
      </c>
    </row>
    <row r="9" customFormat="false" ht="15" hidden="false" customHeight="true" outlineLevel="0" collapsed="false">
      <c r="B9" s="1" t="s">
        <v>1533</v>
      </c>
      <c r="C9" s="102" t="n">
        <f aca="false">Rate_Higher</f>
        <v>0.4</v>
      </c>
      <c r="D9" s="23" t="s">
        <v>1534</v>
      </c>
    </row>
    <row r="10" customFormat="false" ht="15" hidden="false" customHeight="true" outlineLevel="0" collapsed="false">
      <c r="B10" s="1" t="s">
        <v>1535</v>
      </c>
      <c r="C10" s="101" t="n">
        <f aca="false">Credit_Personal_Single</f>
        <v>2000</v>
      </c>
      <c r="D10" s="23" t="s">
        <v>1536</v>
      </c>
    </row>
    <row r="11" customFormat="false" ht="15" hidden="false" customHeight="true" outlineLevel="0" collapsed="false">
      <c r="B11" s="1" t="s">
        <v>1537</v>
      </c>
      <c r="C11" s="101" t="n">
        <f aca="false">Credit_Personal_Married</f>
        <v>4000</v>
      </c>
      <c r="D11" s="23" t="s">
        <v>1538</v>
      </c>
    </row>
    <row r="12" customFormat="false" ht="15" hidden="false" customHeight="true" outlineLevel="0" collapsed="false">
      <c r="B12" s="1" t="s">
        <v>1539</v>
      </c>
      <c r="C12" s="101" t="n">
        <f aca="false">Credit_PAYE</f>
        <v>2000</v>
      </c>
      <c r="D12" s="23" t="s">
        <v>1540</v>
      </c>
    </row>
    <row r="13" customFormat="false" ht="15" hidden="false" customHeight="true" outlineLevel="0" collapsed="false">
      <c r="B13" s="1" t="s">
        <v>1541</v>
      </c>
      <c r="C13" s="103" t="n">
        <v>0.2</v>
      </c>
      <c r="D13" s="23" t="s">
        <v>1542</v>
      </c>
    </row>
    <row r="14" customFormat="false" ht="15" hidden="false" customHeight="true" outlineLevel="0" collapsed="false">
      <c r="B14" s="1" t="s">
        <v>1543</v>
      </c>
      <c r="C14" s="101" t="n">
        <f aca="false">Credit_Rent_Single</f>
        <v>1000</v>
      </c>
      <c r="D14" s="23" t="s">
        <v>1544</v>
      </c>
    </row>
    <row r="15" customFormat="false" ht="15" hidden="false" customHeight="true" outlineLevel="0" collapsed="false">
      <c r="B15" s="1" t="s">
        <v>1545</v>
      </c>
      <c r="C15" s="101" t="n">
        <f aca="false">Credit_Rent_Joint</f>
        <v>2000</v>
      </c>
      <c r="D15" s="23" t="s">
        <v>1546</v>
      </c>
    </row>
    <row r="16" customFormat="false" ht="15" hidden="false" customHeight="true" outlineLevel="0" collapsed="false">
      <c r="B16" s="1" t="s">
        <v>1547</v>
      </c>
      <c r="C16" s="103" t="n">
        <v>2028</v>
      </c>
      <c r="D16" s="23" t="s">
        <v>1548</v>
      </c>
    </row>
    <row r="17" customFormat="false" ht="15" hidden="false" customHeight="true" outlineLevel="0" collapsed="false">
      <c r="B17" s="1" t="s">
        <v>1549</v>
      </c>
      <c r="C17" s="101" t="n">
        <f aca="false">Credit_SPCCC</f>
        <v>1900</v>
      </c>
      <c r="D17" s="23" t="s">
        <v>1550</v>
      </c>
    </row>
    <row r="18" customFormat="false" ht="15" hidden="false" customHeight="true" outlineLevel="0" collapsed="false">
      <c r="B18" s="1" t="s">
        <v>1551</v>
      </c>
      <c r="C18" s="101" t="n">
        <f aca="false">Credit_Home_Carer</f>
        <v>1950</v>
      </c>
      <c r="D18" s="23" t="s">
        <v>1552</v>
      </c>
    </row>
    <row r="19" customFormat="false" ht="15" hidden="false" customHeight="true" outlineLevel="0" collapsed="false">
      <c r="B19" s="1" t="s">
        <v>1553</v>
      </c>
      <c r="C19" s="103" t="n">
        <v>7200</v>
      </c>
      <c r="D19" s="23" t="s">
        <v>1554</v>
      </c>
    </row>
    <row r="20" customFormat="false" ht="15" hidden="false" customHeight="true" outlineLevel="0" collapsed="false">
      <c r="B20" s="1" t="s">
        <v>1555</v>
      </c>
      <c r="C20" s="103" t="n">
        <v>65</v>
      </c>
      <c r="D20" s="23" t="s">
        <v>1556</v>
      </c>
    </row>
    <row r="21" customFormat="false" ht="15" hidden="false" customHeight="true" outlineLevel="0" collapsed="false">
      <c r="B21" s="1" t="s">
        <v>1557</v>
      </c>
      <c r="C21" s="103" t="n">
        <v>245</v>
      </c>
      <c r="D21" s="23" t="s">
        <v>1558</v>
      </c>
    </row>
    <row r="22" customFormat="false" ht="15" hidden="false" customHeight="true" outlineLevel="0" collapsed="false">
      <c r="B22" s="1" t="s">
        <v>1559</v>
      </c>
      <c r="C22" s="103" t="n">
        <v>18000</v>
      </c>
      <c r="D22" s="23" t="s">
        <v>1560</v>
      </c>
    </row>
    <row r="23" customFormat="false" ht="15" hidden="false" customHeight="true" outlineLevel="0" collapsed="false">
      <c r="B23" s="1" t="s">
        <v>1561</v>
      </c>
      <c r="C23" s="103" t="n">
        <v>36000</v>
      </c>
      <c r="D23" s="23" t="s">
        <v>1562</v>
      </c>
    </row>
    <row r="24" customFormat="false" ht="15" hidden="false" customHeight="true" outlineLevel="0" collapsed="false">
      <c r="B24" s="1" t="s">
        <v>1563</v>
      </c>
      <c r="C24" s="103" t="n">
        <v>0.4</v>
      </c>
      <c r="D24" s="23" t="s">
        <v>1564</v>
      </c>
    </row>
    <row r="25" customFormat="false" ht="15" hidden="false" customHeight="true" outlineLevel="0" collapsed="false">
      <c r="B25" s="1" t="s">
        <v>1565</v>
      </c>
      <c r="C25" s="101" t="n">
        <f aca="false">USC_Exempt</f>
        <v>13000</v>
      </c>
      <c r="D25" s="23" t="s">
        <v>1566</v>
      </c>
    </row>
    <row r="26" customFormat="false" ht="15" hidden="false" customHeight="true" outlineLevel="0" collapsed="false">
      <c r="B26" s="1" t="s">
        <v>1567</v>
      </c>
      <c r="C26" s="101" t="n">
        <f aca="false">USC_Band_1</f>
        <v>12012</v>
      </c>
      <c r="D26" s="23" t="s">
        <v>1568</v>
      </c>
    </row>
    <row r="27" customFormat="false" ht="15" hidden="false" customHeight="true" outlineLevel="0" collapsed="false">
      <c r="B27" s="1" t="s">
        <v>1569</v>
      </c>
      <c r="C27" s="101" t="n">
        <f aca="false">USC_Band_2</f>
        <v>28700</v>
      </c>
      <c r="D27" s="23" t="s">
        <v>1570</v>
      </c>
    </row>
    <row r="28" customFormat="false" ht="15" hidden="false" customHeight="true" outlineLevel="0" collapsed="false">
      <c r="B28" s="1" t="s">
        <v>1571</v>
      </c>
      <c r="C28" s="101" t="n">
        <f aca="false">USC_Band_3</f>
        <v>70044</v>
      </c>
      <c r="D28" s="23" t="s">
        <v>1572</v>
      </c>
    </row>
    <row r="29" customFormat="false" ht="15" hidden="false" customHeight="true" outlineLevel="0" collapsed="false">
      <c r="B29" s="1" t="s">
        <v>1573</v>
      </c>
      <c r="C29" s="104" t="n">
        <f aca="false">USC_Rate_1</f>
        <v>0.005</v>
      </c>
      <c r="D29" s="23" t="s">
        <v>1574</v>
      </c>
    </row>
    <row r="30" customFormat="false" ht="15" hidden="false" customHeight="true" outlineLevel="0" collapsed="false">
      <c r="B30" s="1" t="s">
        <v>1575</v>
      </c>
      <c r="C30" s="104" t="n">
        <f aca="false">USC_Rate_2</f>
        <v>0.02</v>
      </c>
      <c r="D30" s="23" t="s">
        <v>1576</v>
      </c>
    </row>
    <row r="31" customFormat="false" ht="15" hidden="false" customHeight="true" outlineLevel="0" collapsed="false">
      <c r="B31" s="1" t="s">
        <v>1577</v>
      </c>
      <c r="C31" s="104" t="n">
        <f aca="false">USC_Rate_3</f>
        <v>0.03</v>
      </c>
      <c r="D31" s="23" t="s">
        <v>1578</v>
      </c>
    </row>
    <row r="32" customFormat="false" ht="15" hidden="false" customHeight="true" outlineLevel="0" collapsed="false">
      <c r="B32" s="1" t="s">
        <v>1579</v>
      </c>
      <c r="C32" s="104" t="n">
        <f aca="false">USC_Rate_4</f>
        <v>0.08</v>
      </c>
      <c r="D32" s="23" t="s">
        <v>1580</v>
      </c>
    </row>
    <row r="33" customFormat="false" ht="15" hidden="false" customHeight="true" outlineLevel="0" collapsed="false">
      <c r="B33" s="1" t="s">
        <v>1581</v>
      </c>
      <c r="C33" s="103" t="n">
        <v>70</v>
      </c>
      <c r="D33" s="23" t="s">
        <v>1582</v>
      </c>
    </row>
    <row r="34" customFormat="false" ht="15" hidden="false" customHeight="true" outlineLevel="0" collapsed="false">
      <c r="B34" s="1" t="s">
        <v>1583</v>
      </c>
      <c r="C34" s="103" t="n">
        <v>60000</v>
      </c>
      <c r="D34" s="23" t="s">
        <v>1584</v>
      </c>
    </row>
    <row r="35" customFormat="false" ht="15" hidden="false" customHeight="true" outlineLevel="0" collapsed="false">
      <c r="B35" s="1" t="s">
        <v>1585</v>
      </c>
      <c r="C35" s="103" t="n">
        <v>12012</v>
      </c>
      <c r="D35" s="23" t="s">
        <v>1586</v>
      </c>
    </row>
    <row r="36" customFormat="false" ht="15" hidden="false" customHeight="true" outlineLevel="0" collapsed="false">
      <c r="B36" s="1" t="s">
        <v>1587</v>
      </c>
      <c r="C36" s="103" t="n">
        <v>0.005</v>
      </c>
      <c r="D36" s="23" t="s">
        <v>1588</v>
      </c>
    </row>
    <row r="37" customFormat="false" ht="15" hidden="false" customHeight="true" outlineLevel="0" collapsed="false">
      <c r="B37" s="1" t="s">
        <v>1589</v>
      </c>
      <c r="C37" s="103" t="n">
        <v>0.02</v>
      </c>
      <c r="D37" s="23" t="s">
        <v>1590</v>
      </c>
    </row>
    <row r="38" customFormat="false" ht="15" hidden="false" customHeight="true" outlineLevel="0" collapsed="false">
      <c r="B38" s="1" t="s">
        <v>1591</v>
      </c>
      <c r="C38" s="103" t="n">
        <v>0.03</v>
      </c>
      <c r="D38" s="23" t="s">
        <v>1592</v>
      </c>
    </row>
    <row r="39" customFormat="false" ht="15" hidden="false" customHeight="true" outlineLevel="0" collapsed="false">
      <c r="B39" s="1" t="s">
        <v>1593</v>
      </c>
      <c r="C39" s="103" t="n">
        <v>100000</v>
      </c>
      <c r="D39" s="23" t="s">
        <v>1594</v>
      </c>
    </row>
    <row r="40" customFormat="false" ht="15" hidden="false" customHeight="true" outlineLevel="0" collapsed="false">
      <c r="B40" s="1" t="s">
        <v>1595</v>
      </c>
      <c r="C40" s="103" t="n">
        <v>0.042</v>
      </c>
      <c r="D40" s="23" t="s">
        <v>1596</v>
      </c>
    </row>
    <row r="41" customFormat="false" ht="15" hidden="false" customHeight="true" outlineLevel="0" collapsed="false">
      <c r="B41" s="1" t="s">
        <v>1597</v>
      </c>
      <c r="C41" s="103" t="n">
        <v>0.0435</v>
      </c>
      <c r="D41" s="23" t="s">
        <v>1598</v>
      </c>
    </row>
    <row r="42" customFormat="false" ht="15" hidden="false" customHeight="true" outlineLevel="0" collapsed="false">
      <c r="B42" s="1" t="s">
        <v>1599</v>
      </c>
      <c r="C42" s="103" t="n">
        <v>0.045</v>
      </c>
      <c r="D42" s="23" t="s">
        <v>1600</v>
      </c>
    </row>
    <row r="43" customFormat="false" ht="15" hidden="false" customHeight="true" outlineLevel="0" collapsed="false">
      <c r="B43" s="1" t="s">
        <v>1601</v>
      </c>
      <c r="C43" s="103" t="n">
        <v>0.047</v>
      </c>
      <c r="D43" s="23" t="s">
        <v>1602</v>
      </c>
    </row>
    <row r="44" customFormat="false" ht="15" hidden="false" customHeight="true" outlineLevel="0" collapsed="false">
      <c r="B44" s="1" t="s">
        <v>1603</v>
      </c>
      <c r="C44" s="103" t="n">
        <v>24321</v>
      </c>
      <c r="D44" s="23" t="s">
        <v>1604</v>
      </c>
    </row>
    <row r="45" customFormat="false" ht="15" hidden="false" customHeight="true" outlineLevel="0" collapsed="false">
      <c r="B45" s="1" t="s">
        <v>1605</v>
      </c>
      <c r="C45" s="103" t="n">
        <v>24333</v>
      </c>
      <c r="D45" s="23" t="s">
        <v>1606</v>
      </c>
    </row>
    <row r="46" customFormat="false" ht="15" hidden="false" customHeight="true" outlineLevel="0" collapsed="false">
      <c r="B46" s="1" t="s">
        <v>1607</v>
      </c>
      <c r="C46" s="103" t="n">
        <v>24345</v>
      </c>
      <c r="D46" s="23" t="s">
        <v>1608</v>
      </c>
    </row>
    <row r="47" customFormat="false" ht="15" hidden="false" customHeight="true" outlineLevel="0" collapsed="false">
      <c r="B47" s="1" t="s">
        <v>1609</v>
      </c>
      <c r="C47" s="101" t="n">
        <f aca="false">PRSI_Free_Week</f>
        <v>352</v>
      </c>
      <c r="D47" s="23" t="s">
        <v>1610</v>
      </c>
    </row>
    <row r="48" customFormat="false" ht="15" hidden="false" customHeight="true" outlineLevel="0" collapsed="false">
      <c r="B48" s="1" t="s">
        <v>1611</v>
      </c>
      <c r="C48" s="101" t="n">
        <f aca="false">PRSI_Credit_Max</f>
        <v>12</v>
      </c>
      <c r="D48" s="23" t="s">
        <v>1612</v>
      </c>
    </row>
    <row r="49" customFormat="false" ht="15" hidden="false" customHeight="true" outlineLevel="0" collapsed="false">
      <c r="B49" s="1" t="s">
        <v>1613</v>
      </c>
      <c r="C49" s="101" t="n">
        <f aca="false">PRSI_Credit_Top</f>
        <v>424</v>
      </c>
      <c r="D49" s="23" t="s">
        <v>1614</v>
      </c>
    </row>
    <row r="50" customFormat="false" ht="15" hidden="false" customHeight="true" outlineLevel="0" collapsed="false">
      <c r="B50" s="1" t="s">
        <v>1615</v>
      </c>
      <c r="C50" s="105" t="n">
        <f aca="false">PRSI_Credit_Taper</f>
        <v>6</v>
      </c>
      <c r="D50" s="23" t="s">
        <v>1616</v>
      </c>
    </row>
    <row r="51" customFormat="false" ht="15" hidden="false" customHeight="true" outlineLevel="0" collapsed="false">
      <c r="B51" s="1" t="s">
        <v>1617</v>
      </c>
      <c r="C51" s="103" t="n">
        <v>66</v>
      </c>
      <c r="D51" s="23" t="s">
        <v>1618</v>
      </c>
    </row>
    <row r="52" customFormat="false" ht="15" hidden="false" customHeight="true" outlineLevel="0" collapsed="false">
      <c r="B52" s="1" t="s">
        <v>1619</v>
      </c>
      <c r="C52" s="103" t="n">
        <v>5000</v>
      </c>
      <c r="D52" s="23" t="s">
        <v>1620</v>
      </c>
    </row>
    <row r="53" customFormat="false" ht="15" hidden="false" customHeight="true" outlineLevel="0" collapsed="false">
      <c r="B53" s="1" t="s">
        <v>1621</v>
      </c>
      <c r="C53" s="103" t="n">
        <v>650</v>
      </c>
      <c r="D53" s="23" t="s">
        <v>1622</v>
      </c>
    </row>
    <row r="54" customFormat="false" ht="15" hidden="false" customHeight="true" outlineLevel="0" collapsed="false">
      <c r="B54" s="1" t="s">
        <v>1623</v>
      </c>
      <c r="C54" s="103" t="n">
        <v>5000</v>
      </c>
      <c r="D54" s="23" t="s">
        <v>1624</v>
      </c>
    </row>
    <row r="55" customFormat="false" ht="15" hidden="false" customHeight="true" outlineLevel="0" collapsed="false">
      <c r="B55" s="1" t="s">
        <v>1625</v>
      </c>
      <c r="C55" s="103" t="n">
        <v>30</v>
      </c>
      <c r="D55" s="23" t="s">
        <v>1626</v>
      </c>
    </row>
    <row r="56" customFormat="false" ht="15" hidden="false" customHeight="true" outlineLevel="0" collapsed="false">
      <c r="C56" s="103" t="n">
        <v>0.15</v>
      </c>
      <c r="D56" s="23" t="s">
        <v>1627</v>
      </c>
    </row>
    <row r="57" customFormat="false" ht="15" hidden="false" customHeight="true" outlineLevel="0" collapsed="false">
      <c r="B57" s="1" t="s">
        <v>1628</v>
      </c>
      <c r="C57" s="103" t="n">
        <v>40</v>
      </c>
      <c r="D57" s="23" t="s">
        <v>1629</v>
      </c>
    </row>
    <row r="58" customFormat="false" ht="15" hidden="false" customHeight="true" outlineLevel="0" collapsed="false">
      <c r="C58" s="103" t="n">
        <v>0.2</v>
      </c>
      <c r="D58" s="23" t="s">
        <v>1630</v>
      </c>
    </row>
    <row r="59" customFormat="false" ht="15" hidden="false" customHeight="true" outlineLevel="0" collapsed="false">
      <c r="B59" s="1" t="s">
        <v>1631</v>
      </c>
      <c r="C59" s="103" t="n">
        <v>50</v>
      </c>
      <c r="D59" s="23" t="s">
        <v>1632</v>
      </c>
    </row>
    <row r="60" customFormat="false" ht="15" hidden="false" customHeight="true" outlineLevel="0" collapsed="false">
      <c r="C60" s="103" t="n">
        <v>0.25</v>
      </c>
      <c r="D60" s="23" t="s">
        <v>1633</v>
      </c>
    </row>
    <row r="61" customFormat="false" ht="15" hidden="false" customHeight="true" outlineLevel="0" collapsed="false">
      <c r="B61" s="1" t="s">
        <v>1634</v>
      </c>
      <c r="C61" s="103" t="n">
        <v>55</v>
      </c>
      <c r="D61" s="23" t="s">
        <v>1635</v>
      </c>
    </row>
    <row r="62" customFormat="false" ht="15" hidden="false" customHeight="true" outlineLevel="0" collapsed="false">
      <c r="C62" s="103" t="n">
        <v>0.3</v>
      </c>
      <c r="D62" s="23" t="s">
        <v>1636</v>
      </c>
    </row>
    <row r="63" customFormat="false" ht="15" hidden="false" customHeight="true" outlineLevel="0" collapsed="false">
      <c r="B63" s="1" t="s">
        <v>1637</v>
      </c>
      <c r="C63" s="103" t="n">
        <v>60</v>
      </c>
      <c r="D63" s="23" t="s">
        <v>1638</v>
      </c>
    </row>
    <row r="64" customFormat="false" ht="15" hidden="false" customHeight="true" outlineLevel="0" collapsed="false">
      <c r="C64" s="103" t="n">
        <v>0.35</v>
      </c>
      <c r="D64" s="23" t="s">
        <v>1639</v>
      </c>
    </row>
    <row r="65" customFormat="false" ht="15" hidden="false" customHeight="true" outlineLevel="0" collapsed="false">
      <c r="B65" s="1" t="s">
        <v>1640</v>
      </c>
      <c r="C65" s="103" t="n">
        <v>0.4</v>
      </c>
      <c r="D65" s="23" t="s">
        <v>1641</v>
      </c>
    </row>
    <row r="66" customFormat="false" ht="15" hidden="false" customHeight="true" outlineLevel="0" collapsed="false">
      <c r="B66" s="1" t="s">
        <v>1642</v>
      </c>
      <c r="C66" s="101" t="n">
        <f aca="false">Relief_Earnings_Cap</f>
        <v>115000</v>
      </c>
      <c r="D66" s="23" t="s">
        <v>1643</v>
      </c>
    </row>
    <row r="67" customFormat="false" ht="15" hidden="false" customHeight="true" outlineLevel="0" collapsed="false">
      <c r="B67" s="1" t="s">
        <v>1644</v>
      </c>
      <c r="C67" s="102" t="n">
        <f aca="false">Lump_Sum_Max_Pct</f>
        <v>0.25</v>
      </c>
      <c r="D67" s="23" t="s">
        <v>1645</v>
      </c>
    </row>
    <row r="68" customFormat="false" ht="15" hidden="false" customHeight="true" outlineLevel="0" collapsed="false">
      <c r="B68" s="1" t="s">
        <v>1646</v>
      </c>
      <c r="C68" s="101" t="n">
        <f aca="false">Lump_Sum_Tax_Free</f>
        <v>200000</v>
      </c>
      <c r="D68" s="23" t="s">
        <v>1647</v>
      </c>
    </row>
    <row r="69" customFormat="false" ht="15" hidden="false" customHeight="true" outlineLevel="0" collapsed="false">
      <c r="B69" s="1" t="s">
        <v>1648</v>
      </c>
      <c r="C69" s="101" t="n">
        <f aca="false">Lump_Sum_Cap</f>
        <v>500000</v>
      </c>
      <c r="D69" s="23" t="s">
        <v>1649</v>
      </c>
    </row>
    <row r="70" customFormat="false" ht="15" hidden="false" customHeight="true" outlineLevel="0" collapsed="false">
      <c r="B70" s="1" t="s">
        <v>1650</v>
      </c>
      <c r="C70" s="102" t="n">
        <f aca="false">Lump_Sum_Rate</f>
        <v>0.2</v>
      </c>
      <c r="D70" s="23" t="s">
        <v>1651</v>
      </c>
    </row>
    <row r="71" customFormat="false" ht="15" hidden="false" customHeight="true" outlineLevel="0" collapsed="false">
      <c r="B71" s="1" t="s">
        <v>1652</v>
      </c>
      <c r="C71" s="101" t="n">
        <f aca="false">SFT_2026</f>
        <v>2200000</v>
      </c>
      <c r="D71" s="23" t="s">
        <v>1653</v>
      </c>
    </row>
    <row r="72" customFormat="false" ht="15" hidden="false" customHeight="true" outlineLevel="0" collapsed="false">
      <c r="B72" s="1" t="s">
        <v>1654</v>
      </c>
      <c r="C72" s="103" t="n">
        <v>2400000</v>
      </c>
      <c r="D72" s="23" t="s">
        <v>1655</v>
      </c>
    </row>
    <row r="73" customFormat="false" ht="15" hidden="false" customHeight="true" outlineLevel="0" collapsed="false">
      <c r="B73" s="1" t="s">
        <v>1656</v>
      </c>
      <c r="C73" s="103" t="n">
        <v>2600000</v>
      </c>
      <c r="D73" s="23" t="s">
        <v>1657</v>
      </c>
    </row>
    <row r="74" customFormat="false" ht="15" hidden="false" customHeight="true" outlineLevel="0" collapsed="false">
      <c r="B74" s="1" t="s">
        <v>1658</v>
      </c>
      <c r="C74" s="103" t="n">
        <v>2800000</v>
      </c>
      <c r="D74" s="23" t="s">
        <v>1659</v>
      </c>
    </row>
    <row r="75" customFormat="false" ht="15" hidden="false" customHeight="true" outlineLevel="0" collapsed="false">
      <c r="B75" s="1" t="s">
        <v>1660</v>
      </c>
      <c r="C75" s="102" t="n">
        <f aca="false">SFT_Tax</f>
        <v>0.4</v>
      </c>
      <c r="D75" s="23" t="s">
        <v>1661</v>
      </c>
    </row>
    <row r="76" customFormat="false" ht="15" hidden="false" customHeight="true" outlineLevel="0" collapsed="false">
      <c r="B76" s="1" t="s">
        <v>1662</v>
      </c>
      <c r="C76" s="103" t="n">
        <v>0.04</v>
      </c>
      <c r="D76" s="23" t="s">
        <v>1663</v>
      </c>
    </row>
    <row r="77" customFormat="false" ht="15" hidden="false" customHeight="true" outlineLevel="0" collapsed="false">
      <c r="B77" s="1" t="s">
        <v>1664</v>
      </c>
      <c r="C77" s="103" t="n">
        <v>0.05</v>
      </c>
      <c r="D77" s="23" t="s">
        <v>1665</v>
      </c>
    </row>
    <row r="78" customFormat="false" ht="15" hidden="false" customHeight="true" outlineLevel="0" collapsed="false">
      <c r="B78" s="1" t="s">
        <v>1666</v>
      </c>
      <c r="C78" s="103" t="n">
        <v>0.06</v>
      </c>
      <c r="D78" s="23" t="s">
        <v>1667</v>
      </c>
    </row>
    <row r="79" customFormat="false" ht="15" hidden="false" customHeight="true" outlineLevel="0" collapsed="false">
      <c r="B79" s="1" t="s">
        <v>1668</v>
      </c>
      <c r="C79" s="103" t="n">
        <v>2000000</v>
      </c>
      <c r="D79" s="23" t="s">
        <v>1669</v>
      </c>
    </row>
    <row r="80" customFormat="false" ht="15" hidden="false" customHeight="true" outlineLevel="0" collapsed="false">
      <c r="B80" s="1" t="s">
        <v>1670</v>
      </c>
      <c r="C80" s="103" t="n">
        <v>60</v>
      </c>
      <c r="D80" s="23" t="s">
        <v>1671</v>
      </c>
    </row>
    <row r="81" customFormat="false" ht="15" hidden="false" customHeight="true" outlineLevel="0" collapsed="false">
      <c r="B81" s="1" t="s">
        <v>1672</v>
      </c>
      <c r="C81" s="106" t="n">
        <f aca="false">State_Pension_Week</f>
        <v>299.3</v>
      </c>
      <c r="D81" s="23" t="s">
        <v>1673</v>
      </c>
    </row>
    <row r="82" customFormat="false" ht="15" hidden="false" customHeight="true" outlineLevel="0" collapsed="false">
      <c r="B82" s="1" t="s">
        <v>1674</v>
      </c>
      <c r="C82" s="103" t="n">
        <v>52</v>
      </c>
      <c r="D82" s="23" t="s">
        <v>1675</v>
      </c>
    </row>
    <row r="83" customFormat="false" ht="15" hidden="false" customHeight="true" outlineLevel="0" collapsed="false">
      <c r="B83" s="1" t="s">
        <v>1676</v>
      </c>
      <c r="C83" s="105" t="n">
        <f aca="false">State_Pension_Age</f>
        <v>66</v>
      </c>
      <c r="D83" s="23" t="s">
        <v>1677</v>
      </c>
    </row>
    <row r="84" customFormat="false" ht="15" hidden="false" customHeight="true" outlineLevel="0" collapsed="false">
      <c r="B84" s="1" t="s">
        <v>1678</v>
      </c>
      <c r="C84" s="103" t="n">
        <v>10</v>
      </c>
      <c r="D84" s="23" t="s">
        <v>1679</v>
      </c>
    </row>
    <row r="85" customFormat="false" ht="15" hidden="false" customHeight="true" outlineLevel="0" collapsed="false">
      <c r="B85" s="1" t="s">
        <v>1680</v>
      </c>
      <c r="C85" s="103" t="n">
        <v>268.4</v>
      </c>
      <c r="D85" s="23" t="s">
        <v>1681</v>
      </c>
    </row>
    <row r="86" customFormat="false" ht="15" hidden="false" customHeight="true" outlineLevel="0" collapsed="false">
      <c r="B86" s="1" t="s">
        <v>1682</v>
      </c>
      <c r="C86" s="103" t="n">
        <v>199.4</v>
      </c>
      <c r="D86" s="23" t="s">
        <v>1683</v>
      </c>
    </row>
    <row r="87" customFormat="false" ht="15" hidden="false" customHeight="true" outlineLevel="0" collapsed="false">
      <c r="B87" s="1" t="s">
        <v>1684</v>
      </c>
      <c r="C87" s="103" t="n">
        <v>40</v>
      </c>
      <c r="D87" s="23" t="s">
        <v>1685</v>
      </c>
    </row>
    <row r="88" customFormat="false" ht="15" hidden="false" customHeight="true" outlineLevel="0" collapsed="false">
      <c r="B88" s="1" t="s">
        <v>1686</v>
      </c>
      <c r="C88" s="103" t="n">
        <v>10</v>
      </c>
      <c r="D88" s="23" t="s">
        <v>1687</v>
      </c>
    </row>
    <row r="89" customFormat="false" ht="15" hidden="false" customHeight="true" outlineLevel="0" collapsed="false">
      <c r="B89" s="1" t="s">
        <v>1688</v>
      </c>
      <c r="C89" s="103" t="n">
        <v>23</v>
      </c>
      <c r="D89" s="23" t="s">
        <v>1689</v>
      </c>
    </row>
    <row r="90" customFormat="false" ht="15" hidden="false" customHeight="true" outlineLevel="0" collapsed="false">
      <c r="B90" s="1" t="s">
        <v>1690</v>
      </c>
      <c r="C90" s="103" t="n">
        <v>60</v>
      </c>
      <c r="D90" s="23" t="s">
        <v>1691</v>
      </c>
    </row>
    <row r="91" customFormat="false" ht="15" hidden="false" customHeight="true" outlineLevel="0" collapsed="false">
      <c r="B91" s="1" t="s">
        <v>1692</v>
      </c>
      <c r="C91" s="103" t="n">
        <v>20000</v>
      </c>
      <c r="D91" s="23" t="s">
        <v>1693</v>
      </c>
    </row>
    <row r="92" customFormat="false" ht="15" hidden="false" customHeight="true" outlineLevel="0" collapsed="false">
      <c r="B92" s="1" t="s">
        <v>1694</v>
      </c>
      <c r="C92" s="103" t="n">
        <v>80000</v>
      </c>
      <c r="D92" s="23" t="s">
        <v>1695</v>
      </c>
    </row>
    <row r="93" customFormat="false" ht="15" hidden="false" customHeight="true" outlineLevel="0" collapsed="false">
      <c r="B93" s="1" t="s">
        <v>1696</v>
      </c>
      <c r="C93" s="103" t="n">
        <v>0.015</v>
      </c>
      <c r="D93" s="23" t="s">
        <v>1697</v>
      </c>
    </row>
    <row r="94" customFormat="false" ht="15" hidden="false" customHeight="true" outlineLevel="0" collapsed="false">
      <c r="B94" s="1" t="s">
        <v>1698</v>
      </c>
      <c r="C94" s="103" t="n">
        <v>0.015</v>
      </c>
      <c r="D94" s="23" t="s">
        <v>1699</v>
      </c>
    </row>
    <row r="95" customFormat="false" ht="15" hidden="false" customHeight="true" outlineLevel="0" collapsed="false">
      <c r="B95" s="1" t="s">
        <v>1700</v>
      </c>
      <c r="C95" s="103" t="n">
        <v>0.005</v>
      </c>
      <c r="D95" s="23" t="s">
        <v>1701</v>
      </c>
    </row>
    <row r="96" customFormat="false" ht="15" hidden="false" customHeight="true" outlineLevel="0" collapsed="false">
      <c r="B96" s="1" t="s">
        <v>1702</v>
      </c>
      <c r="C96" s="103" t="n">
        <v>50</v>
      </c>
      <c r="D96" s="23" t="s">
        <v>1703</v>
      </c>
    </row>
    <row r="97" customFormat="false" ht="15" hidden="false" customHeight="true" outlineLevel="0" collapsed="false">
      <c r="B97" s="1" t="s">
        <v>1704</v>
      </c>
      <c r="C97" s="103" t="n">
        <v>200</v>
      </c>
      <c r="D97" s="23" t="s">
        <v>1705</v>
      </c>
    </row>
    <row r="98" customFormat="false" ht="15" hidden="false" customHeight="true" outlineLevel="0" collapsed="false">
      <c r="B98" s="1" t="s">
        <v>1706</v>
      </c>
      <c r="C98" s="103" t="n">
        <v>500</v>
      </c>
      <c r="D98" s="23" t="s">
        <v>1707</v>
      </c>
    </row>
    <row r="99" customFormat="false" ht="15" hidden="false" customHeight="true" outlineLevel="0" collapsed="false">
      <c r="B99" s="1" t="s">
        <v>1708</v>
      </c>
      <c r="C99" s="103" t="n">
        <v>1000</v>
      </c>
      <c r="D99" s="23" t="s">
        <v>1709</v>
      </c>
    </row>
    <row r="100" customFormat="false" ht="15" hidden="false" customHeight="true" outlineLevel="0" collapsed="false">
      <c r="B100" s="1" t="s">
        <v>1710</v>
      </c>
      <c r="C100" s="103" t="n">
        <v>0.33</v>
      </c>
      <c r="D100" s="23" t="s">
        <v>1711</v>
      </c>
    </row>
    <row r="101" customFormat="false" ht="15" hidden="false" customHeight="true" outlineLevel="0" collapsed="false">
      <c r="B101" s="1" t="s">
        <v>1712</v>
      </c>
      <c r="C101" s="103" t="n">
        <v>61</v>
      </c>
      <c r="D101" s="23" t="s">
        <v>1713</v>
      </c>
    </row>
    <row r="102" customFormat="false" ht="15" hidden="false" customHeight="true" outlineLevel="0" collapsed="false">
      <c r="B102" s="1" t="s">
        <v>1714</v>
      </c>
      <c r="C102" s="103" t="n">
        <v>71</v>
      </c>
      <c r="D102" s="23" t="s">
        <v>1715</v>
      </c>
    </row>
    <row r="103" customFormat="false" ht="15" hidden="false" customHeight="true" outlineLevel="0" collapsed="false">
      <c r="B103" s="1" t="s">
        <v>1716</v>
      </c>
      <c r="C103" s="103" t="n">
        <v>80</v>
      </c>
      <c r="D103" s="23" t="s">
        <v>1717</v>
      </c>
    </row>
    <row r="104" customFormat="false" ht="15" hidden="false" customHeight="true" outlineLevel="0" collapsed="false">
      <c r="B104" s="1" t="s">
        <v>1718</v>
      </c>
      <c r="C104" s="103" t="n">
        <v>2026</v>
      </c>
      <c r="D104" s="23" t="s">
        <v>1719</v>
      </c>
    </row>
    <row r="105" customFormat="false" ht="15" hidden="false" customHeight="true" outlineLevel="0" collapsed="false">
      <c r="B105" s="1" t="s">
        <v>1720</v>
      </c>
      <c r="C105" s="103" t="n">
        <v>2029</v>
      </c>
      <c r="D105" s="23" t="s">
        <v>1721</v>
      </c>
    </row>
    <row r="106" customFormat="false" ht="15" hidden="false" customHeight="true" outlineLevel="0" collapsed="false">
      <c r="B106" s="1" t="s">
        <v>1722</v>
      </c>
      <c r="C106" s="103" t="n">
        <v>89</v>
      </c>
      <c r="D106" s="23" t="s">
        <v>1723</v>
      </c>
    </row>
    <row r="107" customFormat="false" ht="15" hidden="false" customHeight="true" outlineLevel="0" collapsed="false">
      <c r="B107" s="1" t="s">
        <v>1724</v>
      </c>
      <c r="C107" s="103" t="n">
        <v>99</v>
      </c>
      <c r="D107" s="23" t="s">
        <v>1725</v>
      </c>
    </row>
    <row r="108" customFormat="false" ht="15" hidden="false" customHeight="true" outlineLevel="0" collapsed="false">
      <c r="B108" s="1" t="s">
        <v>1726</v>
      </c>
      <c r="C108" s="103" t="n">
        <v>50</v>
      </c>
      <c r="D108" s="23" t="s">
        <v>1727</v>
      </c>
    </row>
    <row r="109" customFormat="false" ht="15" hidden="false" customHeight="true" outlineLevel="0" collapsed="false">
      <c r="B109" s="1" t="s">
        <v>1728</v>
      </c>
      <c r="C109" s="103" t="n">
        <v>50</v>
      </c>
      <c r="D109" s="23" t="s">
        <v>1729</v>
      </c>
    </row>
    <row r="110" customFormat="false" ht="15" hidden="false" customHeight="true" outlineLevel="0" collapsed="false">
      <c r="B110" s="1" t="s">
        <v>1730</v>
      </c>
      <c r="C110" s="103" t="n">
        <v>0.5</v>
      </c>
      <c r="D110" s="23" t="s">
        <v>1731</v>
      </c>
    </row>
    <row r="111" customFormat="false" ht="15" hidden="false" customHeight="true" outlineLevel="0" collapsed="false">
      <c r="B111" s="1" t="s">
        <v>1732</v>
      </c>
      <c r="C111" s="103" t="n">
        <v>0.5</v>
      </c>
      <c r="D111" s="23" t="s">
        <v>1733</v>
      </c>
    </row>
    <row r="112" customFormat="false" ht="15" hidden="false" customHeight="true" outlineLevel="0" collapsed="false">
      <c r="B112" s="1" t="s">
        <v>1734</v>
      </c>
      <c r="C112" s="103" t="n">
        <v>1000000</v>
      </c>
      <c r="D112" s="23" t="s">
        <v>1735</v>
      </c>
    </row>
    <row r="113" customFormat="false" ht="15" hidden="false" customHeight="true" outlineLevel="0" collapsed="false">
      <c r="B113" s="1" t="s">
        <v>1736</v>
      </c>
      <c r="C113" s="103" t="n">
        <v>0.2</v>
      </c>
      <c r="D113" s="23" t="s">
        <v>1737</v>
      </c>
    </row>
    <row r="114" customFormat="false" ht="15" hidden="false" customHeight="true" outlineLevel="0" collapsed="false">
      <c r="B114" s="1" t="s">
        <v>1738</v>
      </c>
      <c r="C114" s="103" t="n">
        <v>20000</v>
      </c>
      <c r="D114" s="23" t="s">
        <v>1739</v>
      </c>
    </row>
    <row r="115" customFormat="false" ht="15" hidden="false" customHeight="true" outlineLevel="0" collapsed="false">
      <c r="B115" s="1" t="s">
        <v>1740</v>
      </c>
      <c r="C115" s="103" t="n">
        <v>66</v>
      </c>
      <c r="D115" s="23" t="s">
        <v>1741</v>
      </c>
    </row>
    <row r="116" customFormat="false" ht="15" hidden="false" customHeight="true" outlineLevel="0" collapsed="false">
      <c r="B116" s="1" t="s">
        <v>1742</v>
      </c>
      <c r="C116" s="103" t="n">
        <v>25</v>
      </c>
      <c r="D116" s="23" t="s">
        <v>1743</v>
      </c>
    </row>
    <row r="117" customFormat="false" ht="15" hidden="false" customHeight="true" outlineLevel="0" collapsed="false">
      <c r="B117" s="1" t="s">
        <v>1744</v>
      </c>
      <c r="C117" s="103" t="n">
        <v>0.01</v>
      </c>
      <c r="D117" s="23" t="s">
        <v>1745</v>
      </c>
    </row>
    <row r="118" customFormat="false" ht="15" hidden="false" customHeight="true" outlineLevel="0" collapsed="false">
      <c r="B118" s="1" t="s">
        <v>1746</v>
      </c>
      <c r="C118" s="103" t="n">
        <v>0.6</v>
      </c>
      <c r="D118" s="23" t="s">
        <v>1747</v>
      </c>
    </row>
    <row r="119" customFormat="false" ht="15" hidden="false" customHeight="true" outlineLevel="0" collapsed="false">
      <c r="B119" s="1" t="s">
        <v>1748</v>
      </c>
      <c r="C119" s="103" t="n">
        <v>0.8</v>
      </c>
      <c r="D119" s="23" t="s">
        <v>1749</v>
      </c>
    </row>
    <row r="120" customFormat="false" ht="15" hidden="false" customHeight="true" outlineLevel="0" collapsed="false">
      <c r="B120" s="1" t="s">
        <v>1750</v>
      </c>
      <c r="C120" s="103" t="n">
        <v>90</v>
      </c>
      <c r="D120" s="23" t="s">
        <v>1751</v>
      </c>
    </row>
    <row r="121" customFormat="false" ht="15" hidden="false" customHeight="true" outlineLevel="0" collapsed="false">
      <c r="B121" s="1" t="s">
        <v>1752</v>
      </c>
      <c r="C121" s="103" t="n">
        <v>95</v>
      </c>
      <c r="D121" s="23" t="s">
        <v>1753</v>
      </c>
    </row>
    <row r="122" customFormat="false" ht="15" hidden="false" customHeight="true" outlineLevel="0" collapsed="false">
      <c r="B122" s="1" t="s">
        <v>1754</v>
      </c>
      <c r="C122" s="103" t="n">
        <v>500</v>
      </c>
      <c r="D122" s="23" t="s">
        <v>1755</v>
      </c>
    </row>
    <row r="123" customFormat="false" ht="15" hidden="false" customHeight="true" outlineLevel="0" collapsed="false">
      <c r="B123" s="1" t="s">
        <v>1756</v>
      </c>
      <c r="C123" s="103" t="n">
        <v>0.02</v>
      </c>
      <c r="D123" s="23" t="s">
        <v>1757</v>
      </c>
    </row>
    <row r="124" customFormat="false" ht="15" hidden="false" customHeight="true" outlineLevel="0" collapsed="false">
      <c r="B124" s="1" t="s">
        <v>1758</v>
      </c>
      <c r="C124" s="103" t="n">
        <v>95</v>
      </c>
      <c r="D124" s="23" t="s">
        <v>1759</v>
      </c>
    </row>
    <row r="125" customFormat="false" ht="15" hidden="false" customHeight="true" outlineLevel="0" collapsed="false">
      <c r="B125" s="1" t="s">
        <v>1760</v>
      </c>
      <c r="C125" s="103" t="n">
        <v>70</v>
      </c>
      <c r="D125" s="23" t="s">
        <v>1761</v>
      </c>
    </row>
    <row r="126" customFormat="false" ht="15" hidden="false" customHeight="true" outlineLevel="0" collapsed="false">
      <c r="B126" s="1" t="s">
        <v>1762</v>
      </c>
      <c r="C126" s="107" t="n">
        <f aca="false">DATE(2026,9,30)</f>
        <v>46295</v>
      </c>
      <c r="D126" s="23" t="s">
        <v>1763</v>
      </c>
    </row>
    <row r="128" customFormat="false" ht="15" hidden="false" customHeight="true" outlineLevel="0" collapsed="false">
      <c r="B128" s="93" t="s">
        <v>1764</v>
      </c>
      <c r="C128" s="93" t="s">
        <v>1521</v>
      </c>
      <c r="D128" s="93" t="s">
        <v>1522</v>
      </c>
    </row>
    <row r="129" customFormat="false" ht="15" hidden="false" customHeight="true" outlineLevel="0" collapsed="false">
      <c r="B129" s="1" t="s">
        <v>1765</v>
      </c>
      <c r="C129" s="103" t="n">
        <f aca="false">IF(In_assumeSet="Cautious",1,0)</f>
        <v>0</v>
      </c>
      <c r="D129" s="23"/>
    </row>
    <row r="130" customFormat="false" ht="15" hidden="false" customHeight="true" outlineLevel="0" collapsed="false">
      <c r="B130" s="1" t="s">
        <v>1766</v>
      </c>
      <c r="C130" s="104" t="n">
        <f aca="false">IF(Has_infl=1,In_infl,Set_infl)</f>
        <v>0.02</v>
      </c>
      <c r="D130" s="23" t="s">
        <v>1767</v>
      </c>
    </row>
    <row r="131" customFormat="false" ht="15" hidden="false" customHeight="true" outlineLevel="0" collapsed="false">
      <c r="B131" s="1" t="s">
        <v>1768</v>
      </c>
      <c r="C131" s="104" t="n">
        <f aca="false">IF(Has_a_wage=1,In_a_wage,IF(AS_Cautious=1,Set_wage_Cautious,Set_wage))</f>
        <v>0.03</v>
      </c>
      <c r="D131" s="23"/>
    </row>
    <row r="132" customFormat="false" ht="15" hidden="false" customHeight="true" outlineLevel="0" collapsed="false">
      <c r="B132" s="1" t="s">
        <v>1769</v>
      </c>
      <c r="C132" s="104" t="n">
        <f aca="false">IF(Has_a_cash=1,In_a_cash,IF(AS_Cautious=1,Set_cash_Cautious,Set_cash))</f>
        <v>0.01</v>
      </c>
      <c r="D132" s="23"/>
    </row>
    <row r="133" customFormat="false" ht="15" hidden="false" customHeight="true" outlineLevel="0" collapsed="false">
      <c r="B133" s="1" t="s">
        <v>1770</v>
      </c>
      <c r="C133" s="104" t="n">
        <f aca="false">IF(Has_a_inv=1,In_a_inv,IF(AS_Cautious=1,Set_inv_Cautious,Set_inv))</f>
        <v>0.026</v>
      </c>
      <c r="D133" s="23"/>
    </row>
    <row r="134" customFormat="false" ht="15" hidden="false" customHeight="true" outlineLevel="0" collapsed="false">
      <c r="B134" s="1" t="s">
        <v>1771</v>
      </c>
      <c r="C134" s="104" t="n">
        <f aca="false">IF(Has_a_pen=1,In_a_pen,IF(AS_Cautious=1,Set_pen_Cautious,Set_pen))</f>
        <v>0.045</v>
      </c>
      <c r="D134" s="23"/>
    </row>
    <row r="135" customFormat="false" ht="15" hidden="false" customHeight="true" outlineLevel="0" collapsed="false">
      <c r="B135" s="1" t="s">
        <v>1772</v>
      </c>
      <c r="C135" s="104" t="n">
        <f aca="false">IF(Has_a_penRet=1,In_a_penRet,IF(AS_Cautious=1,Set_penRet_Cautious,Set_penRet))</f>
        <v>0.0315</v>
      </c>
      <c r="D135" s="23"/>
    </row>
    <row r="136" customFormat="false" ht="15" hidden="false" customHeight="true" outlineLevel="0" collapsed="false">
      <c r="B136" s="1" t="s">
        <v>1773</v>
      </c>
      <c r="C136" s="104" t="n">
        <f aca="false">IF(Has_a_mortRate=1,In_a_mortRate,Set_mortRate)</f>
        <v>0.0348</v>
      </c>
      <c r="D136" s="23" t="s">
        <v>1774</v>
      </c>
    </row>
    <row r="137" customFormat="false" ht="15" hidden="false" customHeight="true" outlineLevel="0" collapsed="false">
      <c r="B137" s="1" t="s">
        <v>1775</v>
      </c>
      <c r="C137" s="103" t="n">
        <f aca="false">IF(Has_a_cardRate=1,In_a_cardRate,PR_FbCard)</f>
        <v>0.2</v>
      </c>
      <c r="D137" s="23" t="s">
        <v>1776</v>
      </c>
    </row>
    <row r="138" customFormat="false" ht="15" hidden="false" customHeight="true" outlineLevel="0" collapsed="false">
      <c r="B138" s="1" t="s">
        <v>1777</v>
      </c>
      <c r="C138" s="104" t="n">
        <f aca="false">IF(Has_a_loanRate=1,In_a_loanRate,Set_loanRate)</f>
        <v>0.0672</v>
      </c>
      <c r="D138" s="23" t="s">
        <v>1778</v>
      </c>
    </row>
    <row r="139" customFormat="false" ht="15" hidden="false" customHeight="true" outlineLevel="0" collapsed="false">
      <c r="B139" s="1" t="s">
        <v>1779</v>
      </c>
      <c r="C139" s="103" t="n">
        <f aca="false">IF(Has_a_planEnd=1,In_a_planEnd,IF(In_partner="Yes",PR_FbPlanEnd2,PR_FbPlanEnd1))</f>
        <v>90</v>
      </c>
      <c r="D139" s="23" t="s">
        <v>1780</v>
      </c>
    </row>
    <row r="140" customFormat="false" ht="15" hidden="false" customHeight="true" outlineLevel="0" collapsed="false">
      <c r="B140" s="1" t="s">
        <v>1781</v>
      </c>
      <c r="C140" s="103" t="n">
        <f aca="true">IF(Has_a_startYear=1,In_a_startYear,IF(TODAY()&gt;PR_StartSwitch,Rules_Year_Next,Rules_Year))</f>
        <v>2027</v>
      </c>
      <c r="D140" s="23"/>
    </row>
    <row r="141" customFormat="false" ht="15" hidden="false" customHeight="true" outlineLevel="0" collapsed="false">
      <c r="B141" s="1" t="s">
        <v>1782</v>
      </c>
      <c r="C141" s="103" t="n">
        <f aca="false">IF(AND(In_partner="Yes",In_income&gt;0,In_pIncome&gt;0,In_work="Employed"),1,0)</f>
        <v>0</v>
      </c>
      <c r="D141" s="23"/>
    </row>
    <row r="142" customFormat="false" ht="15" hidden="false" customHeight="true" outlineLevel="0" collapsed="false">
      <c r="B142" s="1" t="s">
        <v>1452</v>
      </c>
      <c r="C142" s="103" t="n">
        <f aca="false">IF(Has_a_safetyMonths=1,In_a_safetyMonths,IF(AS_TwoSecure=1,Set_safetyMonthsTwo,Set_safetyMonths))</f>
        <v>6</v>
      </c>
      <c r="D142" s="23"/>
    </row>
    <row r="143" customFormat="false" ht="15" hidden="false" customHeight="true" outlineLevel="0" collapsed="false">
      <c r="B143" s="1" t="s">
        <v>1783</v>
      </c>
      <c r="C143" s="103" t="n">
        <f aca="false">IF(Has_a_cashYears=1,In_a_cashYears,Set_cashYears)</f>
        <v>5</v>
      </c>
      <c r="D143" s="23"/>
    </row>
    <row r="144" customFormat="false" ht="15" hidden="false" customHeight="true" outlineLevel="0" collapsed="false">
      <c r="B144" s="1" t="s">
        <v>1458</v>
      </c>
      <c r="C144" s="104" t="n">
        <f aca="false">IF(Has_a_saveShare=1,In_a_saveShare,Set_saveShare)</f>
        <v>0.5</v>
      </c>
      <c r="D144" s="23"/>
    </row>
    <row r="145" customFormat="false" ht="15" hidden="false" customHeight="true" outlineLevel="0" collapsed="false">
      <c r="B145" s="1" t="s">
        <v>1460</v>
      </c>
      <c r="C145" s="108" t="n">
        <f aca="false">IF(Has_a_noAnswer=1,In_a_noAnswer,Set_noAnswer)</f>
        <v>300</v>
      </c>
      <c r="D145" s="23"/>
    </row>
    <row r="146" customFormat="false" ht="15" hidden="false" customHeight="true" outlineLevel="0" collapsed="false">
      <c r="B146" s="1" t="s">
        <v>1784</v>
      </c>
      <c r="C146" s="104" t="n">
        <f aca="false">IF(Has_a_investShare=1,In_a_investShare,Set_investShare)</f>
        <v>0.4</v>
      </c>
      <c r="D146" s="23"/>
    </row>
    <row r="147" customFormat="false" ht="15" hidden="false" customHeight="true" outlineLevel="0" collapsed="false">
      <c r="B147" s="1" t="s">
        <v>1785</v>
      </c>
      <c r="C147" s="103" t="n">
        <f aca="false">IF(Has_a_accessAge=1,In_a_accessAge,Set_accessAge)</f>
        <v>60</v>
      </c>
      <c r="D147" s="23"/>
    </row>
    <row r="148" customFormat="false" ht="15" hidden="false" customHeight="true" outlineLevel="0" collapsed="false">
      <c r="B148" s="1" t="s">
        <v>1786</v>
      </c>
      <c r="C148" s="104" t="n">
        <f aca="false">IF(Has_a_lumpSum=1,In_a_lumpSum,Set_lumpSum)</f>
        <v>0.25</v>
      </c>
      <c r="D148" s="23"/>
    </row>
    <row r="149" customFormat="false" ht="15" hidden="false" customHeight="true" outlineLevel="0" collapsed="false">
      <c r="B149" s="1" t="s">
        <v>1787</v>
      </c>
      <c r="C149" s="103" t="str">
        <f aca="false">IF(Has_a_drawRule=1,In_a_drawRule,Set_drawRule)</f>
        <v>spread</v>
      </c>
      <c r="D149" s="23"/>
    </row>
    <row r="150" customFormat="false" ht="15" hidden="false" customHeight="true" outlineLevel="0" collapsed="false">
      <c r="B150" s="1" t="s">
        <v>1788</v>
      </c>
      <c r="C150" s="103" t="n">
        <f aca="false">IF(Has_a_drawFixed=1,In_a_drawFixed,PR_FbDrawFixed)</f>
        <v>20000</v>
      </c>
      <c r="D150" s="23"/>
    </row>
    <row r="151" customFormat="false" ht="15" hidden="false" customHeight="true" outlineLevel="0" collapsed="false">
      <c r="B151" s="1" t="s">
        <v>1789</v>
      </c>
      <c r="C151" s="103" t="str">
        <f aca="false">IF(Has_a_bands=1,In_a_bands,Set_bands)</f>
        <v>prices</v>
      </c>
      <c r="D151" s="23"/>
    </row>
    <row r="152" customFormat="false" ht="15" hidden="false" customHeight="true" outlineLevel="0" collapsed="false">
      <c r="B152" s="1" t="s">
        <v>1790</v>
      </c>
      <c r="C152" s="103" t="str">
        <f aca="false">IF(Has_a_spGrow=1,In_a_spGrow,Set_spGrow)</f>
        <v>prices</v>
      </c>
      <c r="D152" s="23"/>
    </row>
    <row r="153" customFormat="false" ht="15" hidden="false" customHeight="true" outlineLevel="0" collapsed="false">
      <c r="B153" s="1" t="s">
        <v>1791</v>
      </c>
      <c r="C153" s="104" t="n">
        <f aca="false">IF(Has_a_retireSpend=1,In_a_retireSpend,Set_retireSpend)</f>
        <v>0.8</v>
      </c>
      <c r="D153" s="23"/>
    </row>
    <row r="154" customFormat="false" ht="15" hidden="false" customHeight="true" outlineLevel="0" collapsed="false">
      <c r="B154" s="1" t="s">
        <v>1792</v>
      </c>
      <c r="C154" s="104" t="n">
        <f aca="false">IF(Has_a_ownShare=1,In_a_ownShare,IF(In_work="Self-employed",1,Set_ownShare))</f>
        <v>0.5</v>
      </c>
      <c r="D154" s="23"/>
    </row>
    <row r="155" customFormat="false" ht="15" hidden="false" customHeight="true" outlineLevel="0" collapsed="false">
      <c r="B155" s="1" t="s">
        <v>1793</v>
      </c>
      <c r="C155" s="103" t="n">
        <f aca="false">IF(Has_a_penChg=1,In_a_penChg,PR_FbPenChg)</f>
        <v>0.01</v>
      </c>
      <c r="D155" s="23"/>
    </row>
    <row r="156" customFormat="false" ht="15" hidden="false" customHeight="true" outlineLevel="0" collapsed="false">
      <c r="B156" s="1" t="s">
        <v>1794</v>
      </c>
      <c r="C156" s="103" t="str">
        <f aca="false">IF(In_sp="","Not sure",In_sp)</f>
        <v>Not sure</v>
      </c>
      <c r="D156" s="23"/>
    </row>
    <row r="157" customFormat="false" ht="15" hidden="false" customHeight="true" outlineLevel="0" collapsed="false">
      <c r="B157" s="1" t="s">
        <v>1795</v>
      </c>
      <c r="C157" s="103" t="n">
        <f aca="false">IF(Has_a_spWeek=1,In_a_spWeek,PR_SPweek*IF(AS_SpOwn="Partly",PR_FbSpPartly,PR_FbSpOther))</f>
        <v>239.44</v>
      </c>
      <c r="D157" s="23"/>
    </row>
    <row r="158" customFormat="false" ht="15" hidden="false" customHeight="true" outlineLevel="0" collapsed="false">
      <c r="B158" s="1" t="s">
        <v>1796</v>
      </c>
      <c r="C158" s="103" t="str">
        <f aca="false">IF(In_pSp="","Not sure",In_pSp)</f>
        <v>Not sure</v>
      </c>
      <c r="D158" s="23"/>
    </row>
    <row r="159" customFormat="false" ht="15" hidden="false" customHeight="true" outlineLevel="0" collapsed="false">
      <c r="B159" s="1" t="s">
        <v>1797</v>
      </c>
      <c r="C159" s="103" t="n">
        <f aca="false">IF(Has_a_pSpWeek=1,In_a_pSpWeek,PR_SPweek*IF(AS_PSpOwn="Own partial",PR_FbSpPartly,PR_FbSpOther))</f>
        <v>239.44</v>
      </c>
      <c r="D159" s="23"/>
    </row>
    <row r="160" customFormat="false" ht="15" hidden="false" customHeight="true" outlineLevel="0" collapsed="false">
      <c r="B160" s="1" t="s">
        <v>1798</v>
      </c>
      <c r="C160" s="103" t="n">
        <f aca="false">PR_SPweek*PR_Weeks</f>
        <v>15563.6</v>
      </c>
      <c r="D160" s="23"/>
    </row>
    <row r="162" customFormat="false" ht="15" hidden="false" customHeight="true" outlineLevel="0" collapsed="false">
      <c r="B162" s="93" t="s">
        <v>1799</v>
      </c>
      <c r="C162" s="93" t="s">
        <v>1521</v>
      </c>
      <c r="D162" s="93" t="s">
        <v>1522</v>
      </c>
    </row>
    <row r="163" customFormat="false" ht="15" hidden="false" customHeight="true" outlineLevel="0" collapsed="false">
      <c r="B163" s="1" t="s">
        <v>1800</v>
      </c>
      <c r="C163" s="103" t="str">
        <f aca="false">IF(In_work&lt;&gt;"",In_work,IF(In_income&gt;0,"Employed",""))</f>
        <v/>
      </c>
      <c r="D163" s="23"/>
    </row>
    <row r="164" customFormat="false" ht="15" hidden="false" customHeight="true" outlineLevel="0" collapsed="false">
      <c r="B164" s="1" t="s">
        <v>720</v>
      </c>
      <c r="C164" s="103" t="n">
        <f aca="false">In_age</f>
        <v>0</v>
      </c>
      <c r="D164" s="23"/>
    </row>
    <row r="165" customFormat="false" ht="15" hidden="false" customHeight="true" outlineLevel="0" collapsed="false">
      <c r="B165" s="1" t="s">
        <v>784</v>
      </c>
      <c r="C165" s="103" t="n">
        <f aca="false">IF(Has_retireAge=1,In_retireAge,PR_FbRetireAge)</f>
        <v>66</v>
      </c>
      <c r="D165" s="23"/>
    </row>
    <row r="166" customFormat="false" ht="15" hidden="false" customHeight="true" outlineLevel="0" collapsed="false">
      <c r="B166" s="1" t="s">
        <v>1801</v>
      </c>
      <c r="C166" s="103" t="n">
        <f aca="false">IF(In_partner="Yes",1,0)</f>
        <v>0</v>
      </c>
      <c r="D166" s="23"/>
    </row>
    <row r="167" customFormat="false" ht="15" hidden="false" customHeight="true" outlineLevel="0" collapsed="false">
      <c r="B167" s="1" t="s">
        <v>1802</v>
      </c>
      <c r="C167" s="103" t="n">
        <f aca="false">IF(AND(F_Partner=1,In_married="Yes"),1,0)</f>
        <v>0</v>
      </c>
      <c r="D167" s="23"/>
    </row>
    <row r="168" customFormat="false" ht="15" hidden="false" customHeight="true" outlineLevel="0" collapsed="false">
      <c r="B168" s="1" t="s">
        <v>1803</v>
      </c>
      <c r="C168" s="103" t="n">
        <f aca="false">IF(In_work="Not working",0,In_income)</f>
        <v>0</v>
      </c>
      <c r="D168" s="23"/>
    </row>
    <row r="169" customFormat="false" ht="15" hidden="false" customHeight="true" outlineLevel="0" collapsed="false">
      <c r="B169" s="1" t="s">
        <v>1804</v>
      </c>
      <c r="C169" s="103" t="n">
        <f aca="false">IF(F_Partner=1,In_pIncome,0)</f>
        <v>0</v>
      </c>
      <c r="D169" s="23"/>
    </row>
    <row r="170" customFormat="false" ht="15" hidden="false" customHeight="true" outlineLevel="0" collapsed="false">
      <c r="B170" s="1" t="s">
        <v>1805</v>
      </c>
      <c r="C170" s="103" t="n">
        <f aca="false">IF(F_Partner=1,IF(In_pAge&gt;0,In_pAge,In_age),0)</f>
        <v>0</v>
      </c>
      <c r="D170" s="23"/>
    </row>
    <row r="171" customFormat="false" ht="15" hidden="false" customHeight="true" outlineLevel="0" collapsed="false">
      <c r="B171" s="1" t="s">
        <v>1806</v>
      </c>
      <c r="C171" s="103" t="n">
        <f aca="false">IF(Has_pRet=1,In_pRet,0)</f>
        <v>0</v>
      </c>
      <c r="D171" s="23"/>
    </row>
    <row r="172" customFormat="false" ht="15" hidden="false" customHeight="true" outlineLevel="0" collapsed="false">
      <c r="B172" s="1" t="s">
        <v>1807</v>
      </c>
      <c r="C172" s="103" t="n">
        <f aca="false">In_otherM</f>
        <v>0</v>
      </c>
      <c r="D172" s="23"/>
    </row>
    <row r="173" customFormat="false" ht="15" hidden="false" customHeight="true" outlineLevel="0" collapsed="false">
      <c r="B173" s="1" t="s">
        <v>1808</v>
      </c>
      <c r="C173" s="103" t="n">
        <f aca="false">In_costsM</f>
        <v>0</v>
      </c>
      <c r="D173" s="23"/>
    </row>
    <row r="174" customFormat="false" ht="15" hidden="false" customHeight="true" outlineLevel="0" collapsed="false">
      <c r="B174" s="1" t="s">
        <v>1809</v>
      </c>
      <c r="C174" s="103" t="n">
        <f aca="false">In_oneOffY</f>
        <v>0</v>
      </c>
      <c r="D174" s="23"/>
    </row>
    <row r="175" customFormat="false" ht="15" hidden="false" customHeight="true" outlineLevel="0" collapsed="false">
      <c r="B175" s="1" t="s">
        <v>1810</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1811</v>
      </c>
      <c r="C177" s="103" t="n">
        <f aca="false">In_rentM</f>
        <v>0</v>
      </c>
      <c r="D177" s="23"/>
    </row>
    <row r="178" customFormat="false" ht="15" hidden="false" customHeight="true" outlineLevel="0" collapsed="false">
      <c r="B178" s="1" t="s">
        <v>1812</v>
      </c>
      <c r="C178" s="103" t="n">
        <f aca="false">IF(In_home="Own with mortgage",1,0)</f>
        <v>0</v>
      </c>
      <c r="D178" s="23"/>
    </row>
    <row r="179" customFormat="false" ht="15" hidden="false" customHeight="true" outlineLevel="0" collapsed="false">
      <c r="B179" s="1" t="s">
        <v>1813</v>
      </c>
      <c r="C179" s="104" t="n">
        <f aca="false">IF(In_mortRate&gt;0,In_mortRate,AS_MortRate)</f>
        <v>0.0348</v>
      </c>
      <c r="D179" s="23"/>
    </row>
    <row r="180" customFormat="false" ht="15" hidden="false" customHeight="true" outlineLevel="0" collapsed="false">
      <c r="B180" s="1" t="s">
        <v>1814</v>
      </c>
      <c r="C180" s="103" t="n">
        <f aca="false">IF(F_MortOn=1,In_mortPayM,0)</f>
        <v>0</v>
      </c>
      <c r="D180" s="23"/>
    </row>
    <row r="181" customFormat="false" ht="15" hidden="false" customHeight="true" outlineLevel="0" collapsed="false">
      <c r="B181" s="1" t="s">
        <v>1347</v>
      </c>
      <c r="C181" s="103" t="n">
        <f aca="false">IF(F_MortOn=1,In_mortBal,0)</f>
        <v>0</v>
      </c>
      <c r="D181" s="23"/>
    </row>
    <row r="182" customFormat="false" ht="15" hidden="false" customHeight="true" outlineLevel="0" collapsed="false">
      <c r="B182" s="1" t="s">
        <v>1815</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1816</v>
      </c>
      <c r="C183" s="103" t="n">
        <f aca="false">IF(AND(F_MortOn=1,F_MStated=0),1,0)</f>
        <v>0</v>
      </c>
      <c r="D183" s="23"/>
    </row>
    <row r="184" customFormat="false" ht="15" hidden="false" customHeight="true" outlineLevel="0" collapsed="false">
      <c r="B184" s="1" t="s">
        <v>1817</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1818</v>
      </c>
      <c r="C186" s="93" t="s">
        <v>1521</v>
      </c>
      <c r="D186" s="93" t="s">
        <v>1522</v>
      </c>
    </row>
    <row r="187" customFormat="false" ht="15" hidden="false" customHeight="true" outlineLevel="0" collapsed="false">
      <c r="B187" s="1" t="s">
        <v>1819</v>
      </c>
      <c r="C187" s="103" t="n">
        <f aca="false">Mort2_Bal</f>
        <v>0</v>
      </c>
      <c r="D187" s="23"/>
    </row>
    <row r="188" customFormat="false" ht="15" hidden="false" customHeight="true" outlineLevel="0" collapsed="false">
      <c r="B188" s="1" t="s">
        <v>1820</v>
      </c>
      <c r="C188" s="103" t="n">
        <f aca="false">Mort2_Pay</f>
        <v>0</v>
      </c>
      <c r="D188" s="23"/>
    </row>
    <row r="189" customFormat="false" ht="15" hidden="false" customHeight="true" outlineLevel="0" collapsed="false">
      <c r="B189" s="1" t="s">
        <v>1821</v>
      </c>
      <c r="C189" s="109" t="n">
        <f aca="false">Mort2_Rate</f>
        <v>0</v>
      </c>
      <c r="D189" s="23"/>
    </row>
    <row r="190" customFormat="false" ht="15" hidden="false" customHeight="true" outlineLevel="0" collapsed="false">
      <c r="B190" s="1" t="s">
        <v>1822</v>
      </c>
      <c r="C190" s="103" t="n">
        <f aca="false">IF(In_cardRate&gt;0,In_cardRate,AS_CardRate)</f>
        <v>0.2</v>
      </c>
      <c r="D190" s="23"/>
    </row>
    <row r="191" customFormat="false" ht="15" hidden="false" customHeight="true" outlineLevel="0" collapsed="false">
      <c r="B191" s="1" t="s">
        <v>1823</v>
      </c>
      <c r="C191" s="104" t="n">
        <f aca="false">IF(In_loanRate&gt;0,In_loanRate,AS_LoanRate)</f>
        <v>0.0672</v>
      </c>
      <c r="D191" s="23"/>
    </row>
    <row r="192" customFormat="false" ht="15" hidden="false" customHeight="true" outlineLevel="0" collapsed="false">
      <c r="B192" s="1" t="s">
        <v>1824</v>
      </c>
      <c r="C192" s="103" t="n">
        <f aca="false">In_loanBal+In_debt</f>
        <v>0</v>
      </c>
      <c r="D192" s="23"/>
    </row>
    <row r="193" customFormat="false" ht="15" hidden="false" customHeight="true" outlineLevel="0" collapsed="false">
      <c r="B193" s="1" t="s">
        <v>1825</v>
      </c>
      <c r="C193" s="104" t="n">
        <f aca="false">IF(M2_Bal&gt;0,IF(D_lB0&gt;0,(D_lB0*D_lR0+M2_Bal*M2_Rate)/(D_lB0+M2_Bal),M2_Rate),D_lR0)</f>
        <v>0.0672</v>
      </c>
      <c r="D193" s="23"/>
    </row>
    <row r="194" customFormat="false" ht="15" hidden="false" customHeight="true" outlineLevel="0" collapsed="false">
      <c r="B194" s="1" t="s">
        <v>1826</v>
      </c>
      <c r="C194" s="103" t="n">
        <f aca="false">In_cardBal</f>
        <v>0</v>
      </c>
      <c r="D194" s="23"/>
    </row>
    <row r="195" customFormat="false" ht="15" hidden="false" customHeight="true" outlineLevel="0" collapsed="false">
      <c r="B195" s="1" t="s">
        <v>1827</v>
      </c>
      <c r="C195" s="103" t="n">
        <f aca="false">D_lB0+M2_Bal</f>
        <v>0</v>
      </c>
      <c r="D195" s="23"/>
    </row>
    <row r="196" customFormat="false" ht="15" hidden="false" customHeight="true" outlineLevel="0" collapsed="false">
      <c r="B196" s="1" t="s">
        <v>1828</v>
      </c>
      <c r="C196" s="103" t="n">
        <f aca="false">In_loanPayM+In_debtPayM+M2_Pay</f>
        <v>0</v>
      </c>
      <c r="D196" s="23"/>
    </row>
    <row r="197" customFormat="false" ht="15" hidden="false" customHeight="true" outlineLevel="0" collapsed="false">
      <c r="B197" s="1" t="s">
        <v>1829</v>
      </c>
      <c r="C197" s="103" t="n">
        <f aca="false">(1+D_cR)^(1/12)-1</f>
        <v>0.0153094704997312</v>
      </c>
      <c r="D197" s="23"/>
    </row>
    <row r="198" customFormat="false" ht="15" hidden="false" customHeight="true" outlineLevel="0" collapsed="false">
      <c r="B198" s="1" t="s">
        <v>1830</v>
      </c>
      <c r="C198" s="103" t="n">
        <f aca="false">(1+D_lR)^(1/12)-1</f>
        <v>0.0054345803945961</v>
      </c>
      <c r="D198" s="23"/>
    </row>
    <row r="199" customFormat="false" ht="15" hidden="false" customHeight="true" outlineLevel="0" collapsed="false">
      <c r="B199" s="1" t="s">
        <v>1831</v>
      </c>
      <c r="C199" s="103" t="n">
        <f aca="false">IF(AND(F_CardBal&gt;0,In_cardPayM&gt;F_CardBal*D_iC),1,0)</f>
        <v>0</v>
      </c>
      <c r="D199" s="23"/>
    </row>
    <row r="200" customFormat="false" ht="15" hidden="false" customHeight="true" outlineLevel="0" collapsed="false">
      <c r="B200" s="1" t="s">
        <v>1832</v>
      </c>
      <c r="C200" s="103" t="n">
        <f aca="false">IF(AND(F_LoanBal&gt;0,D_lp&gt;F_LoanBal*D_iL),1,0)</f>
        <v>0</v>
      </c>
      <c r="D200" s="23"/>
    </row>
    <row r="201" customFormat="false" ht="15" hidden="false" customHeight="true" outlineLevel="0" collapsed="false">
      <c r="B201" s="1" t="s">
        <v>1833</v>
      </c>
      <c r="C201" s="103" t="n">
        <f aca="false">IF(F_CardBal&gt;0,IF(D_okC=1,In_cardPayM,IF(D_iC&lt;&gt;0,F_CardBal*D_iC/(1-(1+D_iC)^-60),F_CardBal/60)),0)</f>
        <v>0</v>
      </c>
      <c r="D201" s="23"/>
    </row>
    <row r="202" customFormat="false" ht="15" hidden="false" customHeight="true" outlineLevel="0" collapsed="false">
      <c r="B202" s="1" t="s">
        <v>1834</v>
      </c>
      <c r="C202" s="103" t="n">
        <f aca="false">IF(F_LoanBal&gt;0,IF(D_okL=1,D_lp,IF(D_iL&lt;&gt;0,F_LoanBal*D_iL/(1-(1+D_iL)^-60),F_LoanBal/60)),0)</f>
        <v>0</v>
      </c>
      <c r="D202" s="23"/>
    </row>
    <row r="203" customFormat="false" ht="15" hidden="false" customHeight="true" outlineLevel="0" collapsed="false">
      <c r="B203" s="1" t="s">
        <v>1835</v>
      </c>
      <c r="C203" s="103" t="n">
        <f aca="false">IF(AND(F_CardBal&gt;0,D_okC=0),1,0)</f>
        <v>0</v>
      </c>
      <c r="D203" s="23"/>
    </row>
    <row r="204" customFormat="false" ht="15" hidden="false" customHeight="true" outlineLevel="0" collapsed="false">
      <c r="B204" s="1" t="s">
        <v>1836</v>
      </c>
      <c r="C204" s="103" t="n">
        <f aca="false">IF(AND(F_LoanBal&gt;0,D_okL=0),1,0)</f>
        <v>0</v>
      </c>
      <c r="D204" s="23"/>
    </row>
    <row r="205" customFormat="false" ht="15" hidden="false" customHeight="true" outlineLevel="0" collapsed="false">
      <c r="B205" s="1" t="s">
        <v>1837</v>
      </c>
      <c r="C205" s="103" t="n">
        <f aca="false">F_CardBal+F_LoanBal</f>
        <v>0</v>
      </c>
      <c r="D205" s="23"/>
    </row>
    <row r="206" customFormat="false" ht="15" hidden="false" customHeight="true" outlineLevel="0" collapsed="false">
      <c r="B206" s="1" t="s">
        <v>1838</v>
      </c>
      <c r="C206" s="103" t="n">
        <f aca="false">F_CardPayM+F_LoanPayM</f>
        <v>0</v>
      </c>
      <c r="D206" s="23"/>
    </row>
    <row r="207" customFormat="false" ht="15" hidden="false" customHeight="true" outlineLevel="0" collapsed="false">
      <c r="B207" s="1" t="s">
        <v>1839</v>
      </c>
      <c r="C207" s="103" t="n">
        <f aca="false">F_CostsM+F_MortPayM+IF(F_Debt&gt;0,F_DebtPayM,0)</f>
        <v>0</v>
      </c>
      <c r="D207" s="23"/>
    </row>
    <row r="209" customFormat="false" ht="15" hidden="false" customHeight="true" outlineLevel="0" collapsed="false">
      <c r="B209" s="93" t="s">
        <v>1840</v>
      </c>
      <c r="C209" s="93" t="s">
        <v>1521</v>
      </c>
      <c r="D209" s="93" t="s">
        <v>1522</v>
      </c>
    </row>
    <row r="210" customFormat="false" ht="15" hidden="false" customHeight="true" outlineLevel="0" collapsed="false">
      <c r="B210" s="1" t="s">
        <v>1841</v>
      </c>
      <c r="C210" s="103" t="n">
        <f aca="false">IF(AND(In_work&lt;&gt;"Not working",F_Income&gt;0),In_pensionM,0)</f>
        <v>0</v>
      </c>
      <c r="D210" s="23"/>
    </row>
    <row r="211" customFormat="false" ht="15" hidden="false" customHeight="true" outlineLevel="0" collapsed="false">
      <c r="B211" s="1" t="s">
        <v>1842</v>
      </c>
      <c r="C211" s="103" t="n">
        <f aca="false">IF(Has_pensionOwnM=1,MIN(F_PenM,In_pensionOwnM),F_PenM*AS_OwnShare)</f>
        <v>0</v>
      </c>
      <c r="D211" s="23"/>
    </row>
    <row r="212" customFormat="false" ht="15" hidden="false" customHeight="true" outlineLevel="0" collapsed="false">
      <c r="B212" s="1" t="s">
        <v>1843</v>
      </c>
      <c r="C212" s="109" t="n">
        <f aca="false">AS_Pen+IF(Has_penChg=1,AS_PenChgTyp-In_penChg,0)</f>
        <v>0.045</v>
      </c>
      <c r="D212" s="23"/>
    </row>
    <row r="213" customFormat="false" ht="15" hidden="false" customHeight="true" outlineLevel="0" collapsed="false">
      <c r="B213" s="1" t="s">
        <v>1844</v>
      </c>
      <c r="C213" s="103" t="str">
        <f aca="false">IF(Has_spYears=1,In_spYears,IF(Has_a_spYears=1,In_a_spYears,""))</f>
        <v/>
      </c>
      <c r="D213" s="23"/>
    </row>
    <row r="214" customFormat="false" ht="15" hidden="false" customHeight="true" outlineLevel="0" collapsed="false">
      <c r="B214" s="1" t="s">
        <v>1845</v>
      </c>
      <c r="C214" s="103" t="n">
        <f aca="false">IF(F_YrsSP&lt;&gt;"",IF(F_YrsSP&lt;PR_SPmin,0,MIN(1,F_YrsSP/PR_SPfull)),IF(In_sp="Expect full",1,MIN(1,AS_SpWeek/PR_SPweek)))</f>
        <v>0.8</v>
      </c>
      <c r="D214" s="23"/>
    </row>
    <row r="215" customFormat="false" ht="15" hidden="false" customHeight="true" outlineLevel="0" collapsed="false">
      <c r="B215" s="1" t="s">
        <v>1846</v>
      </c>
      <c r="C215" s="103" t="str">
        <f aca="false">IF(F_Partner=1,AS_PSpOwn,"None")</f>
        <v>None</v>
      </c>
      <c r="D215" s="23"/>
    </row>
    <row r="216" customFormat="false" ht="15" hidden="false" customHeight="true" outlineLevel="0" collapsed="false">
      <c r="B216" s="1" t="s">
        <v>1847</v>
      </c>
      <c r="C216" s="103" t="n">
        <f aca="false">IF(F_PSpO="Qualified adult increase",1,0)</f>
        <v>0</v>
      </c>
      <c r="D216" s="23"/>
    </row>
    <row r="217" customFormat="false" ht="15" hidden="false" customHeight="true" outlineLevel="0" collapsed="false">
      <c r="B217" s="1" t="s">
        <v>1848</v>
      </c>
      <c r="C217" s="103" t="n">
        <f aca="false">IF(F_PSpO="Own full",1,IF(OR(F_PSpO="Own partial",F_PSpO="Not sure"),MIN(1,AS_PSpWeek/PR_SPweek),0))</f>
        <v>0</v>
      </c>
      <c r="D217" s="23"/>
    </row>
    <row r="218" customFormat="false" ht="15" hidden="false" customHeight="true" outlineLevel="0" collapsed="false">
      <c r="B218" s="1" t="s">
        <v>1849</v>
      </c>
      <c r="C218" s="103" t="n">
        <f aca="false">IF(AND(F_Work="Employed",In_age&gt;=PR_AEageMin,In_age&lt;=PR_AEageMax,F_Income&gt;PR_AEearnMin,F_PenM=0,In_ae&lt;&gt;"No"),1,0)</f>
        <v>0</v>
      </c>
      <c r="D218" s="23"/>
    </row>
    <row r="219" customFormat="false" ht="15" hidden="false" customHeight="true" outlineLevel="0" collapsed="false">
      <c r="B219" s="1" t="s">
        <v>1850</v>
      </c>
      <c r="C219" s="103" t="n">
        <f aca="false">IF(AND(In_credRent="Yes",In_home="Rent"),1,0)</f>
        <v>0</v>
      </c>
      <c r="D219" s="23"/>
    </row>
    <row r="220" customFormat="false" ht="15" hidden="false" customHeight="true" outlineLevel="0" collapsed="false">
      <c r="B220" s="1" t="s">
        <v>1851</v>
      </c>
      <c r="C220" s="103" t="n">
        <f aca="false">IF(AND(In_credLone="Yes",In_deps&gt;0,F_Partner=0),1,0)</f>
        <v>0</v>
      </c>
      <c r="D220" s="23"/>
    </row>
    <row r="221" customFormat="false" ht="15" hidden="false" customHeight="true" outlineLevel="0" collapsed="false">
      <c r="B221" s="1" t="s">
        <v>1852</v>
      </c>
      <c r="C221" s="103" t="n">
        <f aca="false">IF(AND(In_credCarer="Yes",F_Partner=1,In_married="Yes"),1,0)</f>
        <v>0</v>
      </c>
      <c r="D221" s="23"/>
    </row>
    <row r="222" customFormat="false" ht="15" hidden="false" customHeight="true" outlineLevel="0" collapsed="false">
      <c r="B222" s="1" t="s">
        <v>1853</v>
      </c>
      <c r="C222" s="103" t="n">
        <f aca="false">In_pension+IF(WI_Retire=1,In_wiL,0)</f>
        <v>0</v>
      </c>
      <c r="D222" s="23"/>
    </row>
    <row r="223" customFormat="false" ht="15" hidden="false" customHeight="true" outlineLevel="0" collapsed="false">
      <c r="B223" s="1" t="s">
        <v>1854</v>
      </c>
      <c r="C223" s="103" t="n">
        <f aca="false">MAX(F_R,AS_AccessAge)</f>
        <v>66</v>
      </c>
      <c r="D223" s="23"/>
    </row>
    <row r="224" customFormat="false" ht="15" hidden="false" customHeight="true" outlineLevel="0" collapsed="false">
      <c r="B224" s="1" t="s">
        <v>1855</v>
      </c>
      <c r="C224" s="103" t="n">
        <f aca="false">AS_End-F_Age</f>
        <v>90</v>
      </c>
      <c r="D224" s="23"/>
    </row>
    <row r="225" customFormat="false" ht="15" hidden="false" customHeight="true" outlineLevel="0" collapsed="false">
      <c r="B225" s="1" t="s">
        <v>1856</v>
      </c>
      <c r="C225" s="103" t="n">
        <f aca="false">IF(In_work="Self-employed",1,0)</f>
        <v>0</v>
      </c>
      <c r="D225" s="23"/>
    </row>
    <row r="226" customFormat="false" ht="15" hidden="false" customHeight="true" outlineLevel="0" collapsed="false">
      <c r="B226" s="1" t="s">
        <v>1857</v>
      </c>
      <c r="C226" s="103" t="n">
        <f aca="false">IF(AND(In_wiGoal&gt;0,INDEX(Goal_Kind_List,MAX(1,In_wiGoal))="retire"),1,0)</f>
        <v>0</v>
      </c>
      <c r="D226" s="23" t="s">
        <v>1858</v>
      </c>
    </row>
    <row r="227" customFormat="false" ht="15" hidden="false" customHeight="true" outlineLevel="0" collapsed="false">
      <c r="B227" s="1" t="s">
        <v>1859</v>
      </c>
      <c r="C227" s="103" t="n">
        <f aca="false">In_wiM</f>
        <v>0</v>
      </c>
      <c r="D227" s="23"/>
    </row>
    <row r="228" customFormat="false" ht="15" hidden="false" customHeight="true" outlineLevel="0" collapsed="false">
      <c r="B228" s="1" t="s">
        <v>1860</v>
      </c>
      <c r="C228" s="103" t="n">
        <f aca="false">In_wiL</f>
        <v>0</v>
      </c>
      <c r="D228" s="23"/>
    </row>
    <row r="232" customFormat="false" ht="108.75" hidden="false" customHeight="true" outlineLevel="0" collapsed="false">
      <c r="A232" s="93" t="s">
        <v>1861</v>
      </c>
      <c r="B232" s="100" t="s">
        <v>1862</v>
      </c>
      <c r="C232" s="100" t="s">
        <v>720</v>
      </c>
      <c r="D232" s="100" t="s">
        <v>893</v>
      </c>
      <c r="E232" s="100" t="s">
        <v>1863</v>
      </c>
      <c r="F232" s="100" t="s">
        <v>1864</v>
      </c>
      <c r="G232" s="100" t="s">
        <v>1865</v>
      </c>
      <c r="H232" s="100" t="s">
        <v>1866</v>
      </c>
      <c r="I232" s="100" t="s">
        <v>1867</v>
      </c>
      <c r="J232" s="100" t="s">
        <v>1868</v>
      </c>
      <c r="K232" s="100" t="s">
        <v>1869</v>
      </c>
      <c r="L232" s="100" t="s">
        <v>1870</v>
      </c>
      <c r="M232" s="100" t="s">
        <v>1871</v>
      </c>
      <c r="N232" s="100" t="s">
        <v>1872</v>
      </c>
      <c r="O232" s="100" t="s">
        <v>1873</v>
      </c>
      <c r="P232" s="100" t="s">
        <v>1874</v>
      </c>
      <c r="Q232" s="100" t="s">
        <v>1875</v>
      </c>
      <c r="R232" s="100" t="s">
        <v>1876</v>
      </c>
      <c r="S232" s="100" t="s">
        <v>1877</v>
      </c>
      <c r="T232" s="100" t="s">
        <v>1878</v>
      </c>
      <c r="U232" s="100" t="s">
        <v>1879</v>
      </c>
      <c r="V232" s="100" t="s">
        <v>1880</v>
      </c>
      <c r="W232" s="100" t="s">
        <v>1881</v>
      </c>
      <c r="X232" s="100" t="s">
        <v>1882</v>
      </c>
      <c r="Y232" s="100" t="s">
        <v>1883</v>
      </c>
      <c r="Z232" s="100" t="s">
        <v>1884</v>
      </c>
      <c r="AA232" s="100" t="s">
        <v>1885</v>
      </c>
      <c r="AB232" s="100" t="s">
        <v>1886</v>
      </c>
      <c r="AC232" s="100" t="s">
        <v>1887</v>
      </c>
      <c r="AD232" s="100" t="s">
        <v>1888</v>
      </c>
      <c r="AE232" s="100" t="s">
        <v>1889</v>
      </c>
      <c r="AF232" s="100" t="s">
        <v>1890</v>
      </c>
      <c r="AG232" s="100" t="s">
        <v>1891</v>
      </c>
      <c r="AH232" s="100" t="s">
        <v>1892</v>
      </c>
      <c r="AI232" s="100" t="s">
        <v>1893</v>
      </c>
      <c r="AJ232" s="100" t="s">
        <v>1894</v>
      </c>
      <c r="AK232" s="100" t="s">
        <v>1895</v>
      </c>
      <c r="AL232" s="100" t="s">
        <v>1896</v>
      </c>
      <c r="AM232" s="100" t="s">
        <v>1897</v>
      </c>
      <c r="AN232" s="100" t="s">
        <v>1898</v>
      </c>
      <c r="AO232" s="100" t="s">
        <v>1899</v>
      </c>
      <c r="AP232" s="100" t="s">
        <v>1900</v>
      </c>
      <c r="AQ232" s="100" t="s">
        <v>1901</v>
      </c>
      <c r="AR232" s="100" t="s">
        <v>1902</v>
      </c>
      <c r="AS232" s="100" t="s">
        <v>1903</v>
      </c>
      <c r="AT232" s="100" t="s">
        <v>1904</v>
      </c>
      <c r="AU232" s="100" t="s">
        <v>1905</v>
      </c>
      <c r="AV232" s="100" t="s">
        <v>1906</v>
      </c>
      <c r="AW232" s="100" t="s">
        <v>1907</v>
      </c>
      <c r="AX232" s="100" t="s">
        <v>1908</v>
      </c>
      <c r="AY232" s="100" t="s">
        <v>1909</v>
      </c>
      <c r="AZ232" s="100" t="s">
        <v>1910</v>
      </c>
      <c r="BA232" s="100" t="s">
        <v>1911</v>
      </c>
      <c r="BB232" s="100" t="s">
        <v>1912</v>
      </c>
      <c r="BC232" s="100" t="s">
        <v>1913</v>
      </c>
      <c r="BD232" s="100" t="s">
        <v>1914</v>
      </c>
      <c r="BE232" s="100" t="s">
        <v>1915</v>
      </c>
      <c r="BF232" s="100" t="s">
        <v>1916</v>
      </c>
      <c r="BG232" s="100" t="s">
        <v>1917</v>
      </c>
      <c r="BH232" s="100" t="s">
        <v>1918</v>
      </c>
      <c r="BI232" s="100" t="s">
        <v>1919</v>
      </c>
      <c r="BJ232" s="100" t="s">
        <v>1920</v>
      </c>
      <c r="BK232" s="100" t="s">
        <v>1921</v>
      </c>
      <c r="BL232" s="100" t="s">
        <v>1922</v>
      </c>
      <c r="BM232" s="100" t="s">
        <v>1923</v>
      </c>
      <c r="BN232" s="100" t="s">
        <v>1924</v>
      </c>
      <c r="BO232" s="100" t="s">
        <v>1925</v>
      </c>
      <c r="BP232" s="100" t="s">
        <v>1926</v>
      </c>
      <c r="BQ232" s="100" t="s">
        <v>1927</v>
      </c>
      <c r="BR232" s="100" t="s">
        <v>1928</v>
      </c>
      <c r="BS232" s="100" t="s">
        <v>1929</v>
      </c>
      <c r="BT232" s="100" t="s">
        <v>1930</v>
      </c>
    </row>
    <row r="233" customFormat="false" ht="15" hidden="false" customHeight="true" outlineLevel="0" collapsed="false">
      <c r="A233" s="1" t="s">
        <v>1931</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1932</v>
      </c>
    </row>
    <row r="2" customFormat="false" ht="48" hidden="false" customHeight="true" outlineLevel="0" collapsed="false">
      <c r="B2" s="91" t="s">
        <v>1933</v>
      </c>
      <c r="C2" s="91"/>
      <c r="D2" s="91"/>
      <c r="E2" s="91"/>
      <c r="F2" s="91"/>
      <c r="G2" s="91"/>
      <c r="H2" s="91"/>
      <c r="I2" s="91"/>
      <c r="J2" s="91"/>
      <c r="K2" s="91"/>
      <c r="L2" s="91"/>
    </row>
    <row r="6" customFormat="false" ht="122.25" hidden="false" customHeight="true" outlineLevel="0" collapsed="false">
      <c r="A6" s="93" t="s">
        <v>1861</v>
      </c>
      <c r="B6" s="100" t="s">
        <v>1862</v>
      </c>
      <c r="C6" s="100" t="s">
        <v>1934</v>
      </c>
      <c r="D6" s="100" t="s">
        <v>720</v>
      </c>
      <c r="E6" s="100" t="s">
        <v>1863</v>
      </c>
      <c r="F6" s="100" t="s">
        <v>1865</v>
      </c>
      <c r="G6" s="100" t="s">
        <v>1935</v>
      </c>
      <c r="H6" s="100" t="s">
        <v>1936</v>
      </c>
      <c r="I6" s="100" t="s">
        <v>1937</v>
      </c>
      <c r="J6" s="100" t="s">
        <v>1938</v>
      </c>
      <c r="K6" s="100" t="s">
        <v>1939</v>
      </c>
      <c r="L6" s="100" t="s">
        <v>1940</v>
      </c>
      <c r="M6" s="100" t="s">
        <v>1941</v>
      </c>
      <c r="N6" s="100" t="s">
        <v>1942</v>
      </c>
      <c r="O6" s="100" t="s">
        <v>1943</v>
      </c>
      <c r="P6" s="100" t="s">
        <v>1944</v>
      </c>
      <c r="Q6" s="100" t="s">
        <v>1945</v>
      </c>
      <c r="R6" s="100" t="s">
        <v>1946</v>
      </c>
      <c r="S6" s="100" t="s">
        <v>1947</v>
      </c>
      <c r="T6" s="100" t="s">
        <v>1948</v>
      </c>
      <c r="U6" s="100" t="s">
        <v>1949</v>
      </c>
      <c r="V6" s="100" t="s">
        <v>1950</v>
      </c>
      <c r="W6" s="100" t="s">
        <v>1951</v>
      </c>
      <c r="X6" s="100" t="s">
        <v>1952</v>
      </c>
      <c r="Y6" s="100" t="s">
        <v>1953</v>
      </c>
      <c r="Z6" s="100" t="s">
        <v>1954</v>
      </c>
      <c r="AA6" s="100" t="s">
        <v>1955</v>
      </c>
      <c r="AB6" s="100" t="s">
        <v>1956</v>
      </c>
      <c r="AC6" s="100" t="s">
        <v>1957</v>
      </c>
      <c r="AD6" s="100" t="s">
        <v>1958</v>
      </c>
      <c r="AE6" s="100" t="s">
        <v>1959</v>
      </c>
      <c r="AF6" s="100" t="s">
        <v>1960</v>
      </c>
      <c r="AG6" s="100" t="s">
        <v>1961</v>
      </c>
      <c r="AH6" s="100" t="s">
        <v>1962</v>
      </c>
      <c r="AI6" s="100" t="s">
        <v>1963</v>
      </c>
      <c r="AJ6" s="100" t="s">
        <v>1964</v>
      </c>
      <c r="AK6" s="100" t="s">
        <v>1965</v>
      </c>
      <c r="AL6" s="100" t="s">
        <v>1966</v>
      </c>
      <c r="AM6" s="100" t="s">
        <v>1967</v>
      </c>
      <c r="AN6" s="100" t="s">
        <v>1968</v>
      </c>
      <c r="AO6" s="100" t="s">
        <v>1969</v>
      </c>
      <c r="AP6" s="100" t="s">
        <v>1970</v>
      </c>
      <c r="AQ6" s="100" t="s">
        <v>1971</v>
      </c>
      <c r="AR6" s="100" t="s">
        <v>1972</v>
      </c>
      <c r="AS6" s="100" t="s">
        <v>1973</v>
      </c>
      <c r="AT6" s="100" t="s">
        <v>1974</v>
      </c>
      <c r="AU6" s="100" t="s">
        <v>1975</v>
      </c>
      <c r="AV6" s="100" t="s">
        <v>1976</v>
      </c>
      <c r="AW6" s="100" t="s">
        <v>1977</v>
      </c>
      <c r="AX6" s="100" t="s">
        <v>1978</v>
      </c>
      <c r="AY6" s="100" t="s">
        <v>1979</v>
      </c>
      <c r="AZ6" s="100" t="s">
        <v>1980</v>
      </c>
      <c r="BA6" s="100" t="s">
        <v>1981</v>
      </c>
      <c r="BB6" s="100" t="s">
        <v>1982</v>
      </c>
      <c r="BC6" s="100" t="s">
        <v>1983</v>
      </c>
      <c r="BD6" s="100" t="s">
        <v>1984</v>
      </c>
      <c r="BE6" s="100" t="s">
        <v>1985</v>
      </c>
      <c r="BF6" s="100" t="s">
        <v>1986</v>
      </c>
      <c r="BG6" s="100" t="s">
        <v>1987</v>
      </c>
      <c r="BH6" s="100" t="s">
        <v>1988</v>
      </c>
      <c r="BI6" s="100" t="s">
        <v>1989</v>
      </c>
      <c r="BJ6" s="100" t="s">
        <v>1990</v>
      </c>
      <c r="BK6" s="100" t="s">
        <v>1991</v>
      </c>
      <c r="BL6" s="100" t="s">
        <v>1992</v>
      </c>
      <c r="BM6" s="100" t="s">
        <v>1993</v>
      </c>
      <c r="BN6" s="100" t="s">
        <v>1994</v>
      </c>
      <c r="BO6" s="100" t="s">
        <v>1995</v>
      </c>
      <c r="BP6" s="100" t="s">
        <v>1996</v>
      </c>
      <c r="BQ6" s="100" t="s">
        <v>1997</v>
      </c>
      <c r="BR6" s="100" t="s">
        <v>1998</v>
      </c>
      <c r="BS6" s="100" t="s">
        <v>1999</v>
      </c>
      <c r="BT6" s="100" t="s">
        <v>2000</v>
      </c>
      <c r="BU6" s="100" t="s">
        <v>2001</v>
      </c>
      <c r="BV6" s="100" t="s">
        <v>2002</v>
      </c>
      <c r="BW6" s="100" t="s">
        <v>2003</v>
      </c>
      <c r="BX6" s="100" t="s">
        <v>2004</v>
      </c>
      <c r="BY6" s="100" t="s">
        <v>2005</v>
      </c>
      <c r="BZ6" s="100" t="s">
        <v>2006</v>
      </c>
      <c r="CA6" s="100" t="s">
        <v>2007</v>
      </c>
      <c r="CB6" s="100" t="s">
        <v>2008</v>
      </c>
      <c r="CC6" s="100" t="s">
        <v>2009</v>
      </c>
      <c r="CD6" s="100" t="s">
        <v>2010</v>
      </c>
      <c r="CE6" s="100" t="s">
        <v>2011</v>
      </c>
      <c r="CF6" s="100" t="s">
        <v>2012</v>
      </c>
      <c r="CG6" s="100" t="s">
        <v>2013</v>
      </c>
      <c r="CH6" s="100" t="s">
        <v>2014</v>
      </c>
      <c r="CI6" s="100" t="s">
        <v>2015</v>
      </c>
      <c r="CJ6" s="100" t="s">
        <v>2016</v>
      </c>
      <c r="CK6" s="100" t="s">
        <v>2017</v>
      </c>
      <c r="CL6" s="100" t="s">
        <v>2018</v>
      </c>
      <c r="CM6" s="100" t="s">
        <v>2019</v>
      </c>
      <c r="CN6" s="100" t="s">
        <v>2020</v>
      </c>
      <c r="CO6" s="100" t="s">
        <v>2021</v>
      </c>
      <c r="CP6" s="100" t="s">
        <v>2022</v>
      </c>
      <c r="CQ6" s="100" t="s">
        <v>2023</v>
      </c>
      <c r="CR6" s="100" t="s">
        <v>2024</v>
      </c>
      <c r="CS6" s="100" t="s">
        <v>2025</v>
      </c>
      <c r="CT6" s="100" t="s">
        <v>2026</v>
      </c>
      <c r="CU6" s="100" t="s">
        <v>2027</v>
      </c>
      <c r="CV6" s="100" t="s">
        <v>2028</v>
      </c>
      <c r="CW6" s="100" t="s">
        <v>2029</v>
      </c>
      <c r="CX6" s="100" t="s">
        <v>2030</v>
      </c>
      <c r="CY6" s="100" t="s">
        <v>2031</v>
      </c>
      <c r="CZ6" s="100" t="s">
        <v>2032</v>
      </c>
      <c r="DA6" s="100" t="s">
        <v>2033</v>
      </c>
      <c r="DB6" s="100" t="s">
        <v>2034</v>
      </c>
      <c r="DC6" s="100" t="s">
        <v>2035</v>
      </c>
      <c r="DD6" s="100" t="s">
        <v>2036</v>
      </c>
      <c r="DE6" s="100" t="s">
        <v>2037</v>
      </c>
      <c r="DF6" s="100" t="s">
        <v>2038</v>
      </c>
      <c r="DG6" s="100" t="s">
        <v>2039</v>
      </c>
      <c r="DH6" s="100" t="s">
        <v>2040</v>
      </c>
      <c r="DI6" s="100" t="s">
        <v>2041</v>
      </c>
      <c r="DJ6" s="100" t="s">
        <v>2042</v>
      </c>
      <c r="DK6" s="100" t="s">
        <v>2043</v>
      </c>
      <c r="DL6" s="100" t="s">
        <v>2044</v>
      </c>
      <c r="DM6" s="100" t="s">
        <v>2045</v>
      </c>
      <c r="DN6" s="100" t="s">
        <v>2046</v>
      </c>
      <c r="DO6" s="100" t="s">
        <v>2047</v>
      </c>
      <c r="DP6" s="100" t="s">
        <v>2048</v>
      </c>
      <c r="DQ6" s="100" t="s">
        <v>2049</v>
      </c>
      <c r="DR6" s="100" t="s">
        <v>2050</v>
      </c>
      <c r="DS6" s="100" t="s">
        <v>2051</v>
      </c>
      <c r="DT6" s="100" t="s">
        <v>2052</v>
      </c>
      <c r="DU6" s="100" t="s">
        <v>2053</v>
      </c>
      <c r="DV6" s="100" t="s">
        <v>2054</v>
      </c>
      <c r="DW6" s="100" t="s">
        <v>2055</v>
      </c>
      <c r="DX6" s="100" t="s">
        <v>2056</v>
      </c>
      <c r="DY6" s="100" t="s">
        <v>2057</v>
      </c>
      <c r="DZ6" s="100" t="s">
        <v>2058</v>
      </c>
      <c r="EA6" s="100" t="s">
        <v>2059</v>
      </c>
      <c r="EB6" s="100" t="s">
        <v>2060</v>
      </c>
      <c r="EC6" s="100" t="s">
        <v>2061</v>
      </c>
      <c r="ED6" s="100" t="s">
        <v>2062</v>
      </c>
      <c r="EE6" s="100" t="s">
        <v>2063</v>
      </c>
      <c r="EF6" s="100" t="s">
        <v>2064</v>
      </c>
      <c r="EG6" s="100" t="s">
        <v>2065</v>
      </c>
      <c r="EH6" s="100" t="s">
        <v>2066</v>
      </c>
      <c r="EI6" s="100" t="s">
        <v>2067</v>
      </c>
      <c r="EJ6" s="100" t="s">
        <v>2068</v>
      </c>
      <c r="EK6" s="100" t="s">
        <v>2069</v>
      </c>
      <c r="EL6" s="100" t="s">
        <v>2070</v>
      </c>
      <c r="EM6" s="100" t="s">
        <v>2071</v>
      </c>
      <c r="EN6" s="100" t="s">
        <v>2072</v>
      </c>
      <c r="EO6" s="100" t="s">
        <v>2073</v>
      </c>
      <c r="EP6" s="100" t="s">
        <v>2074</v>
      </c>
      <c r="EQ6" s="100" t="s">
        <v>2075</v>
      </c>
      <c r="ER6" s="100" t="s">
        <v>2076</v>
      </c>
      <c r="ES6" s="100" t="s">
        <v>2077</v>
      </c>
      <c r="ET6" s="100" t="s">
        <v>2078</v>
      </c>
      <c r="EU6" s="100" t="s">
        <v>2079</v>
      </c>
      <c r="EV6" s="100" t="s">
        <v>2080</v>
      </c>
      <c r="EW6" s="100" t="s">
        <v>2081</v>
      </c>
      <c r="EX6" s="100" t="s">
        <v>2082</v>
      </c>
      <c r="EY6" s="100" t="s">
        <v>2083</v>
      </c>
      <c r="EZ6" s="100" t="s">
        <v>2084</v>
      </c>
      <c r="FA6" s="100" t="s">
        <v>2085</v>
      </c>
      <c r="FB6" s="100" t="s">
        <v>2086</v>
      </c>
      <c r="FC6" s="100" t="s">
        <v>2087</v>
      </c>
      <c r="FD6" s="100" t="s">
        <v>2088</v>
      </c>
      <c r="FE6" s="100" t="s">
        <v>2089</v>
      </c>
      <c r="FF6" s="100" t="s">
        <v>2090</v>
      </c>
      <c r="FG6" s="100" t="s">
        <v>2091</v>
      </c>
      <c r="FH6" s="100" t="s">
        <v>2092</v>
      </c>
      <c r="FI6" s="100" t="s">
        <v>2093</v>
      </c>
      <c r="FJ6" s="100" t="s">
        <v>2094</v>
      </c>
      <c r="FK6" s="100" t="s">
        <v>2095</v>
      </c>
      <c r="FL6" s="100" t="s">
        <v>2096</v>
      </c>
      <c r="FM6" s="100" t="s">
        <v>2097</v>
      </c>
      <c r="FN6" s="100" t="s">
        <v>2098</v>
      </c>
      <c r="FO6" s="100" t="s">
        <v>2099</v>
      </c>
      <c r="FP6" s="100" t="s">
        <v>2100</v>
      </c>
      <c r="FQ6" s="100" t="s">
        <v>2101</v>
      </c>
      <c r="FR6" s="100" t="s">
        <v>2102</v>
      </c>
      <c r="FS6" s="100" t="s">
        <v>2103</v>
      </c>
      <c r="FT6" s="100" t="s">
        <v>2104</v>
      </c>
      <c r="FU6" s="100" t="s">
        <v>2105</v>
      </c>
      <c r="FV6" s="100" t="s">
        <v>2106</v>
      </c>
      <c r="FW6" s="100" t="s">
        <v>2107</v>
      </c>
      <c r="FX6" s="100" t="s">
        <v>2108</v>
      </c>
      <c r="FY6" s="100" t="s">
        <v>2109</v>
      </c>
      <c r="FZ6" s="100" t="s">
        <v>2110</v>
      </c>
      <c r="GA6" s="100" t="s">
        <v>2111</v>
      </c>
      <c r="GB6" s="100" t="s">
        <v>2112</v>
      </c>
      <c r="GC6" s="100" t="s">
        <v>2113</v>
      </c>
      <c r="GD6" s="100" t="s">
        <v>2114</v>
      </c>
      <c r="GE6" s="100" t="s">
        <v>2115</v>
      </c>
      <c r="GF6" s="100" t="s">
        <v>2116</v>
      </c>
      <c r="GG6" s="100" t="s">
        <v>2117</v>
      </c>
      <c r="GH6" s="100" t="s">
        <v>2118</v>
      </c>
      <c r="GI6" s="100" t="s">
        <v>2119</v>
      </c>
      <c r="GJ6" s="100" t="s">
        <v>2120</v>
      </c>
      <c r="GK6" s="100" t="s">
        <v>2121</v>
      </c>
      <c r="GL6" s="100" t="s">
        <v>2122</v>
      </c>
      <c r="GM6" s="100" t="s">
        <v>2123</v>
      </c>
      <c r="GN6" s="100" t="s">
        <v>2124</v>
      </c>
      <c r="GO6" s="100" t="s">
        <v>2125</v>
      </c>
      <c r="GP6" s="100" t="s">
        <v>2126</v>
      </c>
      <c r="GQ6" s="100" t="s">
        <v>2127</v>
      </c>
      <c r="GR6" s="100" t="s">
        <v>2128</v>
      </c>
      <c r="GS6" s="100" t="s">
        <v>2129</v>
      </c>
      <c r="GT6" s="100" t="s">
        <v>2130</v>
      </c>
      <c r="GU6" s="100" t="s">
        <v>2131</v>
      </c>
      <c r="GV6" s="100" t="s">
        <v>2132</v>
      </c>
      <c r="GW6" s="100" t="s">
        <v>2133</v>
      </c>
      <c r="GX6" s="100" t="s">
        <v>2134</v>
      </c>
      <c r="GY6" s="100" t="s">
        <v>2135</v>
      </c>
      <c r="GZ6" s="100" t="s">
        <v>2136</v>
      </c>
      <c r="HA6" s="100" t="s">
        <v>2137</v>
      </c>
      <c r="HB6" s="100" t="s">
        <v>2138</v>
      </c>
      <c r="HC6" s="100" t="s">
        <v>2139</v>
      </c>
      <c r="HD6" s="100" t="s">
        <v>2140</v>
      </c>
      <c r="HE6" s="100" t="s">
        <v>2141</v>
      </c>
      <c r="HF6" s="100" t="s">
        <v>2142</v>
      </c>
      <c r="HG6" s="100" t="s">
        <v>2143</v>
      </c>
      <c r="HH6" s="100" t="s">
        <v>2144</v>
      </c>
      <c r="HI6" s="100" t="s">
        <v>2145</v>
      </c>
      <c r="HJ6" s="100" t="s">
        <v>2146</v>
      </c>
      <c r="HK6" s="100" t="s">
        <v>2147</v>
      </c>
      <c r="HL6" s="100" t="s">
        <v>2148</v>
      </c>
      <c r="HM6" s="100" t="s">
        <v>2149</v>
      </c>
      <c r="HN6" s="100" t="s">
        <v>2150</v>
      </c>
      <c r="HO6" s="100" t="s">
        <v>2151</v>
      </c>
      <c r="HP6" s="100" t="s">
        <v>2152</v>
      </c>
      <c r="HQ6" s="100" t="s">
        <v>2153</v>
      </c>
      <c r="HR6" s="100" t="s">
        <v>2154</v>
      </c>
      <c r="HS6" s="100" t="s">
        <v>2155</v>
      </c>
      <c r="HT6" s="100" t="s">
        <v>2156</v>
      </c>
      <c r="HU6" s="100" t="s">
        <v>2157</v>
      </c>
      <c r="HV6" s="100" t="s">
        <v>2158</v>
      </c>
      <c r="HW6" s="100" t="s">
        <v>2159</v>
      </c>
      <c r="HX6" s="100" t="s">
        <v>2160</v>
      </c>
      <c r="HY6" s="100" t="s">
        <v>2161</v>
      </c>
      <c r="HZ6" s="100" t="s">
        <v>2162</v>
      </c>
      <c r="IA6" s="100" t="s">
        <v>2163</v>
      </c>
      <c r="IB6" s="100" t="s">
        <v>2164</v>
      </c>
      <c r="IC6" s="100" t="s">
        <v>2165</v>
      </c>
      <c r="ID6" s="100" t="s">
        <v>2166</v>
      </c>
      <c r="IE6" s="100" t="s">
        <v>2167</v>
      </c>
      <c r="IF6" s="100" t="s">
        <v>2168</v>
      </c>
      <c r="IG6" s="100" t="s">
        <v>2169</v>
      </c>
      <c r="IH6" s="100" t="s">
        <v>2170</v>
      </c>
      <c r="II6" s="100" t="s">
        <v>2171</v>
      </c>
      <c r="IJ6" s="100" t="s">
        <v>2172</v>
      </c>
      <c r="IK6" s="100" t="s">
        <v>2173</v>
      </c>
      <c r="IL6" s="100" t="s">
        <v>2174</v>
      </c>
      <c r="IM6" s="100" t="s">
        <v>2175</v>
      </c>
      <c r="IN6" s="100" t="s">
        <v>2176</v>
      </c>
      <c r="IO6" s="100" t="s">
        <v>2177</v>
      </c>
      <c r="IP6" s="100" t="s">
        <v>2178</v>
      </c>
      <c r="IQ6" s="100" t="s">
        <v>2179</v>
      </c>
      <c r="IR6" s="100" t="s">
        <v>2180</v>
      </c>
      <c r="IS6" s="100" t="s">
        <v>2181</v>
      </c>
      <c r="IT6" s="100" t="s">
        <v>2182</v>
      </c>
      <c r="IU6" s="100" t="s">
        <v>2183</v>
      </c>
      <c r="IV6" s="100" t="s">
        <v>2184</v>
      </c>
      <c r="IW6" s="100" t="s">
        <v>2185</v>
      </c>
      <c r="IX6" s="100" t="s">
        <v>2186</v>
      </c>
      <c r="IY6" s="100" t="s">
        <v>2187</v>
      </c>
      <c r="IZ6" s="100" t="s">
        <v>2188</v>
      </c>
      <c r="JA6" s="100" t="s">
        <v>2189</v>
      </c>
      <c r="JB6" s="100" t="s">
        <v>2190</v>
      </c>
      <c r="JC6" s="100" t="s">
        <v>2191</v>
      </c>
      <c r="JD6" s="100" t="s">
        <v>2192</v>
      </c>
      <c r="JE6" s="100" t="s">
        <v>2193</v>
      </c>
      <c r="JF6" s="100" t="s">
        <v>2194</v>
      </c>
      <c r="JG6" s="100" t="s">
        <v>2195</v>
      </c>
      <c r="JH6" s="100" t="s">
        <v>2196</v>
      </c>
      <c r="JI6" s="100" t="s">
        <v>2197</v>
      </c>
      <c r="JJ6" s="100" t="s">
        <v>2198</v>
      </c>
      <c r="JK6" s="100" t="s">
        <v>2199</v>
      </c>
      <c r="JL6" s="100" t="s">
        <v>2200</v>
      </c>
      <c r="JM6" s="100" t="s">
        <v>2201</v>
      </c>
      <c r="JN6" s="100" t="s">
        <v>2202</v>
      </c>
      <c r="JO6" s="100" t="s">
        <v>2203</v>
      </c>
      <c r="JP6" s="100" t="s">
        <v>2204</v>
      </c>
      <c r="JQ6" s="100" t="s">
        <v>2205</v>
      </c>
      <c r="JR6" s="100" t="s">
        <v>2206</v>
      </c>
      <c r="JS6" s="100" t="s">
        <v>2207</v>
      </c>
      <c r="JT6" s="100" t="s">
        <v>2208</v>
      </c>
      <c r="JU6" s="100" t="s">
        <v>2209</v>
      </c>
      <c r="JV6" s="100" t="s">
        <v>2210</v>
      </c>
      <c r="JW6" s="100" t="s">
        <v>2211</v>
      </c>
      <c r="JX6" s="100" t="s">
        <v>2212</v>
      </c>
      <c r="JY6" s="100" t="s">
        <v>2213</v>
      </c>
      <c r="JZ6" s="100" t="s">
        <v>2214</v>
      </c>
      <c r="KA6" s="100" t="s">
        <v>2215</v>
      </c>
      <c r="KB6" s="100" t="s">
        <v>2216</v>
      </c>
      <c r="KC6" s="100" t="s">
        <v>2217</v>
      </c>
      <c r="KD6" s="100" t="s">
        <v>2218</v>
      </c>
      <c r="KE6" s="100" t="s">
        <v>2219</v>
      </c>
      <c r="KF6" s="100" t="s">
        <v>2220</v>
      </c>
      <c r="KG6" s="100" t="s">
        <v>2221</v>
      </c>
      <c r="KH6" s="100" t="s">
        <v>2222</v>
      </c>
      <c r="KI6" s="100" t="s">
        <v>2223</v>
      </c>
      <c r="KJ6" s="100" t="s">
        <v>2224</v>
      </c>
      <c r="KK6" s="100" t="s">
        <v>2225</v>
      </c>
      <c r="KL6" s="100" t="s">
        <v>2226</v>
      </c>
      <c r="KM6" s="100" t="s">
        <v>2227</v>
      </c>
      <c r="KN6" s="100" t="s">
        <v>2228</v>
      </c>
      <c r="KO6" s="100" t="s">
        <v>2229</v>
      </c>
      <c r="KP6" s="100" t="s">
        <v>2230</v>
      </c>
      <c r="KQ6" s="100" t="s">
        <v>2231</v>
      </c>
      <c r="KR6" s="100" t="s">
        <v>2232</v>
      </c>
      <c r="KS6" s="100" t="s">
        <v>2233</v>
      </c>
      <c r="KT6" s="100" t="s">
        <v>2234</v>
      </c>
      <c r="KU6" s="100" t="s">
        <v>2235</v>
      </c>
      <c r="KV6" s="100" t="s">
        <v>2236</v>
      </c>
      <c r="KW6" s="100" t="s">
        <v>2237</v>
      </c>
      <c r="KX6" s="100" t="s">
        <v>2238</v>
      </c>
      <c r="KY6" s="100" t="s">
        <v>2239</v>
      </c>
      <c r="KZ6" s="100" t="s">
        <v>2240</v>
      </c>
      <c r="LA6" s="100" t="s">
        <v>2241</v>
      </c>
      <c r="LB6" s="100" t="s">
        <v>2242</v>
      </c>
      <c r="LC6" s="100" t="s">
        <v>2243</v>
      </c>
      <c r="LD6" s="100" t="s">
        <v>2244</v>
      </c>
      <c r="LE6" s="100" t="s">
        <v>2245</v>
      </c>
      <c r="LF6" s="100" t="s">
        <v>2246</v>
      </c>
      <c r="LG6" s="100" t="s">
        <v>2247</v>
      </c>
      <c r="LH6" s="100" t="s">
        <v>2248</v>
      </c>
      <c r="LI6" s="100" t="s">
        <v>2249</v>
      </c>
      <c r="LJ6" s="100" t="s">
        <v>2250</v>
      </c>
      <c r="LK6" s="100" t="s">
        <v>2251</v>
      </c>
      <c r="LL6" s="100" t="s">
        <v>2252</v>
      </c>
      <c r="LM6" s="100" t="s">
        <v>2253</v>
      </c>
      <c r="LN6" s="100" t="s">
        <v>2254</v>
      </c>
      <c r="LO6" s="100" t="s">
        <v>2255</v>
      </c>
      <c r="LP6" s="100" t="s">
        <v>2256</v>
      </c>
      <c r="LQ6" s="100" t="s">
        <v>2257</v>
      </c>
      <c r="LR6" s="100" t="s">
        <v>2258</v>
      </c>
      <c r="LS6" s="100" t="s">
        <v>2259</v>
      </c>
      <c r="LT6" s="100" t="s">
        <v>2260</v>
      </c>
      <c r="LU6" s="100" t="s">
        <v>2261</v>
      </c>
      <c r="LV6" s="100" t="s">
        <v>2262</v>
      </c>
      <c r="LW6" s="100" t="s">
        <v>2263</v>
      </c>
      <c r="LX6" s="100" t="s">
        <v>2264</v>
      </c>
      <c r="LY6" s="100" t="s">
        <v>2265</v>
      </c>
      <c r="LZ6" s="100" t="s">
        <v>2266</v>
      </c>
      <c r="MA6" s="100" t="s">
        <v>2267</v>
      </c>
      <c r="MB6" s="100" t="s">
        <v>2268</v>
      </c>
      <c r="MC6" s="100" t="s">
        <v>2269</v>
      </c>
      <c r="MD6" s="100" t="s">
        <v>2270</v>
      </c>
      <c r="ME6" s="100" t="s">
        <v>2271</v>
      </c>
      <c r="MF6" s="100" t="s">
        <v>2272</v>
      </c>
      <c r="MG6" s="100" t="s">
        <v>2273</v>
      </c>
      <c r="MH6" s="100" t="s">
        <v>2274</v>
      </c>
      <c r="MI6" s="100" t="s">
        <v>2275</v>
      </c>
      <c r="MJ6" s="100" t="s">
        <v>2276</v>
      </c>
      <c r="MK6" s="100" t="s">
        <v>2277</v>
      </c>
      <c r="ML6" s="100" t="s">
        <v>2278</v>
      </c>
      <c r="MM6" s="100" t="s">
        <v>2279</v>
      </c>
      <c r="MN6" s="100" t="s">
        <v>2280</v>
      </c>
      <c r="MO6" s="100" t="s">
        <v>2281</v>
      </c>
      <c r="MP6" s="100" t="s">
        <v>2282</v>
      </c>
      <c r="MQ6" s="100" t="s">
        <v>2283</v>
      </c>
      <c r="MR6" s="100" t="s">
        <v>2284</v>
      </c>
      <c r="MS6" s="100" t="s">
        <v>2285</v>
      </c>
      <c r="MT6" s="100" t="s">
        <v>2286</v>
      </c>
      <c r="MU6" s="100" t="s">
        <v>2287</v>
      </c>
      <c r="MV6" s="100" t="s">
        <v>2288</v>
      </c>
      <c r="MW6" s="100" t="s">
        <v>2289</v>
      </c>
      <c r="MX6" s="100" t="s">
        <v>2290</v>
      </c>
      <c r="MY6" s="100" t="s">
        <v>2291</v>
      </c>
      <c r="MZ6" s="100" t="s">
        <v>2292</v>
      </c>
      <c r="NA6" s="100" t="s">
        <v>2293</v>
      </c>
      <c r="NB6" s="100" t="s">
        <v>2294</v>
      </c>
      <c r="NC6" s="100" t="s">
        <v>2295</v>
      </c>
      <c r="ND6" s="100" t="s">
        <v>2296</v>
      </c>
      <c r="NE6" s="100" t="s">
        <v>2297</v>
      </c>
      <c r="NF6" s="100" t="s">
        <v>2298</v>
      </c>
      <c r="NG6" s="100" t="s">
        <v>2299</v>
      </c>
      <c r="NH6" s="100" t="s">
        <v>2300</v>
      </c>
      <c r="NI6" s="100" t="s">
        <v>2301</v>
      </c>
      <c r="NJ6" s="100" t="s">
        <v>2302</v>
      </c>
      <c r="NK6" s="100" t="s">
        <v>2303</v>
      </c>
      <c r="NL6" s="100" t="s">
        <v>2304</v>
      </c>
      <c r="NM6" s="100" t="s">
        <v>2305</v>
      </c>
      <c r="NN6" s="100" t="s">
        <v>2306</v>
      </c>
      <c r="NO6" s="100" t="s">
        <v>2307</v>
      </c>
      <c r="NP6" s="100" t="s">
        <v>2308</v>
      </c>
      <c r="NQ6" s="100" t="s">
        <v>2309</v>
      </c>
      <c r="NR6" s="100" t="s">
        <v>2310</v>
      </c>
      <c r="NS6" s="100" t="s">
        <v>2311</v>
      </c>
      <c r="NT6" s="100" t="s">
        <v>2312</v>
      </c>
      <c r="NU6" s="100" t="s">
        <v>2313</v>
      </c>
      <c r="NV6" s="100" t="s">
        <v>2314</v>
      </c>
      <c r="NW6" s="100" t="s">
        <v>2315</v>
      </c>
      <c r="NX6" s="100" t="s">
        <v>2316</v>
      </c>
      <c r="NY6" s="100" t="s">
        <v>2317</v>
      </c>
      <c r="NZ6" s="100" t="s">
        <v>2318</v>
      </c>
      <c r="OA6" s="100" t="s">
        <v>2319</v>
      </c>
      <c r="OB6" s="100" t="s">
        <v>2320</v>
      </c>
      <c r="OC6" s="100" t="s">
        <v>2321</v>
      </c>
      <c r="OD6" s="100" t="s">
        <v>2322</v>
      </c>
      <c r="OE6" s="100" t="s">
        <v>2323</v>
      </c>
      <c r="OF6" s="100" t="s">
        <v>2324</v>
      </c>
      <c r="OG6" s="100" t="s">
        <v>2325</v>
      </c>
      <c r="OH6" s="100" t="s">
        <v>2326</v>
      </c>
      <c r="OI6" s="100" t="s">
        <v>2327</v>
      </c>
      <c r="OJ6" s="100" t="s">
        <v>2328</v>
      </c>
      <c r="OK6" s="100" t="s">
        <v>2329</v>
      </c>
      <c r="OL6" s="100" t="s">
        <v>2330</v>
      </c>
      <c r="OM6" s="100" t="s">
        <v>2331</v>
      </c>
      <c r="ON6" s="100" t="s">
        <v>2332</v>
      </c>
      <c r="OO6" s="100" t="s">
        <v>2333</v>
      </c>
      <c r="OP6" s="100" t="s">
        <v>2334</v>
      </c>
      <c r="OQ6" s="100" t="s">
        <v>2335</v>
      </c>
      <c r="OR6" s="100" t="s">
        <v>2336</v>
      </c>
      <c r="OS6" s="100" t="s">
        <v>2337</v>
      </c>
      <c r="OT6" s="100" t="s">
        <v>2338</v>
      </c>
      <c r="OU6" s="100" t="s">
        <v>2339</v>
      </c>
      <c r="OV6" s="100" t="s">
        <v>2340</v>
      </c>
      <c r="OW6" s="100" t="s">
        <v>2341</v>
      </c>
      <c r="OX6" s="100" t="s">
        <v>2342</v>
      </c>
      <c r="OY6" s="100" t="s">
        <v>2343</v>
      </c>
      <c r="OZ6" s="100" t="s">
        <v>2344</v>
      </c>
      <c r="PA6" s="100" t="s">
        <v>2345</v>
      </c>
      <c r="PB6" s="100" t="s">
        <v>2346</v>
      </c>
      <c r="PC6" s="100" t="s">
        <v>2347</v>
      </c>
      <c r="PD6" s="100" t="s">
        <v>2348</v>
      </c>
      <c r="PE6" s="100" t="s">
        <v>2349</v>
      </c>
      <c r="PF6" s="100" t="s">
        <v>2350</v>
      </c>
      <c r="PG6" s="100" t="s">
        <v>2351</v>
      </c>
      <c r="PH6" s="100" t="s">
        <v>2352</v>
      </c>
      <c r="PI6" s="100" t="s">
        <v>2353</v>
      </c>
      <c r="PJ6" s="100" t="s">
        <v>2354</v>
      </c>
      <c r="PK6" s="100" t="s">
        <v>2355</v>
      </c>
      <c r="PL6" s="100" t="s">
        <v>2356</v>
      </c>
      <c r="PM6" s="100" t="s">
        <v>2357</v>
      </c>
      <c r="PN6" s="100" t="s">
        <v>2358</v>
      </c>
      <c r="PO6" s="100" t="s">
        <v>2359</v>
      </c>
      <c r="PP6" s="100" t="s">
        <v>2360</v>
      </c>
      <c r="PQ6" s="100" t="s">
        <v>2361</v>
      </c>
      <c r="PR6" s="100" t="s">
        <v>2362</v>
      </c>
      <c r="PS6" s="100" t="s">
        <v>2363</v>
      </c>
      <c r="PT6" s="100" t="s">
        <v>2364</v>
      </c>
      <c r="PU6" s="100" t="s">
        <v>2365</v>
      </c>
      <c r="PV6" s="100" t="s">
        <v>2366</v>
      </c>
      <c r="PW6" s="100" t="s">
        <v>2367</v>
      </c>
      <c r="PX6" s="100" t="s">
        <v>2368</v>
      </c>
      <c r="PY6" s="100" t="s">
        <v>2369</v>
      </c>
      <c r="PZ6" s="100" t="s">
        <v>2370</v>
      </c>
      <c r="QA6" s="100" t="s">
        <v>2371</v>
      </c>
      <c r="QB6" s="100" t="s">
        <v>2372</v>
      </c>
      <c r="QC6" s="100" t="s">
        <v>2373</v>
      </c>
      <c r="QD6" s="100" t="s">
        <v>2374</v>
      </c>
      <c r="QE6" s="100" t="s">
        <v>2375</v>
      </c>
      <c r="QF6" s="100" t="s">
        <v>2376</v>
      </c>
      <c r="QG6" s="100" t="s">
        <v>2377</v>
      </c>
      <c r="QH6" s="100" t="s">
        <v>2378</v>
      </c>
      <c r="QI6" s="100" t="s">
        <v>2379</v>
      </c>
      <c r="QJ6" s="100" t="s">
        <v>2380</v>
      </c>
      <c r="QK6" s="100" t="s">
        <v>2381</v>
      </c>
      <c r="QL6" s="100" t="s">
        <v>2382</v>
      </c>
      <c r="QM6" s="100" t="s">
        <v>2383</v>
      </c>
      <c r="QN6" s="100" t="s">
        <v>2384</v>
      </c>
      <c r="QO6" s="100" t="s">
        <v>2385</v>
      </c>
      <c r="QP6" s="100" t="s">
        <v>2386</v>
      </c>
      <c r="QQ6" s="100" t="s">
        <v>2387</v>
      </c>
      <c r="QR6" s="100" t="s">
        <v>2388</v>
      </c>
      <c r="QS6" s="100" t="s">
        <v>2389</v>
      </c>
      <c r="QT6" s="100" t="s">
        <v>2390</v>
      </c>
      <c r="QU6" s="100" t="s">
        <v>2391</v>
      </c>
      <c r="QV6" s="100" t="s">
        <v>2392</v>
      </c>
      <c r="QW6" s="100" t="s">
        <v>2393</v>
      </c>
      <c r="QX6" s="100" t="s">
        <v>2394</v>
      </c>
      <c r="QY6" s="100" t="s">
        <v>2395</v>
      </c>
      <c r="QZ6" s="100" t="s">
        <v>2396</v>
      </c>
      <c r="RA6" s="100" t="s">
        <v>2397</v>
      </c>
      <c r="RB6" s="100" t="s">
        <v>2398</v>
      </c>
      <c r="RC6" s="100" t="s">
        <v>2399</v>
      </c>
      <c r="RD6" s="100" t="s">
        <v>2400</v>
      </c>
      <c r="RE6" s="100" t="s">
        <v>2401</v>
      </c>
      <c r="RF6" s="100" t="s">
        <v>2402</v>
      </c>
      <c r="RG6" s="100" t="s">
        <v>2403</v>
      </c>
      <c r="RH6" s="100" t="s">
        <v>2404</v>
      </c>
      <c r="RI6" s="100" t="s">
        <v>2405</v>
      </c>
      <c r="RJ6" s="100" t="s">
        <v>2406</v>
      </c>
      <c r="RK6" s="100" t="s">
        <v>2407</v>
      </c>
      <c r="RL6" s="100" t="s">
        <v>2408</v>
      </c>
      <c r="RM6" s="100" t="s">
        <v>2409</v>
      </c>
      <c r="RN6" s="100" t="s">
        <v>2410</v>
      </c>
      <c r="RO6" s="100" t="s">
        <v>2411</v>
      </c>
      <c r="RP6" s="100" t="s">
        <v>2412</v>
      </c>
      <c r="RQ6" s="100" t="s">
        <v>2413</v>
      </c>
      <c r="RR6" s="100" t="s">
        <v>2414</v>
      </c>
      <c r="RS6" s="100" t="s">
        <v>2415</v>
      </c>
      <c r="RT6" s="100" t="s">
        <v>2416</v>
      </c>
      <c r="RU6" s="100" t="s">
        <v>2417</v>
      </c>
      <c r="RV6" s="100" t="s">
        <v>2418</v>
      </c>
      <c r="RW6" s="100" t="s">
        <v>2419</v>
      </c>
      <c r="RX6" s="100" t="s">
        <v>2420</v>
      </c>
      <c r="RY6" s="100" t="s">
        <v>2421</v>
      </c>
      <c r="RZ6" s="100" t="s">
        <v>2422</v>
      </c>
      <c r="SA6" s="100" t="s">
        <v>2423</v>
      </c>
      <c r="SB6" s="100" t="s">
        <v>2424</v>
      </c>
      <c r="SC6" s="100" t="s">
        <v>2425</v>
      </c>
      <c r="SD6" s="100" t="s">
        <v>2426</v>
      </c>
      <c r="SE6" s="100" t="s">
        <v>2427</v>
      </c>
      <c r="SF6" s="100" t="s">
        <v>2428</v>
      </c>
      <c r="SG6" s="100" t="s">
        <v>2429</v>
      </c>
      <c r="SH6" s="100" t="s">
        <v>2430</v>
      </c>
      <c r="SI6" s="100" t="s">
        <v>2431</v>
      </c>
      <c r="SJ6" s="100" t="s">
        <v>2432</v>
      </c>
      <c r="SK6" s="100" t="s">
        <v>2433</v>
      </c>
      <c r="SL6" s="100" t="s">
        <v>2434</v>
      </c>
      <c r="SM6" s="100" t="s">
        <v>2435</v>
      </c>
      <c r="SN6" s="100" t="s">
        <v>2436</v>
      </c>
      <c r="SO6" s="100" t="s">
        <v>2437</v>
      </c>
      <c r="SP6" s="100" t="s">
        <v>2438</v>
      </c>
      <c r="SQ6" s="100" t="s">
        <v>2439</v>
      </c>
      <c r="SR6" s="100" t="s">
        <v>2440</v>
      </c>
      <c r="SS6" s="100" t="s">
        <v>2441</v>
      </c>
      <c r="ST6" s="100" t="s">
        <v>2442</v>
      </c>
      <c r="SU6" s="100" t="s">
        <v>2443</v>
      </c>
      <c r="SV6" s="100" t="s">
        <v>2444</v>
      </c>
      <c r="SW6" s="100" t="s">
        <v>2445</v>
      </c>
      <c r="SX6" s="100" t="s">
        <v>2446</v>
      </c>
      <c r="SY6" s="100" t="s">
        <v>2447</v>
      </c>
      <c r="SZ6" s="100" t="s">
        <v>2448</v>
      </c>
      <c r="TA6" s="100" t="s">
        <v>2449</v>
      </c>
      <c r="TB6" s="100" t="s">
        <v>2450</v>
      </c>
      <c r="TC6" s="100" t="s">
        <v>2451</v>
      </c>
      <c r="TD6" s="100" t="s">
        <v>2452</v>
      </c>
      <c r="TE6" s="100" t="s">
        <v>2453</v>
      </c>
      <c r="TF6" s="100" t="s">
        <v>2454</v>
      </c>
      <c r="TG6" s="100" t="s">
        <v>2455</v>
      </c>
      <c r="TH6" s="100" t="s">
        <v>2456</v>
      </c>
      <c r="TI6" s="100" t="s">
        <v>2457</v>
      </c>
      <c r="TJ6" s="100" t="s">
        <v>2458</v>
      </c>
      <c r="TK6" s="100" t="s">
        <v>2459</v>
      </c>
      <c r="TL6" s="100" t="s">
        <v>2460</v>
      </c>
      <c r="TM6" s="100" t="s">
        <v>2461</v>
      </c>
      <c r="TN6" s="100" t="s">
        <v>2462</v>
      </c>
      <c r="TO6" s="100" t="s">
        <v>2463</v>
      </c>
      <c r="TP6" s="100" t="s">
        <v>2464</v>
      </c>
      <c r="TQ6" s="100" t="s">
        <v>2465</v>
      </c>
      <c r="TR6" s="100" t="s">
        <v>2466</v>
      </c>
      <c r="TS6" s="100" t="s">
        <v>2467</v>
      </c>
      <c r="TT6" s="100" t="s">
        <v>1888</v>
      </c>
      <c r="TU6" s="100" t="s">
        <v>2468</v>
      </c>
      <c r="TV6" s="100" t="s">
        <v>2469</v>
      </c>
      <c r="TW6" s="100" t="s">
        <v>2470</v>
      </c>
      <c r="TX6" s="100" t="s">
        <v>2471</v>
      </c>
      <c r="TY6" s="100" t="s">
        <v>2472</v>
      </c>
      <c r="TZ6" s="100" t="s">
        <v>2473</v>
      </c>
      <c r="UA6" s="100" t="s">
        <v>2474</v>
      </c>
      <c r="UB6" s="100" t="s">
        <v>2475</v>
      </c>
      <c r="UC6" s="100" t="s">
        <v>2476</v>
      </c>
      <c r="UD6" s="100" t="s">
        <v>2477</v>
      </c>
      <c r="UE6" s="100" t="s">
        <v>2478</v>
      </c>
      <c r="UF6" s="100" t="s">
        <v>2479</v>
      </c>
      <c r="UG6" s="100" t="s">
        <v>2480</v>
      </c>
      <c r="UH6" s="100" t="s">
        <v>2481</v>
      </c>
      <c r="UI6" s="100" t="s">
        <v>2482</v>
      </c>
    </row>
    <row r="7" customFormat="false" ht="15" hidden="false" customHeight="true" outlineLevel="0" collapsed="false">
      <c r="A7" s="1" t="s">
        <v>1931</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2483</v>
      </c>
    </row>
    <row r="2" customFormat="false" ht="48" hidden="false" customHeight="true" outlineLevel="0" collapsed="false">
      <c r="B2" s="91" t="s">
        <v>2484</v>
      </c>
      <c r="C2" s="91"/>
      <c r="D2" s="91"/>
      <c r="E2" s="91"/>
      <c r="F2" s="91"/>
      <c r="G2" s="91"/>
      <c r="H2" s="91"/>
      <c r="I2" s="91"/>
      <c r="J2" s="91"/>
      <c r="K2" s="91"/>
      <c r="L2" s="91"/>
    </row>
    <row r="4" customFormat="false" ht="15" hidden="false" customHeight="true" outlineLevel="0" collapsed="false">
      <c r="B4" s="113" t="s">
        <v>2485</v>
      </c>
    </row>
    <row r="5" customFormat="false" ht="45.75" hidden="false" customHeight="true" outlineLevel="0" collapsed="false">
      <c r="B5" s="100" t="s">
        <v>2486</v>
      </c>
      <c r="C5" s="100" t="s">
        <v>2487</v>
      </c>
      <c r="D5" s="100" t="s">
        <v>2488</v>
      </c>
      <c r="E5" s="100" t="s">
        <v>2489</v>
      </c>
      <c r="F5" s="100" t="s">
        <v>2490</v>
      </c>
      <c r="G5" s="100" t="s">
        <v>2491</v>
      </c>
    </row>
    <row r="6" customFormat="false" ht="15" hidden="false" customHeight="true" outlineLevel="0" collapsed="false">
      <c r="B6" s="1" t="s">
        <v>2492</v>
      </c>
      <c r="C6" s="1" t="s">
        <v>2493</v>
      </c>
      <c r="D6" s="1" t="n">
        <v>40000</v>
      </c>
      <c r="E6" s="1" t="n">
        <v>4</v>
      </c>
      <c r="F6" s="1" t="s">
        <v>2494</v>
      </c>
      <c r="G6" s="1" t="s">
        <v>2495</v>
      </c>
    </row>
    <row r="7" customFormat="false" ht="15" hidden="false" customHeight="true" outlineLevel="0" collapsed="false">
      <c r="B7" s="1" t="s">
        <v>2496</v>
      </c>
      <c r="C7" s="1" t="s">
        <v>2497</v>
      </c>
      <c r="D7" s="1" t="n">
        <v>40000</v>
      </c>
      <c r="E7" s="1" t="n">
        <v>0</v>
      </c>
      <c r="F7" s="1" t="s">
        <v>2496</v>
      </c>
      <c r="G7" s="1" t="s">
        <v>1422</v>
      </c>
    </row>
    <row r="8" customFormat="false" ht="15" hidden="false" customHeight="true" outlineLevel="0" collapsed="false">
      <c r="B8" s="1" t="s">
        <v>2498</v>
      </c>
      <c r="C8" s="1" t="s">
        <v>2499</v>
      </c>
      <c r="D8" s="1" t="n">
        <v>15000</v>
      </c>
      <c r="E8" s="1" t="n">
        <v>3</v>
      </c>
      <c r="F8" s="1" t="s">
        <v>2494</v>
      </c>
      <c r="G8" s="1" t="s">
        <v>2500</v>
      </c>
    </row>
    <row r="9" customFormat="false" ht="15" hidden="false" customHeight="true" outlineLevel="0" collapsed="false">
      <c r="B9" s="1" t="s">
        <v>2501</v>
      </c>
      <c r="C9" s="1" t="s">
        <v>2502</v>
      </c>
      <c r="D9" s="1" t="n">
        <v>30000</v>
      </c>
      <c r="E9" s="1" t="n">
        <v>10</v>
      </c>
      <c r="F9" s="1" t="s">
        <v>2494</v>
      </c>
      <c r="G9" s="1" t="s">
        <v>2503</v>
      </c>
    </row>
    <row r="10" customFormat="false" ht="15" hidden="false" customHeight="true" outlineLevel="0" collapsed="false">
      <c r="B10" s="1" t="s">
        <v>2504</v>
      </c>
      <c r="C10" s="1" t="s">
        <v>2505</v>
      </c>
      <c r="D10" s="1" t="n">
        <v>8000</v>
      </c>
      <c r="E10" s="1" t="n">
        <v>2</v>
      </c>
      <c r="F10" s="1" t="s">
        <v>2494</v>
      </c>
      <c r="G10" s="1" t="s">
        <v>2503</v>
      </c>
    </row>
    <row r="11" customFormat="false" ht="15" hidden="false" customHeight="true" outlineLevel="0" collapsed="false">
      <c r="B11" s="1" t="s">
        <v>2506</v>
      </c>
      <c r="C11" s="1" t="s">
        <v>2507</v>
      </c>
      <c r="D11" s="1" t="n">
        <v>25000</v>
      </c>
      <c r="E11" s="1" t="n">
        <v>5</v>
      </c>
      <c r="F11" s="1" t="s">
        <v>2494</v>
      </c>
      <c r="G11" s="1" t="s">
        <v>2503</v>
      </c>
    </row>
    <row r="12" customFormat="false" ht="15" hidden="false" customHeight="true" outlineLevel="0" collapsed="false">
      <c r="B12" s="1" t="s">
        <v>2508</v>
      </c>
      <c r="C12" s="1" t="s">
        <v>2509</v>
      </c>
      <c r="D12" s="1" t="n">
        <v>150000</v>
      </c>
      <c r="E12" s="1" t="n">
        <v>15</v>
      </c>
      <c r="F12" s="1" t="s">
        <v>2508</v>
      </c>
      <c r="G12" s="1" t="s">
        <v>2495</v>
      </c>
    </row>
    <row r="13" customFormat="false" ht="15" hidden="false" customHeight="true" outlineLevel="0" collapsed="false">
      <c r="B13" s="1" t="s">
        <v>2510</v>
      </c>
      <c r="C13" s="1" t="s">
        <v>2511</v>
      </c>
      <c r="D13" s="1" t="n">
        <v>15000</v>
      </c>
      <c r="E13" s="1" t="n">
        <v>2</v>
      </c>
      <c r="F13" s="1" t="s">
        <v>2512</v>
      </c>
      <c r="G13" s="1" t="s">
        <v>2503</v>
      </c>
    </row>
    <row r="14" customFormat="false" ht="15" hidden="false" customHeight="true" outlineLevel="0" collapsed="false">
      <c r="B14" s="1" t="s">
        <v>2513</v>
      </c>
      <c r="C14" s="1" t="s">
        <v>2514</v>
      </c>
      <c r="D14" s="1" t="n">
        <v>50000</v>
      </c>
      <c r="E14" s="1" t="n">
        <v>10</v>
      </c>
      <c r="F14" s="1" t="s">
        <v>2512</v>
      </c>
      <c r="G14" s="1" t="s">
        <v>2515</v>
      </c>
    </row>
    <row r="15" customFormat="false" ht="15" hidden="false" customHeight="true" outlineLevel="0" collapsed="false">
      <c r="B15" s="1" t="s">
        <v>2516</v>
      </c>
      <c r="C15" s="1" t="s">
        <v>2517</v>
      </c>
      <c r="D15" s="1" t="n">
        <v>20000</v>
      </c>
      <c r="E15" s="1" t="n">
        <v>8</v>
      </c>
      <c r="F15" s="1" t="s">
        <v>2494</v>
      </c>
      <c r="G15" s="1" t="s">
        <v>2503</v>
      </c>
    </row>
    <row r="16" customFormat="false" ht="15" hidden="false" customHeight="true" outlineLevel="0" collapsed="false">
      <c r="B16" s="1" t="s">
        <v>2518</v>
      </c>
      <c r="C16" s="1" t="s">
        <v>2519</v>
      </c>
      <c r="D16" s="1" t="n">
        <v>100000</v>
      </c>
      <c r="E16" s="1" t="n">
        <v>0</v>
      </c>
      <c r="F16" s="1" t="s">
        <v>2518</v>
      </c>
      <c r="G16" s="1" t="s">
        <v>2503</v>
      </c>
    </row>
    <row r="17" customFormat="false" ht="15" hidden="false" customHeight="true" outlineLevel="0" collapsed="false">
      <c r="B17" s="1" t="s">
        <v>2520</v>
      </c>
      <c r="C17" s="1" t="s">
        <v>2521</v>
      </c>
      <c r="D17" s="1" t="n">
        <v>25000</v>
      </c>
      <c r="E17" s="1" t="n">
        <v>3</v>
      </c>
      <c r="F17" s="1" t="s">
        <v>2494</v>
      </c>
      <c r="G17" s="1" t="s">
        <v>2503</v>
      </c>
    </row>
    <row r="18" customFormat="false" ht="15" hidden="false" customHeight="true" outlineLevel="0" collapsed="false">
      <c r="B18" s="1" t="s">
        <v>2522</v>
      </c>
      <c r="C18" s="1" t="s">
        <v>2523</v>
      </c>
      <c r="D18" s="1" t="n">
        <v>30000</v>
      </c>
      <c r="E18" s="1" t="n">
        <v>3</v>
      </c>
      <c r="F18" s="1" t="s">
        <v>2494</v>
      </c>
      <c r="G18" s="1" t="s">
        <v>2503</v>
      </c>
    </row>
    <row r="19" customFormat="false" ht="15" hidden="false" customHeight="true" outlineLevel="0" collapsed="false">
      <c r="B19" s="1" t="s">
        <v>2524</v>
      </c>
      <c r="C19" s="1" t="s">
        <v>2525</v>
      </c>
      <c r="D19" s="1" t="n">
        <v>10000</v>
      </c>
      <c r="E19" s="1" t="n">
        <v>5</v>
      </c>
      <c r="F19" s="1" t="s">
        <v>2494</v>
      </c>
      <c r="G19" s="1" t="s">
        <v>2500</v>
      </c>
    </row>
    <row r="20" customFormat="false" ht="15" hidden="false" customHeight="true" outlineLevel="0" collapsed="false">
      <c r="B20" s="1" t="s">
        <v>2526</v>
      </c>
      <c r="C20" s="1" t="s">
        <v>2527</v>
      </c>
      <c r="D20" s="1" t="n">
        <v>10000</v>
      </c>
      <c r="E20" s="1" t="n">
        <v>4</v>
      </c>
      <c r="F20" s="1" t="s">
        <v>2494</v>
      </c>
      <c r="G20" s="1" t="s">
        <v>2503</v>
      </c>
    </row>
    <row r="22" customFormat="false" ht="15" hidden="false" customHeight="true" outlineLevel="0" collapsed="false">
      <c r="B22" s="113" t="s">
        <v>2528</v>
      </c>
    </row>
    <row r="23" customFormat="false" ht="45.75" hidden="false" customHeight="true" outlineLevel="0" collapsed="false">
      <c r="B23" s="100" t="s">
        <v>289</v>
      </c>
      <c r="C23" s="100" t="s">
        <v>2529</v>
      </c>
      <c r="D23" s="100" t="s">
        <v>2490</v>
      </c>
      <c r="E23" s="100" t="s">
        <v>2530</v>
      </c>
      <c r="F23" s="100" t="s">
        <v>2531</v>
      </c>
      <c r="G23" s="100" t="s">
        <v>2532</v>
      </c>
      <c r="H23" s="100" t="s">
        <v>2533</v>
      </c>
      <c r="I23" s="100" t="s">
        <v>2534</v>
      </c>
      <c r="J23" s="100" t="s">
        <v>2535</v>
      </c>
      <c r="K23" s="100" t="s">
        <v>380</v>
      </c>
      <c r="L23" s="100" t="s">
        <v>1486</v>
      </c>
      <c r="M23" s="100" t="s">
        <v>2536</v>
      </c>
      <c r="N23" s="100" t="s">
        <v>2537</v>
      </c>
      <c r="O23" s="100" t="s">
        <v>2538</v>
      </c>
      <c r="P23" s="100" t="s">
        <v>2539</v>
      </c>
    </row>
    <row r="24" customFormat="false" ht="15" hidden="false" customHeight="true" outlineLevel="0" collapsed="false">
      <c r="B24" s="1" t="s">
        <v>1497</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1498</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1499</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1500</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1501</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1502</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1503</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1504</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1505</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1506</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1507</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1508</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1509</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1510</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1511</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1512</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1513</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1514</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1515</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1516</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1517</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1518</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2540</v>
      </c>
      <c r="D47" s="103" t="n">
        <f aca="false">IF(COUNT($M$24:$M$45)&gt;0,1,0)</f>
        <v>0</v>
      </c>
      <c r="E47" s="23"/>
    </row>
    <row r="48" customFormat="false" ht="15" hidden="false" customHeight="true" outlineLevel="0" collapsed="false">
      <c r="B48" s="1" t="s">
        <v>2541</v>
      </c>
      <c r="D48" s="103" t="n">
        <f aca="false">IF(COUNTIF(GL_Kind,"retire")&gt;0,1,0)</f>
        <v>0</v>
      </c>
      <c r="E48" s="23"/>
    </row>
    <row r="49" customFormat="false" ht="15" hidden="false" customHeight="true" outlineLevel="0" collapsed="false">
      <c r="B49" s="1" t="s">
        <v>2542</v>
      </c>
      <c r="D49" s="103" t="n">
        <f aca="false">IFERROR(MATCH("retire",GL_Kind,0),0)</f>
        <v>0</v>
      </c>
      <c r="E49" s="23"/>
    </row>
    <row r="50" customFormat="false" ht="15" hidden="false" customHeight="true" outlineLevel="0" collapsed="false">
      <c r="B50" s="1" t="s">
        <v>2543</v>
      </c>
      <c r="D50" s="103" t="n">
        <f aca="false">IF(RG_Row&gt;0,INDEX(GL_Amount,RG_Row),0)</f>
        <v>0</v>
      </c>
      <c r="E50" s="23"/>
    </row>
    <row r="52" customFormat="false" ht="15" hidden="false" customHeight="true" outlineLevel="0" collapsed="false">
      <c r="B52" s="113" t="s">
        <v>2544</v>
      </c>
    </row>
    <row r="53" customFormat="false" ht="45.75" hidden="false" customHeight="true" outlineLevel="0" collapsed="false">
      <c r="B53" s="100" t="s">
        <v>2545</v>
      </c>
      <c r="C53" s="100" t="s">
        <v>2546</v>
      </c>
      <c r="D53" s="100" t="s">
        <v>2547</v>
      </c>
      <c r="E53" s="100" t="s">
        <v>2529</v>
      </c>
      <c r="F53" s="100" t="s">
        <v>2490</v>
      </c>
      <c r="G53" s="100" t="s">
        <v>2548</v>
      </c>
      <c r="H53" s="100" t="s">
        <v>2549</v>
      </c>
      <c r="I53" s="100" t="s">
        <v>380</v>
      </c>
      <c r="J53" s="100" t="s">
        <v>2550</v>
      </c>
      <c r="K53" s="100" t="s">
        <v>2551</v>
      </c>
      <c r="L53" s="100" t="s">
        <v>2552</v>
      </c>
      <c r="M53" s="100" t="s">
        <v>2553</v>
      </c>
      <c r="N53" s="100" t="s">
        <v>2554</v>
      </c>
      <c r="O53" s="100" t="s">
        <v>2555</v>
      </c>
      <c r="P53" s="100" t="s">
        <v>2556</v>
      </c>
      <c r="Q53" s="100" t="s">
        <v>2557</v>
      </c>
      <c r="R53" s="100" t="s">
        <v>2558</v>
      </c>
      <c r="S53" s="100" t="s">
        <v>2559</v>
      </c>
      <c r="T53" s="100" t="s">
        <v>2560</v>
      </c>
      <c r="U53" s="100" t="s">
        <v>2561</v>
      </c>
      <c r="V53" s="100" t="s">
        <v>2562</v>
      </c>
      <c r="W53" s="100" t="s">
        <v>2563</v>
      </c>
      <c r="X53" s="100" t="s">
        <v>2564</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2565</v>
      </c>
      <c r="D75" s="103" t="n">
        <f aca="false">IF(SUM($O$54:$O$73)&gt;0,1,0)</f>
        <v>0</v>
      </c>
      <c r="E75" s="23"/>
    </row>
    <row r="76" customFormat="false" ht="15" hidden="false" customHeight="true" outlineLevel="0" collapsed="false">
      <c r="B76" s="1" t="s">
        <v>2566</v>
      </c>
      <c r="D76" s="103" t="n">
        <f aca="false">IF(HasSafety=1,0,MIN($T$73,AS_Months*F_EssM))</f>
        <v>0</v>
      </c>
      <c r="E76" s="23"/>
    </row>
    <row r="77" customFormat="false" ht="15" hidden="false" customHeight="true" outlineLevel="0" collapsed="false">
      <c r="B77" s="1" t="s">
        <v>2567</v>
      </c>
      <c r="D77" s="103" t="n">
        <f aca="false">$T$73-Init_Buf0+F_Invest</f>
        <v>0</v>
      </c>
      <c r="E77" s="23"/>
    </row>
    <row r="78" customFormat="false" ht="15" hidden="false" customHeight="true" outlineLevel="0" collapsed="false">
      <c r="B78" s="1" t="s">
        <v>2568</v>
      </c>
      <c r="D78" s="103" t="n">
        <f aca="false">$W$73</f>
        <v>0</v>
      </c>
      <c r="E78" s="23"/>
    </row>
    <row r="79" customFormat="false" ht="15" hidden="false" customHeight="true" outlineLevel="0" collapsed="false">
      <c r="B79" s="1" t="s">
        <v>2569</v>
      </c>
      <c r="D79" s="103" t="n">
        <f aca="false">(1-AS_InvShare)*AS_Cash+AS_InvShare*AS_Inv</f>
        <v>0.0164</v>
      </c>
      <c r="E79" s="23"/>
    </row>
    <row r="80" customFormat="false" ht="15" hidden="false" customHeight="true" outlineLevel="0" collapsed="false">
      <c r="B80" s="1" t="s">
        <v>2570</v>
      </c>
      <c r="D80" s="103" t="n">
        <f aca="false">SUM($G$24:$G$45)</f>
        <v>0</v>
      </c>
      <c r="E80" s="23"/>
    </row>
    <row r="81" customFormat="false" ht="15" hidden="false" customHeight="true" outlineLevel="0" collapsed="false">
      <c r="B81" s="1" t="s">
        <v>2571</v>
      </c>
      <c r="D81" s="103" t="n">
        <f aca="false">IF(Slots_Funded&gt;20,1,0)</f>
        <v>0</v>
      </c>
      <c r="E81" s="23"/>
    </row>
    <row r="82" customFormat="false" ht="15" hidden="false" customHeight="true" outlineLevel="0" collapsed="false">
      <c r="B82" s="1" t="s">
        <v>2572</v>
      </c>
      <c r="D82" s="103" t="n">
        <f aca="false">COUNTIF(GL_Key,"?*")</f>
        <v>0</v>
      </c>
      <c r="E82" s="23"/>
    </row>
    <row r="83" customFormat="false" ht="15" hidden="false" customHeight="true" outlineLevel="0" collapsed="false">
      <c r="B83" s="1" t="s">
        <v>2573</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2574</v>
      </c>
    </row>
    <row r="86" customFormat="false" ht="45.75" hidden="false" customHeight="true" outlineLevel="0" collapsed="false">
      <c r="B86" s="100" t="s">
        <v>2545</v>
      </c>
      <c r="C86" s="100" t="s">
        <v>2575</v>
      </c>
      <c r="D86" s="100" t="s">
        <v>2576</v>
      </c>
      <c r="E86" s="100" t="s">
        <v>2577</v>
      </c>
      <c r="F86" s="100" t="s">
        <v>2578</v>
      </c>
      <c r="G86" s="100" t="s">
        <v>2579</v>
      </c>
      <c r="H86" s="100" t="s">
        <v>2580</v>
      </c>
      <c r="I86" s="100" t="s">
        <v>2581</v>
      </c>
      <c r="J86" s="100" t="s">
        <v>2582</v>
      </c>
      <c r="K86" s="100" t="s">
        <v>2583</v>
      </c>
      <c r="L86" s="100" t="s">
        <v>2584</v>
      </c>
      <c r="M86" s="100" t="s">
        <v>2585</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2586</v>
      </c>
    </row>
    <row r="109" customFormat="false" ht="90" hidden="false" customHeight="true" outlineLevel="0" collapsed="false">
      <c r="B109" s="100" t="s">
        <v>289</v>
      </c>
      <c r="C109" s="100" t="s">
        <v>2530</v>
      </c>
      <c r="D109" s="100" t="s">
        <v>2490</v>
      </c>
      <c r="E109" s="100" t="s">
        <v>2587</v>
      </c>
      <c r="F109" s="100" t="s">
        <v>2588</v>
      </c>
      <c r="G109" s="100" t="s">
        <v>2577</v>
      </c>
      <c r="H109" s="100" t="s">
        <v>2589</v>
      </c>
      <c r="I109" s="100" t="s">
        <v>2539</v>
      </c>
      <c r="J109" s="100" t="s">
        <v>2590</v>
      </c>
      <c r="K109" s="100" t="s">
        <v>2591</v>
      </c>
      <c r="L109" s="100" t="s">
        <v>2592</v>
      </c>
      <c r="M109" s="100" t="s">
        <v>2593</v>
      </c>
      <c r="N109" s="100" t="s">
        <v>2534</v>
      </c>
      <c r="O109" s="100" t="s">
        <v>2594</v>
      </c>
      <c r="P109" s="100" t="s">
        <v>2595</v>
      </c>
      <c r="Q109" s="100" t="s">
        <v>2529</v>
      </c>
      <c r="R109" s="100" t="s">
        <v>2596</v>
      </c>
      <c r="S109" s="100" t="s">
        <v>2491</v>
      </c>
      <c r="T109" s="100" t="s">
        <v>2597</v>
      </c>
      <c r="U109" s="100" t="s">
        <v>2598</v>
      </c>
      <c r="V109" s="100" t="s">
        <v>2599</v>
      </c>
      <c r="W109" s="100" t="s">
        <v>2600</v>
      </c>
      <c r="X109" s="100" t="s">
        <v>2601</v>
      </c>
      <c r="Y109" s="100" t="s">
        <v>2602</v>
      </c>
      <c r="Z109" s="100" t="s">
        <v>2603</v>
      </c>
      <c r="AA109" s="100" t="s">
        <v>2604</v>
      </c>
      <c r="AB109" s="100" t="s">
        <v>2605</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2606</v>
      </c>
    </row>
    <row r="2" customFormat="false" ht="48" hidden="false" customHeight="true" outlineLevel="0" collapsed="false">
      <c r="B2" s="91" t="s">
        <v>2607</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2608</v>
      </c>
      <c r="C4" s="93" t="s">
        <v>1521</v>
      </c>
    </row>
    <row r="5" customFormat="false" ht="15" hidden="false" customHeight="true" outlineLevel="0" collapsed="false">
      <c r="B5" s="1" t="s">
        <v>2609</v>
      </c>
      <c r="C5" s="103" t="n">
        <f aca="false">ROUND(IF(F_Age&lt;F_R,('Plan cashflow'!$QH$8+'Plan cashflow'!$QI$8)/12,0),0)</f>
        <v>0</v>
      </c>
    </row>
    <row r="6" customFormat="false" ht="15" hidden="false" customHeight="true" outlineLevel="0" collapsed="false">
      <c r="B6" s="1" t="s">
        <v>2610</v>
      </c>
      <c r="C6" s="103" t="n">
        <f aca="false">ROUND('Plan cashflow'!$QH$8/12,0)</f>
        <v>0</v>
      </c>
    </row>
    <row r="7" customFormat="false" ht="15" hidden="false" customHeight="true" outlineLevel="0" collapsed="false">
      <c r="B7" s="1" t="s">
        <v>2611</v>
      </c>
      <c r="C7" s="103" t="n">
        <f aca="false">'Plan cashflow'!$HS$8</f>
        <v>0</v>
      </c>
    </row>
    <row r="8" customFormat="false" ht="15" hidden="false" customHeight="true" outlineLevel="0" collapsed="false">
      <c r="B8" s="1" t="s">
        <v>2612</v>
      </c>
      <c r="C8" s="103" t="n">
        <f aca="false">SUM('Plan cashflow'!$UI$8:$UI$97)</f>
        <v>0</v>
      </c>
    </row>
    <row r="9" customFormat="false" ht="15" hidden="false" customHeight="true" outlineLevel="0" collapsed="false">
      <c r="B9" s="1" t="s">
        <v>2613</v>
      </c>
      <c r="C9" s="103" t="n">
        <f aca="false">SUM('Plan cashflow'!$TU$8:$TU$97)</f>
        <v>0</v>
      </c>
    </row>
    <row r="11" customFormat="false" ht="15" hidden="false" customHeight="true" outlineLevel="0" collapsed="false">
      <c r="B11" s="93" t="s">
        <v>2614</v>
      </c>
      <c r="C11" s="93" t="s">
        <v>1521</v>
      </c>
    </row>
    <row r="12" customFormat="false" ht="15" hidden="false" customHeight="true" outlineLevel="0" collapsed="false">
      <c r="B12" s="113" t="s">
        <v>127</v>
      </c>
      <c r="C12" s="113" t="s">
        <v>2615</v>
      </c>
      <c r="D12" s="113" t="s">
        <v>2486</v>
      </c>
      <c r="E12" s="113" t="s">
        <v>2616</v>
      </c>
      <c r="F12" s="113" t="s">
        <v>2617</v>
      </c>
      <c r="G12" s="113" t="s">
        <v>2618</v>
      </c>
    </row>
    <row r="13" customFormat="false" ht="15" hidden="false" customHeight="true" outlineLevel="0" collapsed="false">
      <c r="B13" s="1" t="s">
        <v>2619</v>
      </c>
      <c r="C13" s="103" t="n">
        <f aca="false">IF(Has_age=0,1,0)</f>
        <v>1</v>
      </c>
      <c r="D13" s="1" t="s">
        <v>715</v>
      </c>
      <c r="E13" s="1" t="s">
        <v>2620</v>
      </c>
      <c r="F13" s="1" t="str">
        <f aca="false">""&amp;IF(C13=1,IF(""="","",",")&amp;D13,"")</f>
        <v>age</v>
      </c>
      <c r="G13" s="1" t="str">
        <f aca="false">""&amp;IF(C13=1,IF(""="","",", ")&amp;E13,"")</f>
        <v>Your date of birth</v>
      </c>
    </row>
    <row r="14" customFormat="false" ht="15" hidden="false" customHeight="true" outlineLevel="0" collapsed="false">
      <c r="B14" s="1" t="s">
        <v>2621</v>
      </c>
      <c r="C14" s="103" t="n">
        <f aca="false">IF(AND(F_Partner=1,NOT(ISBLANK('Plan inputs'!C31)),Has_pAge=0),1,0)</f>
        <v>0</v>
      </c>
      <c r="D14" s="1" t="s">
        <v>2622</v>
      </c>
      <c r="E14" s="1" t="s">
        <v>2623</v>
      </c>
      <c r="F14" s="1" t="str">
        <f aca="false">F13&amp;IF(C14=1,IF(F13="","",",")&amp;D14,"")</f>
        <v>age</v>
      </c>
      <c r="G14" s="1" t="str">
        <f aca="false">G13&amp;IF(C14=1,IF(G13="","",", ")&amp;E14,"")</f>
        <v>Your date of birth</v>
      </c>
    </row>
    <row r="15" customFormat="false" ht="15" hidden="false" customHeight="true" outlineLevel="0" collapsed="false">
      <c r="B15" s="1" t="s">
        <v>2624</v>
      </c>
      <c r="C15" s="103" t="n">
        <f aca="false">IF(Has_retireAge=0,1,0)</f>
        <v>1</v>
      </c>
      <c r="D15" s="1" t="s">
        <v>2625</v>
      </c>
      <c r="E15" s="1" t="s">
        <v>784</v>
      </c>
      <c r="F15" s="1" t="str">
        <f aca="false">F14&amp;IF(C15=1,IF(F14="","",",")&amp;D15,"")</f>
        <v>age,retireAge</v>
      </c>
      <c r="G15" s="1" t="str">
        <f aca="false">G14&amp;IF(C15=1,IF(G14="","",", ")&amp;E15,"")</f>
        <v>Your date of birth, Retirement age</v>
      </c>
    </row>
    <row r="16" customFormat="false" ht="15" hidden="false" customHeight="true" outlineLevel="0" collapsed="false">
      <c r="B16" s="1" t="s">
        <v>2626</v>
      </c>
      <c r="C16" s="103" t="n">
        <f aca="false">IF(Has_a_planEnd=0,1,0)</f>
        <v>1</v>
      </c>
      <c r="D16" s="1" t="s">
        <v>2627</v>
      </c>
      <c r="E16" s="1" t="s">
        <v>1779</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2628</v>
      </c>
      <c r="C17" s="103" t="n">
        <f aca="false">IF(Has_infl=0,1,0)</f>
        <v>1</v>
      </c>
      <c r="D17" s="1" t="s">
        <v>2629</v>
      </c>
      <c r="E17" s="1" t="s">
        <v>2630</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2631</v>
      </c>
      <c r="C18" s="103" t="n">
        <f aca="false">IF(AND(F_Partner=1,In_pIncome&gt;0,Has_pRet=0),1,0)</f>
        <v>0</v>
      </c>
      <c r="D18" s="1" t="s">
        <v>2632</v>
      </c>
      <c r="E18" s="1" t="s">
        <v>2633</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2634</v>
      </c>
      <c r="C19" s="103" t="n">
        <f aca="false">SUM($C$13:$C$18)</f>
        <v>4</v>
      </c>
    </row>
    <row r="20" customFormat="false" ht="15" hidden="false" customHeight="true" outlineLevel="0" collapsed="false">
      <c r="B20" s="1" t="s">
        <v>2635</v>
      </c>
      <c r="C20" s="103" t="str">
        <f aca="false">F18</f>
        <v>age,retireAge,planEnd,infl</v>
      </c>
    </row>
    <row r="21" customFormat="false" ht="15" hidden="false" customHeight="true" outlineLevel="0" collapsed="false">
      <c r="B21" s="1" t="s">
        <v>2636</v>
      </c>
      <c r="C21" s="103" t="str">
        <f aca="false">G18</f>
        <v>Your date of birth, Retirement age, Plan until age, Inflation</v>
      </c>
    </row>
    <row r="22" customFormat="false" ht="15" hidden="false" customHeight="true" outlineLevel="0" collapsed="false">
      <c r="B22" s="1" t="s">
        <v>2637</v>
      </c>
      <c r="C22" s="103" t="str">
        <f aca="false">IF(Gate_Count=0,"","To see your results we need "&amp;Gate_Count&amp;IF(Gate_Count=1," thing"," things"))</f>
        <v>To see your results we need 4 things</v>
      </c>
    </row>
    <row r="23" customFormat="false" ht="15" hidden="false" customHeight="true" outlineLevel="0" collapsed="false">
      <c r="B23" s="1" t="s">
        <v>2638</v>
      </c>
      <c r="C23" s="103" t="str">
        <f aca="false">IF(Gate_Count=0,"",IFERROR(INDEX($B$13:$B$18,MATCH(1,$C$13:$C$18,0)),""))</f>
        <v>date of birth (age 18 to 80 today)</v>
      </c>
    </row>
    <row r="24" customFormat="false" ht="15" hidden="false" customHeight="true" outlineLevel="0" collapsed="false">
      <c r="B24" s="1" t="s">
        <v>2639</v>
      </c>
      <c r="C24" s="103" t="str">
        <f aca="false">IF(Gate_Count=0,"","Choose your "&amp;Gate_FirstLabel&amp;" to see this")</f>
        <v>Choose your date of birth (age 18 to 80 today) to see this</v>
      </c>
    </row>
    <row r="25" customFormat="false" ht="15" hidden="false" customHeight="true" outlineLevel="0" collapsed="false">
      <c r="B25" s="1" t="s">
        <v>2640</v>
      </c>
      <c r="C25" s="103" t="n">
        <f aca="false">IF(Gate_Count=0,1,0)</f>
        <v>0</v>
      </c>
    </row>
    <row r="26" customFormat="false" ht="15" hidden="false" customHeight="true" outlineLevel="0" collapsed="false">
      <c r="B26" s="1" t="s">
        <v>2641</v>
      </c>
      <c r="C26" s="103" t="n">
        <f aca="false">3+IF(AND(F_Partner=1,In_pIncome&gt;0),1,0)</f>
        <v>3</v>
      </c>
    </row>
    <row r="27" customFormat="false" ht="15" hidden="false" customHeight="true" outlineLevel="0" collapsed="false">
      <c r="B27" s="1" t="s">
        <v>2642</v>
      </c>
      <c r="C27" s="103" t="str">
        <f aca="false">IF(Req_Got=Req_Count,"All "&amp;Req_Count&amp;" chosen","Choose "&amp;Req_Count&amp;" things")</f>
        <v>Choose 3 things</v>
      </c>
    </row>
    <row r="28" customFormat="false" ht="15" hidden="false" customHeight="true" outlineLevel="0" collapsed="false">
      <c r="B28" s="1" t="s">
        <v>2643</v>
      </c>
      <c r="C28" s="103" t="n">
        <f aca="false">Req_Count-(C17+C15+C16+C18)</f>
        <v>0</v>
      </c>
    </row>
    <row r="30" customFormat="false" ht="15" hidden="false" customHeight="true" outlineLevel="0" collapsed="false">
      <c r="B30" s="93" t="s">
        <v>2644</v>
      </c>
      <c r="C30" s="93" t="s">
        <v>1521</v>
      </c>
    </row>
    <row r="31" customFormat="false" ht="15" hidden="false" customHeight="true" outlineLevel="0" collapsed="false">
      <c r="B31" s="1" t="s">
        <v>2645</v>
      </c>
      <c r="C31" s="103" t="n">
        <f aca="false">IF(SUM('Plan cashflow'!$UF$8:$UF$97)&gt;0,1,0)</f>
        <v>0</v>
      </c>
    </row>
    <row r="32" customFormat="false" ht="15" hidden="false" customHeight="true" outlineLevel="0" collapsed="false">
      <c r="B32" s="1" t="s">
        <v>2646</v>
      </c>
      <c r="C32" s="103" t="str">
        <f aca="false">IF(COUNT(GR_Best)&gt;0,MAX(GR_Best),"")</f>
        <v/>
      </c>
    </row>
    <row r="33" customFormat="false" ht="15" hidden="false" customHeight="true" outlineLevel="0" collapsed="false">
      <c r="B33" s="1" t="s">
        <v>2647</v>
      </c>
      <c r="C33" s="103" t="n">
        <f aca="false">IF(Find_BestScore="",0,MATCH(Find_BestScore,GR_Best,0))</f>
        <v>0</v>
      </c>
    </row>
    <row r="34" customFormat="false" ht="15" hidden="false" customHeight="true" outlineLevel="0" collapsed="false">
      <c r="B34" s="1" t="s">
        <v>2648</v>
      </c>
      <c r="C34" s="103" t="n">
        <f aca="false">IF(COUNT(GR_Worst)&gt;0,MATCH(MIN(GR_Worst),GR_Worst,0),0)</f>
        <v>0</v>
      </c>
    </row>
    <row r="35" customFormat="false" ht="15" hidden="false" customHeight="true" outlineLevel="0" collapsed="false">
      <c r="B35" s="1" t="s">
        <v>2649</v>
      </c>
      <c r="C35" s="103" t="str">
        <f aca="false">IF(Find_WorstIdx&gt;0,INDEX(GR_Pct,Find_WorstIdx),"")</f>
        <v/>
      </c>
    </row>
    <row r="36" customFormat="false" ht="15" hidden="false" customHeight="true" outlineLevel="0" collapsed="false">
      <c r="B36" s="1" t="s">
        <v>2650</v>
      </c>
      <c r="C36" s="103" t="str">
        <f aca="false">IF(Find_WorstIdx&gt;0,INDEX(GR_Name,Find_WorstIdx),"")</f>
        <v/>
      </c>
    </row>
    <row r="37" customFormat="false" ht="15" hidden="false" customHeight="true" outlineLevel="0" collapsed="false">
      <c r="B37" s="1" t="s">
        <v>2651</v>
      </c>
      <c r="C37" s="94"/>
    </row>
    <row r="38" customFormat="false" ht="15" hidden="false" customHeight="true" outlineLevel="0" collapsed="false">
      <c r="B38" s="1" t="s">
        <v>2652</v>
      </c>
      <c r="C38" s="103" t="str">
        <f aca="false">IF(ISBLANK(Find_ExtraFor),IF(Fill_Example="Yes","none",""),Find_ExtraFor)</f>
        <v/>
      </c>
    </row>
    <row r="39" customFormat="false" ht="15" hidden="false" customHeight="true" outlineLevel="0" collapsed="false">
      <c r="B39" s="1" t="s">
        <v>2653</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2654</v>
      </c>
      <c r="C40" s="103" t="str">
        <f aca="false">IF(Find_WorstIdx=0,"",IF(Find_WorstPct&gt;=PR_Good,"No big gaps right now",Find_WorstName&amp;" is "&amp;Find_WorstPct&amp;"% covered"))</f>
        <v/>
      </c>
    </row>
    <row r="41" customFormat="false" ht="15" hidden="false" customHeight="true" outlineLevel="0" collapsed="false">
      <c r="B41" s="1" t="s">
        <v>2655</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2656</v>
      </c>
      <c r="C43" s="93" t="s">
        <v>1521</v>
      </c>
    </row>
    <row r="44" customFormat="false" ht="15" hidden="false" customHeight="true" outlineLevel="0" collapsed="false">
      <c r="B44" s="1" t="s">
        <v>2657</v>
      </c>
      <c r="C44" s="103" t="n">
        <f aca="false">F_R-F_Age</f>
        <v>66</v>
      </c>
    </row>
    <row r="45" customFormat="false" ht="15" hidden="false" customHeight="true" outlineLevel="0" collapsed="false">
      <c r="B45" s="1" t="s">
        <v>2658</v>
      </c>
      <c r="C45" s="103" t="n">
        <f aca="false">IF(AND(Ret_Year&gt;=0,Ret_Year&lt;=F_N),INDEX('Plan pay &amp; tax'!$S$234:$S$323,Ret_Year+1),"")</f>
        <v>0</v>
      </c>
    </row>
    <row r="46" customFormat="false" ht="15" hidden="false" customHeight="true" outlineLevel="0" collapsed="false">
      <c r="B46" s="1" t="s">
        <v>2659</v>
      </c>
      <c r="C46" s="103" t="n">
        <f aca="false">IF(AND(Ret_Year&gt;=0,Ret_Year&lt;=F_N),INDEX('Plan cashflow'!$G$8:$G$97,Ret_Year+1)/INDEX('Plan cashflow'!$E$8:$E$97,Ret_Year+1)/12,"")</f>
        <v>1037.57333333333</v>
      </c>
    </row>
    <row r="47" customFormat="false" ht="15" hidden="false" customHeight="true" outlineLevel="0" collapsed="false">
      <c r="B47" s="1" t="s">
        <v>2660</v>
      </c>
      <c r="C47" s="103" t="n">
        <f aca="false">IF(AND(Ret_Year&gt;=0,Ret_Year&lt;=F_N),INDEX('Plan pay &amp; tax'!$Y$234:$Y$323,F_V-F_Age+1),0)</f>
        <v>0</v>
      </c>
    </row>
    <row r="49" customFormat="false" ht="15" hidden="false" customHeight="true" outlineLevel="0" collapsed="false">
      <c r="B49" s="93" t="s">
        <v>2661</v>
      </c>
      <c r="C49" s="93" t="s">
        <v>1521</v>
      </c>
    </row>
    <row r="50" customFormat="false" ht="15" hidden="false" customHeight="true" outlineLevel="0" collapsed="false">
      <c r="B50" s="1" t="s">
        <v>2662</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2663</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2664</v>
      </c>
      <c r="C52" s="103" t="str">
        <f aca="false">IF(AND(Has_cash=1,Has_costsM=1,F_EssM&gt;0),IF(F_Cash/F_EssM&gt;=AS_Months,"ok",IF(F_Cash/F_EssM&gt;=3,"mid","bad")),"na")</f>
        <v>na</v>
      </c>
    </row>
    <row r="53" customFormat="false" ht="15" hidden="false" customHeight="true" outlineLevel="0" collapsed="false">
      <c r="B53" s="1" t="s">
        <v>2665</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2666</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2667</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2668</v>
      </c>
      <c r="C56" s="103" t="n">
        <f aca="false">IF(OR(Has_cardBal=1,Has_loanBal=1,Has_debt=1),1,0)</f>
        <v>0</v>
      </c>
    </row>
    <row r="57" customFormat="false" ht="15" hidden="false" customHeight="true" outlineLevel="0" collapsed="false">
      <c r="B57" s="1" t="s">
        <v>2669</v>
      </c>
      <c r="C57" s="103" t="str">
        <f aca="false">IF(AND(L3_Debt=1,F_CardBal&gt;1),IF(L3_CardM&lt;=12,"mid","bad"),"")</f>
        <v/>
      </c>
    </row>
    <row r="58" customFormat="false" ht="15" hidden="false" customHeight="true" outlineLevel="0" collapsed="false">
      <c r="B58" s="1" t="s">
        <v>2670</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2671</v>
      </c>
      <c r="C59" s="103" t="str">
        <f aca="false">IF(AND(L3_Debt=1,F_LoanBal&gt;1),IF(L3_LoanM&lt;=24,"mid","bad"),"")</f>
        <v/>
      </c>
    </row>
    <row r="60" customFormat="false" ht="15" hidden="false" customHeight="true" outlineLevel="0" collapsed="false">
      <c r="B60" s="1" t="s">
        <v>2672</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2673</v>
      </c>
      <c r="C61" s="103" t="str">
        <f aca="false">IF(AND(L3_Debt=1,F_Debt&lt;=1),"ok","")</f>
        <v/>
      </c>
    </row>
    <row r="62" customFormat="false" ht="15" hidden="false" customHeight="true" outlineLevel="0" collapsed="false">
      <c r="B62" s="1" t="s">
        <v>2674</v>
      </c>
      <c r="C62" s="103" t="str">
        <f aca="false">IF(L3_NoDebtSt="","","No costly debt")</f>
        <v/>
      </c>
    </row>
    <row r="63" customFormat="false" ht="15" hidden="false" customHeight="true" outlineLevel="0" collapsed="false">
      <c r="B63" s="1" t="s">
        <v>2675</v>
      </c>
      <c r="C63" s="103" t="n">
        <f aca="false">IF(In_workCover="Yes",Cover_Work_Total,0)</f>
        <v>0</v>
      </c>
    </row>
    <row r="64" customFormat="false" ht="15" hidden="false" customHeight="true" outlineLevel="0" collapsed="false">
      <c r="B64" s="1" t="s">
        <v>2676</v>
      </c>
      <c r="C64" s="103" t="n">
        <f aca="false">IF(In_life="Yes",Cover_Life_Total,0)</f>
        <v>0</v>
      </c>
    </row>
    <row r="65" customFormat="false" ht="15" hidden="false" customHeight="true" outlineLevel="0" collapsed="false">
      <c r="B65" s="1" t="s">
        <v>2677</v>
      </c>
      <c r="C65" s="103" t="n">
        <f aca="false">IF(OR(F_Partner=1,In_deps&gt;0),1,0)</f>
        <v>0</v>
      </c>
    </row>
    <row r="66" customFormat="false" ht="15" hidden="false" customHeight="true" outlineLevel="0" collapsed="false">
      <c r="B66" s="1" t="s">
        <v>2678</v>
      </c>
      <c r="C66" s="103" t="str">
        <f aca="false">IF(L3_NeedLife=0,"",IF(Has_life=0,"na",IF(OR(In_life="Yes",L3_CoverWork&gt;0),"ok",IF(In_life="No","bad","mid"))))</f>
        <v/>
      </c>
    </row>
    <row r="67" customFormat="false" ht="15" hidden="false" customHeight="true" outlineLevel="0" collapsed="false">
      <c r="B67" s="1" t="s">
        <v>2679</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2680</v>
      </c>
      <c r="C68" s="103" t="str">
        <f aca="false">IF(AND(In_work&lt;&gt;"",In_work&lt;&gt;"Not working"),IF(Has_ip=0,"na",IF(In_ip="Yes","ok","mid")),"")</f>
        <v/>
      </c>
    </row>
    <row r="69" customFormat="false" ht="15" hidden="false" customHeight="true" outlineLevel="0" collapsed="false">
      <c r="B69" s="1" t="s">
        <v>2681</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2682</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2683</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2684</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2685</v>
      </c>
      <c r="C73" s="103" t="n">
        <f aca="false">SUMPRODUCT((GR_Key&lt;&gt;"")*(GR_Kind&lt;&gt;"legacy"))</f>
        <v>0</v>
      </c>
    </row>
    <row r="74" customFormat="false" ht="15" hidden="false" customHeight="true" outlineLevel="0" collapsed="false">
      <c r="B74" s="1" t="s">
        <v>2686</v>
      </c>
      <c r="C74" s="103" t="n">
        <f aca="false">SUMPRODUCT((GR_Key&lt;&gt;"")*(GR_Kind&lt;&gt;"legacy")*(GR_PctN&gt;=PR_Good))</f>
        <v>0</v>
      </c>
    </row>
    <row r="75" customFormat="false" ht="15" hidden="false" customHeight="true" outlineLevel="0" collapsed="false">
      <c r="B75" s="1" t="s">
        <v>2687</v>
      </c>
      <c r="C75" s="103" t="n">
        <f aca="false">SUMPRODUCT((GR_Key&lt;&gt;"")*(GR_Kind&lt;&gt;"legacy")*(GR_PctN&lt;PR_LowPct))</f>
        <v>0</v>
      </c>
    </row>
    <row r="76" customFormat="false" ht="15" hidden="false" customHeight="true" outlineLevel="0" collapsed="false">
      <c r="B76" s="1" t="s">
        <v>2688</v>
      </c>
      <c r="C76" s="103" t="n">
        <f aca="false">IF(OR(F_PenM&gt;0,IF(RG_Exists=1,INDEX(GR_PctN,RG_Row)&gt;=PR_Good,FALSE())),1,0)</f>
        <v>0</v>
      </c>
    </row>
    <row r="77" customFormat="false" ht="15" hidden="false" customHeight="true" outlineLevel="0" collapsed="false">
      <c r="B77" s="1" t="s">
        <v>2689</v>
      </c>
      <c r="C77" s="103" t="str">
        <f aca="false">IF(L4_N=0,"na",IF(L4_Low&gt;L4_N/2,"bad",IF(AND(L4_On=L4_N,L4_PenOn=1),"ok","mid")))</f>
        <v>na</v>
      </c>
    </row>
    <row r="78" customFormat="false" ht="15" hidden="false" customHeight="true" outlineLevel="0" collapsed="false">
      <c r="B78" s="1" t="s">
        <v>2690</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2691</v>
      </c>
      <c r="C79" s="103" t="n">
        <f aca="false">SUMPRODUCT((GR_Key&lt;&gt;"")*((GR_Key="wealth")+(GR_Kind="legacy")&gt;0))</f>
        <v>0</v>
      </c>
    </row>
    <row r="80" customFormat="false" ht="15" hidden="false" customHeight="true" outlineLevel="0" collapsed="false">
      <c r="B80" s="1" t="s">
        <v>2692</v>
      </c>
      <c r="C80" s="103" t="n">
        <f aca="false">IFERROR(MATCH(1,INDEX((GR_Key&lt;&gt;"")*((GR_Key="wealth")+(GR_Kind="legacy")&gt;0)*(GR_PctN&gt;=PR_Good),0),0),0)</f>
        <v>0</v>
      </c>
    </row>
    <row r="81" customFormat="false" ht="15" hidden="false" customHeight="true" outlineLevel="0" collapsed="false">
      <c r="B81" s="1" t="s">
        <v>2693</v>
      </c>
      <c r="C81" s="103" t="n">
        <f aca="false">IFERROR(MATCH(1,INDEX((GR_Key&lt;&gt;"")*((GR_Key="wealth")+(GR_Kind="legacy")&gt;0),0),0),0)</f>
        <v>0</v>
      </c>
    </row>
    <row r="82" customFormat="false" ht="15" hidden="false" customHeight="true" outlineLevel="0" collapsed="false">
      <c r="B82" s="1" t="s">
        <v>2694</v>
      </c>
      <c r="C82" s="103" t="n">
        <f aca="false">IF(AND(Has_invest=1,F_Invest&gt;0),1,0)</f>
        <v>0</v>
      </c>
    </row>
    <row r="83" customFormat="false" ht="15" hidden="false" customHeight="true" outlineLevel="0" collapsed="false">
      <c r="B83" s="1" t="s">
        <v>2695</v>
      </c>
      <c r="C83" s="103" t="str">
        <f aca="false">IF(OR(L5_Inv=1,L5_OnIdx&gt;0),"ok",IF(L5_N&gt;0,"mid","na"))</f>
        <v>na</v>
      </c>
    </row>
    <row r="84" customFormat="false" ht="15" hidden="false" customHeight="true" outlineLevel="0" collapsed="false">
      <c r="B84" s="1" t="s">
        <v>2696</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2697</v>
      </c>
      <c r="C85" s="103" t="str">
        <f aca="false">IF(AND(Fnd2_St="ok",OR(Fnd1_St="bad",Fnd1_St="mid")),"held",Fnd2_St)</f>
        <v>na</v>
      </c>
    </row>
    <row r="86" customFormat="false" ht="15" hidden="false" customHeight="true" outlineLevel="0" collapsed="false">
      <c r="B86" s="1" t="s">
        <v>2698</v>
      </c>
      <c r="C86" s="103" t="str">
        <f aca="false">IF(AND(Fnd3_St="ok",OR(Fnd1_St="bad",Fnd1_St="mid",Fnd2_St="bad",Fnd2_St="mid")),"held",Fnd3_St)</f>
        <v>na</v>
      </c>
    </row>
    <row r="87" customFormat="false" ht="15" hidden="false" customHeight="true" outlineLevel="0" collapsed="false">
      <c r="B87" s="1" t="s">
        <v>2699</v>
      </c>
      <c r="C87" s="103" t="str">
        <f aca="false">IF(AND(Fnd4_St="ok",OR(Fnd1_St="bad",Fnd1_St="mid",Fnd2_St="bad",Fnd2_St="mid",Fnd3_St="bad",Fnd3_St="mid")),"held",Fnd4_St)</f>
        <v>na</v>
      </c>
    </row>
    <row r="88" customFormat="false" ht="15" hidden="false" customHeight="true" outlineLevel="0" collapsed="false">
      <c r="B88" s="1" t="s">
        <v>2700</v>
      </c>
      <c r="C88" s="103" t="str">
        <f aca="false">IF(AND(Fnd5_St="ok",OR(Fnd1_St="bad",Fnd1_St="mid",Fnd2_St="bad",Fnd2_St="mid",Fnd3_St="bad",Fnd3_St="mid",Fnd4_St="bad",Fnd4_St="mid")),"held",Fnd5_St)</f>
        <v>na</v>
      </c>
    </row>
    <row r="89" customFormat="false" ht="15" hidden="false" customHeight="true" outlineLevel="0" collapsed="false">
      <c r="B89" s="1" t="s">
        <v>2701</v>
      </c>
      <c r="C89" s="103" t="str">
        <f aca="false">Fnd1_St</f>
        <v>na</v>
      </c>
    </row>
    <row r="91" customFormat="false" ht="15" hidden="false" customHeight="true" outlineLevel="0" collapsed="false">
      <c r="B91" s="93" t="s">
        <v>2702</v>
      </c>
      <c r="C91" s="93" t="s">
        <v>1521</v>
      </c>
    </row>
    <row r="92" customFormat="false" ht="15" hidden="false" customHeight="true" outlineLevel="0" collapsed="false">
      <c r="B92" s="1" t="s">
        <v>2703</v>
      </c>
      <c r="C92" s="103" t="n">
        <f aca="false">IF(Fnd1_Fin&lt;&gt;"ok",1,IF(Fnd2_Fin&lt;&gt;"ok",2,IF(Fnd3_Fin&lt;&gt;"ok",3,IF(Fnd4_Fin&lt;&gt;"ok",4,IF(Fnd5_Fin&lt;&gt;"ok",5,0)))))</f>
        <v>1</v>
      </c>
    </row>
    <row r="93" customFormat="false" ht="15" hidden="false" customHeight="true" outlineLevel="0" collapsed="false">
      <c r="B93" s="1" t="s">
        <v>2704</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2705</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2706</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2707</v>
      </c>
      <c r="C96" s="103" t="n">
        <f aca="false">SUMPRODUCT((GR_Key&lt;&gt;"")*(GR_PctN&lt;PR_Good))</f>
        <v>0</v>
      </c>
    </row>
    <row r="97" customFormat="false" ht="15" hidden="false" customHeight="true" outlineLevel="0" collapsed="false">
      <c r="B97" s="1" t="s">
        <v>2708</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2709</v>
      </c>
      <c r="C99" s="93" t="s">
        <v>1521</v>
      </c>
    </row>
    <row r="100" customFormat="false" ht="61.5" hidden="false" customHeight="true" outlineLevel="0" collapsed="false">
      <c r="B100" s="100" t="s">
        <v>2710</v>
      </c>
      <c r="C100" s="100" t="s">
        <v>2711</v>
      </c>
      <c r="D100" s="100" t="s">
        <v>2712</v>
      </c>
      <c r="E100" s="100" t="s">
        <v>2713</v>
      </c>
      <c r="F100" s="100" t="s">
        <v>2714</v>
      </c>
      <c r="G100" s="100" t="s">
        <v>2715</v>
      </c>
      <c r="H100" s="100" t="s">
        <v>2716</v>
      </c>
      <c r="I100" s="100" t="s">
        <v>2717</v>
      </c>
      <c r="J100" s="100" t="s">
        <v>2718</v>
      </c>
      <c r="K100" s="100" t="s">
        <v>2719</v>
      </c>
      <c r="L100" s="100" t="s">
        <v>2720</v>
      </c>
      <c r="M100" s="100" t="s">
        <v>2721</v>
      </c>
      <c r="N100" s="100" t="s">
        <v>2722</v>
      </c>
      <c r="O100" s="100" t="s">
        <v>2723</v>
      </c>
      <c r="P100" s="100" t="s">
        <v>2724</v>
      </c>
      <c r="Q100" s="100" t="s">
        <v>2486</v>
      </c>
    </row>
    <row r="101" customFormat="false" ht="15" hidden="false" customHeight="true" outlineLevel="0" collapsed="false">
      <c r="B101" s="1" t="s">
        <v>2725</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2726</v>
      </c>
    </row>
    <row r="102" customFormat="false" ht="15" hidden="false" customHeight="true" outlineLevel="0" collapsed="false">
      <c r="B102" s="1" t="s">
        <v>2620</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715</v>
      </c>
    </row>
    <row r="103" customFormat="false" ht="15" hidden="false" customHeight="true" outlineLevel="0" collapsed="false">
      <c r="B103" s="1" t="s">
        <v>784</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2625</v>
      </c>
    </row>
    <row r="104" customFormat="false" ht="15" hidden="false" customHeight="true" outlineLevel="0" collapsed="false">
      <c r="B104" s="1" t="s">
        <v>2623</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2622</v>
      </c>
    </row>
    <row r="105" customFormat="false" ht="15" hidden="false" customHeight="true" outlineLevel="0" collapsed="false">
      <c r="B105" s="1" t="s">
        <v>2727</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2728</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2729</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2730</v>
      </c>
    </row>
    <row r="108" customFormat="false" ht="15" hidden="false" customHeight="true" outlineLevel="0" collapsed="false">
      <c r="B108" s="1" t="s">
        <v>1807</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2731</v>
      </c>
    </row>
    <row r="109" customFormat="false" ht="15" hidden="false" customHeight="true" outlineLevel="0" collapsed="false">
      <c r="B109" s="1" t="s">
        <v>2732</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2733</v>
      </c>
    </row>
    <row r="110" customFormat="false" ht="15" hidden="false" customHeight="true" outlineLevel="0" collapsed="false">
      <c r="B110" s="1" t="s">
        <v>1334</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2734</v>
      </c>
    </row>
    <row r="111" customFormat="false" ht="15" hidden="false" customHeight="true" outlineLevel="0" collapsed="false">
      <c r="B111" s="1" t="s">
        <v>2735</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2492</v>
      </c>
    </row>
    <row r="112" customFormat="false" ht="15" hidden="false" customHeight="true" outlineLevel="0" collapsed="false">
      <c r="B112" s="1" t="s">
        <v>527</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2736</v>
      </c>
    </row>
    <row r="113" customFormat="false" ht="15" hidden="false" customHeight="true" outlineLevel="0" collapsed="false">
      <c r="B113" s="1" t="s">
        <v>1344</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2737</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2738</v>
      </c>
    </row>
    <row r="115" customFormat="false" ht="15" hidden="false" customHeight="true" outlineLevel="0" collapsed="false">
      <c r="B115" s="1" t="s">
        <v>2739</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2740</v>
      </c>
    </row>
    <row r="116" customFormat="false" ht="15" hidden="false" customHeight="true" outlineLevel="0" collapsed="false">
      <c r="B116" s="1" t="s">
        <v>2741</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2742</v>
      </c>
    </row>
    <row r="117" customFormat="false" ht="15" hidden="false" customHeight="true" outlineLevel="0" collapsed="false">
      <c r="B117" s="1" t="s">
        <v>2743</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2744</v>
      </c>
    </row>
    <row r="118" customFormat="false" ht="15" hidden="false" customHeight="true" outlineLevel="0" collapsed="false">
      <c r="B118" s="1" t="s">
        <v>1347</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2745</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2746</v>
      </c>
    </row>
    <row r="120" customFormat="false" ht="15" hidden="false" customHeight="true" outlineLevel="0" collapsed="false">
      <c r="B120" s="1" t="s">
        <v>416</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2747</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2748</v>
      </c>
    </row>
    <row r="122" customFormat="false" ht="15" hidden="false" customHeight="true" outlineLevel="0" collapsed="false">
      <c r="B122" s="1" t="s">
        <v>2749</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2750</v>
      </c>
    </row>
    <row r="123" customFormat="false" ht="15" hidden="false" customHeight="true" outlineLevel="0" collapsed="false">
      <c r="B123" s="1" t="s">
        <v>1357</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2751</v>
      </c>
    </row>
    <row r="124" customFormat="false" ht="15" hidden="false" customHeight="true" outlineLevel="0" collapsed="false">
      <c r="B124" s="1" t="s">
        <v>2752</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2753</v>
      </c>
    </row>
    <row r="125" customFormat="false" ht="15" hidden="false" customHeight="true" outlineLevel="0" collapsed="false">
      <c r="B125" s="1" t="s">
        <v>1361</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2754</v>
      </c>
    </row>
    <row r="126" customFormat="false" ht="15" hidden="false" customHeight="true" outlineLevel="0" collapsed="false">
      <c r="B126" s="1" t="s">
        <v>1363</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2755</v>
      </c>
    </row>
    <row r="127" customFormat="false" ht="15" hidden="false" customHeight="true" outlineLevel="0" collapsed="false">
      <c r="B127" s="1" t="s">
        <v>2756</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2757</v>
      </c>
    </row>
    <row r="128" customFormat="false" ht="15" hidden="false" customHeight="true" outlineLevel="0" collapsed="false">
      <c r="B128" s="1" t="s">
        <v>2758</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2759</v>
      </c>
    </row>
    <row r="129" customFormat="false" ht="15" hidden="false" customHeight="true" outlineLevel="0" collapsed="false">
      <c r="B129" s="1" t="s">
        <v>2760</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2761</v>
      </c>
    </row>
    <row r="130" customFormat="false" ht="15" hidden="false" customHeight="true" outlineLevel="0" collapsed="false">
      <c r="B130" s="1" t="s">
        <v>2762</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2763</v>
      </c>
    </row>
    <row r="131" customFormat="false" ht="15" hidden="false" customHeight="true" outlineLevel="0" collapsed="false">
      <c r="B131" s="1" t="s">
        <v>2764</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2765</v>
      </c>
    </row>
    <row r="132" customFormat="false" ht="15" hidden="false" customHeight="true" outlineLevel="0" collapsed="false">
      <c r="B132" s="1" t="s">
        <v>2766</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2767</v>
      </c>
    </row>
    <row r="133" customFormat="false" ht="15" hidden="false" customHeight="true" outlineLevel="0" collapsed="false">
      <c r="B133" s="1" t="s">
        <v>2768</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2524</v>
      </c>
    </row>
    <row r="134" customFormat="false" ht="15" hidden="false" customHeight="true" outlineLevel="0" collapsed="false">
      <c r="B134" s="1" t="s">
        <v>724</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1422</v>
      </c>
    </row>
    <row r="135" customFormat="false" ht="15" hidden="false" customHeight="true" outlineLevel="0" collapsed="false">
      <c r="B135" s="1" t="s">
        <v>2769</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2770</v>
      </c>
    </row>
    <row r="136" customFormat="false" ht="15" hidden="false" customHeight="true" outlineLevel="0" collapsed="false">
      <c r="B136" s="1" t="s">
        <v>1842</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2771</v>
      </c>
    </row>
    <row r="137" customFormat="false" ht="15" hidden="false" customHeight="true" outlineLevel="0" collapsed="false">
      <c r="B137" s="1" t="s">
        <v>2772</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2773</v>
      </c>
    </row>
    <row r="138" customFormat="false" ht="15" hidden="false" customHeight="true" outlineLevel="0" collapsed="false">
      <c r="B138" s="1" t="s">
        <v>2774</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2775</v>
      </c>
    </row>
    <row r="139" customFormat="false" ht="15" hidden="false" customHeight="true" outlineLevel="0" collapsed="false">
      <c r="B139" s="1" t="s">
        <v>1893</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2776</v>
      </c>
    </row>
    <row r="140" customFormat="false" ht="15" hidden="false" customHeight="true" outlineLevel="0" collapsed="false">
      <c r="B140" s="1" t="s">
        <v>2777</v>
      </c>
      <c r="C140" s="103" t="n">
        <f aca="false">SUM($O$101:$O$139)</f>
        <v>19</v>
      </c>
    </row>
    <row r="141" customFormat="false" ht="15" hidden="false" customHeight="true" outlineLevel="0" collapsed="false">
      <c r="B141" s="1" t="s">
        <v>2778</v>
      </c>
      <c r="C141" s="103" t="n">
        <f aca="false">SUMPRODUCT($K$101:$K$139*($Q$101:$Q$139&lt;&gt;"retireAge"))</f>
        <v>0</v>
      </c>
    </row>
    <row r="142" customFormat="false" ht="15" hidden="false" customHeight="true" outlineLevel="0" collapsed="false">
      <c r="B142" s="1" t="s">
        <v>2779</v>
      </c>
      <c r="C142" s="103" t="n">
        <f aca="false">SUM($P$101:$P$139)</f>
        <v>1</v>
      </c>
    </row>
    <row r="143" customFormat="false" ht="15" hidden="false" customHeight="true" outlineLevel="0" collapsed="false">
      <c r="B143" s="1" t="s">
        <v>2780</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2781</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2782</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2783</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2784</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2785</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2786</v>
      </c>
      <c r="C149" s="103" t="n">
        <f aca="false">IF(Fin1_St="done",1,0)+IF(Fin2_St="done",1,0)+IF(Fin3_St="done",1,0)+IF(Fin4_St="done",1,0)+IF(Fin5_St="done",1,0)+IF(Fin6_St="done",1,0)</f>
        <v>0</v>
      </c>
    </row>
    <row r="150" customFormat="false" ht="15" hidden="false" customHeight="true" outlineLevel="0" collapsed="false">
      <c r="B150" s="1" t="s">
        <v>2787</v>
      </c>
      <c r="C150" s="103" t="n">
        <f aca="false">IF(AND(OR(Fin1_St="done",Fin1_St="look"),OR(Fin2_St="done",Fin2_St="look"),OR(Fin3_St="done",Fin3_St="look",Fin6_St="done",Fin6_St="look")),1,0)</f>
        <v>0</v>
      </c>
    </row>
    <row r="151" customFormat="false" ht="15" hidden="false" customHeight="true" outlineLevel="0" collapsed="false">
      <c r="B151" s="1" t="s">
        <v>2788</v>
      </c>
      <c r="C151" s="103" t="n">
        <f aca="false">SUM($I$101:$I$139)-SUM($J$101:$J$139)</f>
        <v>20</v>
      </c>
    </row>
    <row r="152" customFormat="false" ht="15" hidden="false" customHeight="true" outlineLevel="0" collapsed="false">
      <c r="B152" s="1" t="s">
        <v>2789</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2790</v>
      </c>
      <c r="C153" s="103" t="n">
        <f aca="false">IF(OR(Fin_Skipped&gt;0,Fin_Quality&gt;2),1,0)</f>
        <v>1</v>
      </c>
    </row>
    <row r="154" customFormat="false" ht="15" hidden="false" customHeight="true" outlineLevel="0" collapsed="false">
      <c r="B154" s="1" t="s">
        <v>2791</v>
      </c>
      <c r="C154" s="103" t="n">
        <f aca="false">IF(AND(Home_Rough=1,Missing_Count=0),1,0)</f>
        <v>0</v>
      </c>
    </row>
    <row r="156" customFormat="false" ht="15" hidden="false" customHeight="true" outlineLevel="0" collapsed="false">
      <c r="B156" s="93" t="s">
        <v>2792</v>
      </c>
      <c r="C156" s="93" t="s">
        <v>1521</v>
      </c>
    </row>
    <row r="157" customFormat="false" ht="15" hidden="false" customHeight="true" outlineLevel="0" collapsed="false">
      <c r="B157" s="1" t="s">
        <v>2793</v>
      </c>
      <c r="C157" s="103" t="n">
        <f aca="false">F_Age+1</f>
        <v>1</v>
      </c>
    </row>
    <row r="158" customFormat="false" ht="15" hidden="false" customHeight="true" outlineLevel="0" collapsed="false">
      <c r="B158" s="1" t="s">
        <v>2794</v>
      </c>
      <c r="C158" s="103" t="n">
        <f aca="false">MAX(Retire_Min,AS_End-1)</f>
        <v>89</v>
      </c>
    </row>
    <row r="159" customFormat="false" ht="15" hidden="false" customHeight="true" outlineLevel="0" collapsed="false">
      <c r="B159" s="1" t="s">
        <v>2795</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2796</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2797</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2798</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2799</v>
      </c>
      <c r="C163" s="103" t="str">
        <f aca="true">IF(Has_age=1,DATEDIF(IF(ISNUMBER('Plan inputs'!C6),'Plan inputs'!C6,'Plan inputs'!F6),TODAY(),"Y"),"")</f>
        <v/>
      </c>
    </row>
    <row r="164" customFormat="false" ht="15" hidden="false" customHeight="true" outlineLevel="0" collapsed="false">
      <c r="B164" s="1" t="s">
        <v>2800</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2801</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2802</v>
      </c>
      <c r="C166" s="103" t="str">
        <f aca="true">IF(AND(F_Partner=1,Has_pAge=1),DATEDIF(IF(ISNUMBER('Plan inputs'!C31),'Plan inputs'!C31,'Plan inputs'!F31),TODAY(),"Y"),"")</f>
        <v/>
      </c>
    </row>
    <row r="167" customFormat="false" ht="15" hidden="false" customHeight="true" outlineLevel="0" collapsed="false">
      <c r="B167" s="1" t="s">
        <v>2803</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2804</v>
      </c>
      <c r="C168" s="103" t="str">
        <f aca="false">IF(AND(O120=1,G120=0),"Assumed: add yours · we use "&amp;PR_FbMortYears&amp;" years","")</f>
        <v/>
      </c>
    </row>
    <row r="169" customFormat="false" ht="15" hidden="false" customHeight="true" outlineLevel="0" collapsed="false">
      <c r="B169" s="1" t="s">
        <v>2805</v>
      </c>
      <c r="C169" s="103" t="str">
        <f aca="false">IF(AND(O128=1,G128=0),"Assumed: add yours · we use "&amp;PR_FbMortYears&amp;" years","")</f>
        <v/>
      </c>
    </row>
    <row r="170" customFormat="false" ht="15" hidden="false" customHeight="true" outlineLevel="0" collapsed="false">
      <c r="B170" s="1" t="s">
        <v>2806</v>
      </c>
      <c r="C170" s="103" t="str">
        <f aca="false">IF(AND(O104=1,G104=0),"Assumed: add yours · we use your age","")</f>
        <v/>
      </c>
    </row>
    <row r="171" customFormat="false" ht="15" hidden="false" customHeight="true" outlineLevel="0" collapsed="false">
      <c r="B171" s="1" t="s">
        <v>2807</v>
      </c>
      <c r="C171" s="103" t="str">
        <f aca="false">IF(AND(O105=1,G105=0),"Assumed: add yours · we use Employed","")</f>
        <v>Assumed: add yours · we use Employed</v>
      </c>
    </row>
    <row r="172" customFormat="false" ht="15" hidden="false" customHeight="true" outlineLevel="0" collapsed="false">
      <c r="B172" s="1" t="s">
        <v>2808</v>
      </c>
      <c r="C172" s="103" t="str">
        <f aca="false">IF(AND(O121=1,G121=0),"Assumed: add yours · we use the Central Bank average rate","")</f>
        <v/>
      </c>
    </row>
    <row r="173" customFormat="false" ht="15" hidden="false" customHeight="true" outlineLevel="0" collapsed="false">
      <c r="B173" s="1" t="s">
        <v>2809</v>
      </c>
      <c r="C173" s="103" t="str">
        <f aca="false">IF(AND(O127=1,G127=0),"Assumed: add yours · we use the Central Bank average rate","")</f>
        <v/>
      </c>
    </row>
    <row r="174" customFormat="false" ht="15" hidden="false" customHeight="true" outlineLevel="0" collapsed="false">
      <c r="B174" s="1" t="s">
        <v>2810</v>
      </c>
      <c r="C174" s="103" t="str">
        <f aca="false">IF(AND(O124=1,G124=0),"Assumed: add yours · we use a planning rate of "&amp;ROUND(AS_CardRate*100,2)&amp;"%","")</f>
        <v/>
      </c>
    </row>
    <row r="176" customFormat="false" ht="15" hidden="false" customHeight="true" outlineLevel="0" collapsed="false">
      <c r="B176" s="93" t="s">
        <v>2811</v>
      </c>
      <c r="C176" s="93" t="s">
        <v>1521</v>
      </c>
    </row>
    <row r="177" customFormat="false" ht="15" hidden="false" customHeight="true" outlineLevel="0" collapsed="false">
      <c r="B177" s="1" t="s">
        <v>2812</v>
      </c>
      <c r="C177" s="103" t="n">
        <f aca="false">SUMPRODUCT((GR_Key&lt;&gt;"")*1)</f>
        <v>0</v>
      </c>
    </row>
    <row r="178" customFormat="false" ht="15" hidden="false" customHeight="true" outlineLevel="0" collapsed="false">
      <c r="B178" s="1" t="s">
        <v>2813</v>
      </c>
      <c r="C178" s="103" t="n">
        <f aca="false">IF(Home_N&gt;0,ROUND(SUM(GR_PctN)/Home_N,0),0)</f>
        <v>0</v>
      </c>
    </row>
    <row r="179" customFormat="false" ht="15" hidden="false" customHeight="true" outlineLevel="0" collapsed="false">
      <c r="B179" s="1" t="s">
        <v>2814</v>
      </c>
      <c r="C179" s="103" t="n">
        <f aca="false">SUMPRODUCT((GR_Key&lt;&gt;"")*(GR_PctN&gt;=PR_Good))</f>
        <v>0</v>
      </c>
    </row>
    <row r="180" customFormat="false" ht="15" hidden="false" customHeight="true" outlineLevel="0" collapsed="false">
      <c r="B180" s="1" t="s">
        <v>2815</v>
      </c>
      <c r="C180" s="103" t="str">
        <f aca="false">IF(Home_Avg&gt;=PR_Good,"good",IF(Home_Avg&gt;=PR_Nudge,"nudge","alert"))</f>
        <v>alert</v>
      </c>
    </row>
    <row r="181" customFormat="false" ht="15" hidden="false" customHeight="true" outlineLevel="0" collapsed="false">
      <c r="B181" s="1" t="s">
        <v>2816</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2817</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2818</v>
      </c>
      <c r="C183" s="103" t="n">
        <f aca="false">IF(Home_N&gt;0,MATCH(MIN(GR_PctB),GR_PctB,0),0)</f>
        <v>0</v>
      </c>
    </row>
    <row r="184" customFormat="false" ht="15" hidden="false" customHeight="true" outlineLevel="0" collapsed="false">
      <c r="B184" s="1" t="s">
        <v>2819</v>
      </c>
      <c r="C184" s="103" t="str">
        <f aca="false">IF(Expert_Idx=0,"planner",INDEX(GR_Spec,Expert_Idx))</f>
        <v>planner</v>
      </c>
    </row>
    <row r="185" customFormat="false" ht="15" hidden="false" customHeight="true" outlineLevel="0" collapsed="false">
      <c r="B185" s="1" t="s">
        <v>2820</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2821</v>
      </c>
      <c r="C186" s="103" t="n">
        <f aca="false">ROUND(IF('Plan cashflow'!$HT$8=1,IF('Plan cashflow'!$F$8=1,MIN(MAX(0,'Plan cashflow'!$HY$8),'Plan cashflow'!$HR$8),'Plan cashflow'!$HR$8),0)/12,0)</f>
        <v>0</v>
      </c>
    </row>
    <row r="187" customFormat="false" ht="15" hidden="false" customHeight="true" outlineLevel="0" collapsed="false">
      <c r="B187" s="1" t="s">
        <v>2822</v>
      </c>
      <c r="C187" s="103" t="n">
        <f aca="false">INT(AS_SaveShare*Save_SurplusM/25)*25</f>
        <v>0</v>
      </c>
    </row>
    <row r="188" customFormat="false" ht="15" hidden="false" customHeight="true" outlineLevel="0" collapsed="false">
      <c r="B188" s="1" t="s">
        <v>2823</v>
      </c>
      <c r="C188" s="103" t="n">
        <f aca="false">IF(AND(Nudge_X&gt;=Save_SaveM_Base+PR_NudgeStep,Nudge_X&gt;=IF(Has_saveM=1,In_saveM,Save_SaveM_Base)+PR_NudgeStep),1,0)</f>
        <v>0</v>
      </c>
    </row>
    <row r="189" customFormat="false" ht="15" hidden="false" customHeight="true" outlineLevel="0" collapsed="false">
      <c r="B189" s="1" t="s">
        <v>2824</v>
      </c>
      <c r="C189" s="103" t="n">
        <f aca="false">MAX(0,Save_SaveM_Base+WI_M)</f>
        <v>0</v>
      </c>
    </row>
    <row r="190" customFormat="false" ht="15" hidden="false" customHeight="true" outlineLevel="0" collapsed="false">
      <c r="B190" s="1" t="s">
        <v>2825</v>
      </c>
      <c r="C190" s="103" t="n">
        <f aca="false">IF(AND(WI_M&lt;&gt;0,Wi_Total&gt;MAX(0,Save_SurplusM)+PR_MinShort),1,0)</f>
        <v>0</v>
      </c>
    </row>
    <row r="192" customFormat="false" ht="15" hidden="false" customHeight="true" outlineLevel="0" collapsed="false">
      <c r="B192" s="93" t="s">
        <v>2826</v>
      </c>
      <c r="C192" s="93" t="s">
        <v>1521</v>
      </c>
    </row>
    <row r="193" customFormat="false" ht="15" hidden="false" customHeight="true" outlineLevel="0" collapsed="false">
      <c r="B193" s="1" t="s">
        <v>2827</v>
      </c>
      <c r="C193" s="103" t="n">
        <f aca="false">SUM('Plan cashflow'!$TY$8:$TY$97)</f>
        <v>0</v>
      </c>
    </row>
    <row r="194" customFormat="false" ht="15" hidden="false" customHeight="true" outlineLevel="0" collapsed="false">
      <c r="B194" s="1" t="s">
        <v>2828</v>
      </c>
      <c r="C194" s="103" t="n">
        <f aca="false">SUM('Plan cashflow'!$TZ$8:$TZ$97)</f>
        <v>0</v>
      </c>
    </row>
    <row r="195" customFormat="false" ht="15" hidden="false" customHeight="true" outlineLevel="0" collapsed="false">
      <c r="B195" s="1" t="s">
        <v>2829</v>
      </c>
      <c r="C195" s="103" t="n">
        <f aca="false">IFERROR(MATCH(1,'Plan cashflow'!$TY$8:$TY$97,0),0)</f>
        <v>0</v>
      </c>
    </row>
    <row r="196" customFormat="false" ht="15" hidden="false" customHeight="true" outlineLevel="0" collapsed="false">
      <c r="B196" s="1" t="s">
        <v>2830</v>
      </c>
      <c r="C196" s="103" t="str">
        <f aca="false">IF(Chart_FirstShortIdx&gt;0,F_Age+Chart_FirstShortIdx-1,"")</f>
        <v/>
      </c>
    </row>
    <row r="197" customFormat="false" ht="15" hidden="false" customHeight="true" outlineLevel="0" collapsed="false">
      <c r="B197" s="1" t="s">
        <v>2831</v>
      </c>
      <c r="C197" s="103" t="str">
        <f aca="false">IF(Chart_FirstShortIdx&gt;0,INDEX('Plan cashflow'!$TX$8:$TX$97,Chart_FirstShortIdx),"")</f>
        <v/>
      </c>
    </row>
    <row r="198" customFormat="false" ht="15" hidden="false" customHeight="true" outlineLevel="0" collapsed="false">
      <c r="B198" s="1" t="s">
        <v>2832</v>
      </c>
      <c r="C198" s="103" t="n">
        <f aca="false">SUMPRODUCT('Plan cashflow'!$TY$8:$TY$97*'Plan cashflow'!$TX$8:$TX$97)</f>
        <v>0</v>
      </c>
    </row>
    <row r="199" customFormat="false" ht="15" hidden="false" customHeight="true" outlineLevel="0" collapsed="false">
      <c r="B199" s="1" t="s">
        <v>2833</v>
      </c>
      <c r="C199" s="103" t="n">
        <f aca="false">SUM('Plan cashflow'!$UA$8:$UA$97)</f>
        <v>0</v>
      </c>
    </row>
    <row r="200" customFormat="false" ht="15" hidden="false" customHeight="true" outlineLevel="0" collapsed="false">
      <c r="B200" s="1" t="s">
        <v>2834</v>
      </c>
      <c r="C200" s="103" t="str">
        <f aca="false">IFERROR(F_Age+MATCH(1,'Plan cashflow'!$UA$8:$UA$97,0)-1,"")</f>
        <v/>
      </c>
    </row>
    <row r="201" customFormat="false" ht="15" hidden="false" customHeight="true" outlineLevel="0" collapsed="false">
      <c r="B201" s="1" t="s">
        <v>2835</v>
      </c>
      <c r="C201" s="103" t="str">
        <f aca="false">IFERROR(F_Age+MATCH(1,'Plan cashflow'!$UI$8:$UI$97,0)-1,"")</f>
        <v/>
      </c>
    </row>
    <row r="202" customFormat="false" ht="15" hidden="false" customHeight="true" outlineLevel="0" collapsed="false">
      <c r="B202" s="1" t="s">
        <v>2836</v>
      </c>
      <c r="C202" s="103" t="n">
        <f aca="false">SUM('Plan cashflow'!$UI$8:$UI$97)</f>
        <v>0</v>
      </c>
    </row>
    <row r="203" customFormat="false" ht="15" hidden="false" customHeight="true" outlineLevel="0" collapsed="false">
      <c r="B203" s="113" t="s">
        <v>2837</v>
      </c>
      <c r="C203" s="113" t="s">
        <v>2838</v>
      </c>
      <c r="D203" s="113" t="s">
        <v>2839</v>
      </c>
      <c r="E203" s="113" t="s">
        <v>2840</v>
      </c>
      <c r="F203" s="113" t="s">
        <v>606</v>
      </c>
      <c r="G203" s="113" t="s">
        <v>2841</v>
      </c>
      <c r="H203" s="113" t="s">
        <v>2842</v>
      </c>
      <c r="I203" s="113" t="s">
        <v>2843</v>
      </c>
      <c r="J203" s="113" t="s">
        <v>2844</v>
      </c>
      <c r="K203" s="113" t="s">
        <v>2845</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2846</v>
      </c>
      <c r="C215" s="93" t="s">
        <v>1521</v>
      </c>
    </row>
    <row r="216" customFormat="false" ht="15" hidden="false" customHeight="true" outlineLevel="0" collapsed="false">
      <c r="B216" s="1" t="s">
        <v>2847</v>
      </c>
      <c r="C216" s="103" t="n">
        <f aca="false">IF(COUNT(GR_NextKey)&gt;0,MATCH(MIN(GR_NextKey),GR_NextKey,0),0)</f>
        <v>0</v>
      </c>
    </row>
    <row r="217" customFormat="false" ht="15" hidden="false" customHeight="true" outlineLevel="0" collapsed="false">
      <c r="B217" s="1" t="s">
        <v>2848</v>
      </c>
      <c r="C217" s="103" t="str">
        <f aca="false">IF(Next_WIdx&gt;0,INDEX(GR_PctN,Next_WIdx),"")</f>
        <v/>
      </c>
    </row>
    <row r="218" customFormat="false" ht="15" hidden="false" customHeight="true" outlineLevel="0" collapsed="false">
      <c r="B218" s="1" t="s">
        <v>2849</v>
      </c>
      <c r="C218" s="103" t="str">
        <f aca="false">IF(Next_WIdx&gt;0,INDEX(GR_Name,Next_WIdx),"")</f>
        <v/>
      </c>
    </row>
    <row r="219" customFormat="false" ht="15" hidden="false" customHeight="true" outlineLevel="0" collapsed="false">
      <c r="B219" s="1" t="s">
        <v>2850</v>
      </c>
      <c r="C219" s="103" t="n">
        <f aca="false">IF(OR(Prof_UmCount&lt;13,In_rechecked&lt;&gt;"Yes"),1,0)</f>
        <v>1</v>
      </c>
    </row>
    <row r="220" customFormat="false" ht="15" hidden="false" customHeight="true" outlineLevel="0" collapsed="false">
      <c r="B220" s="1" t="s">
        <v>2851</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2705</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2706</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2852</v>
      </c>
      <c r="C223" s="103" t="str">
        <f aca="false">CHOOSE(Next_N,"Check it","See why","Check my profile","Try it","Start","Book a meeting","See my meeting")</f>
        <v>See why</v>
      </c>
    </row>
    <row r="225" customFormat="false" ht="15" hidden="false" customHeight="true" outlineLevel="0" collapsed="false">
      <c r="B225" s="93" t="s">
        <v>2853</v>
      </c>
      <c r="C225" s="93" t="s">
        <v>1521</v>
      </c>
    </row>
    <row r="226" customFormat="false" ht="15" hidden="false" customHeight="true" outlineLevel="0" collapsed="false">
      <c r="B226" s="1" t="s">
        <v>2854</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2855</v>
      </c>
      <c r="C228" s="93" t="s">
        <v>1521</v>
      </c>
    </row>
    <row r="229" customFormat="false" ht="15" hidden="false" customHeight="true" outlineLevel="0" collapsed="false">
      <c r="B229" s="1" t="s">
        <v>2856</v>
      </c>
      <c r="C229" s="103" t="n">
        <f aca="false">IFERROR(MATCH(1,INDEX((GR_Spec="mortgage")*(GR_Kind&lt;&gt;"retire")*(GR_Key&lt;&gt;""),0),0),0)</f>
        <v>0</v>
      </c>
    </row>
    <row r="230" customFormat="false" ht="15" hidden="false" customHeight="true" outlineLevel="0" collapsed="false">
      <c r="B230" s="1" t="s">
        <v>2857</v>
      </c>
      <c r="C230" s="103" t="str">
        <f aca="false">IF(Vid_mortgage_Idx&gt;0,INDEX(GR_PctN,Vid_mortgage_Idx),"")</f>
        <v/>
      </c>
    </row>
    <row r="231" customFormat="false" ht="15" hidden="false" customHeight="true" outlineLevel="0" collapsed="false">
      <c r="B231" s="1" t="s">
        <v>2858</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2859</v>
      </c>
      <c r="C232" s="103" t="str">
        <f aca="false">IF(Vid_pension_Idx&gt;0,INDEX(GR_PctN,Vid_pension_Idx),"")</f>
        <v/>
      </c>
    </row>
    <row r="233" customFormat="false" ht="15" hidden="false" customHeight="true" outlineLevel="0" collapsed="false">
      <c r="B233" s="1" t="s">
        <v>2860</v>
      </c>
      <c r="C233" s="103" t="n">
        <f aca="false">IFERROR(MATCH(1,INDEX((GR_Spec="protection")*(GR_Kind&lt;&gt;"retire")*(GR_Key&lt;&gt;""),0),0),0)</f>
        <v>0</v>
      </c>
    </row>
    <row r="234" customFormat="false" ht="15" hidden="false" customHeight="true" outlineLevel="0" collapsed="false">
      <c r="B234" s="1" t="s">
        <v>2861</v>
      </c>
      <c r="C234" s="103" t="str">
        <f aca="false">IF(Vid_protection_Idx&gt;0,INDEX(GR_PctN,Vid_protection_Idx),"")</f>
        <v/>
      </c>
    </row>
    <row r="235" customFormat="false" ht="15" hidden="false" customHeight="true" outlineLevel="0" collapsed="false">
      <c r="B235" s="1" t="s">
        <v>2862</v>
      </c>
      <c r="C235" s="103" t="n">
        <f aca="false">IFERROR(MATCH(1,INDEX((GR_Spec="investment")*(GR_Kind&lt;&gt;"retire")*(GR_Key&lt;&gt;""),0),0),0)</f>
        <v>0</v>
      </c>
    </row>
    <row r="236" customFormat="false" ht="15" hidden="false" customHeight="true" outlineLevel="0" collapsed="false">
      <c r="B236" s="1" t="s">
        <v>2863</v>
      </c>
      <c r="C236" s="103" t="str">
        <f aca="false">IF(Vid_investment_Idx&gt;0,INDEX(GR_PctN,Vid_investment_Idx),"")</f>
        <v/>
      </c>
    </row>
    <row r="237" customFormat="false" ht="15" hidden="false" customHeight="true" outlineLevel="0" collapsed="false">
      <c r="B237" s="1" t="s">
        <v>2864</v>
      </c>
      <c r="C237" s="103" t="n">
        <f aca="false">IFERROR(MATCH(1,INDEX((GR_Spec="planner")*(GR_Kind&lt;&gt;"retire")*(GR_Key&lt;&gt;""),0),0),0)</f>
        <v>0</v>
      </c>
    </row>
    <row r="238" customFormat="false" ht="15" hidden="false" customHeight="true" outlineLevel="0" collapsed="false">
      <c r="B238" s="1" t="s">
        <v>2865</v>
      </c>
      <c r="C238" s="103" t="str">
        <f aca="false">IF(Vid_planner_Idx&gt;0,INDEX(GR_PctN,Vid_planner_Idx),"")</f>
        <v/>
      </c>
    </row>
    <row r="239" customFormat="false" ht="15" hidden="false" customHeight="true" outlineLevel="0" collapsed="false">
      <c r="B239" s="1" t="s">
        <v>2866</v>
      </c>
      <c r="C239" s="103" t="n">
        <f aca="false">COUNTIF(README!$E$32:$E$59,"Home &amp; Mortgage")</f>
        <v>7</v>
      </c>
    </row>
    <row r="240" customFormat="false" ht="15" hidden="false" customHeight="true" outlineLevel="0" collapsed="false">
      <c r="B240" s="1" t="s">
        <v>2867</v>
      </c>
      <c r="C240" s="103" t="n">
        <f aca="false">COUNTIF(README!$E$32:$E$59,"Savings &amp; Goals")</f>
        <v>3</v>
      </c>
    </row>
    <row r="241" customFormat="false" ht="15" hidden="false" customHeight="true" outlineLevel="0" collapsed="false">
      <c r="B241" s="1" t="s">
        <v>2868</v>
      </c>
      <c r="C241" s="103" t="n">
        <f aca="false">COUNTIF(README!$E$32:$E$59,"Pensions &amp; Retirement")</f>
        <v>5</v>
      </c>
    </row>
    <row r="242" customFormat="false" ht="15" hidden="false" customHeight="true" outlineLevel="0" collapsed="false">
      <c r="B242" s="1" t="s">
        <v>2869</v>
      </c>
      <c r="C242" s="103" t="n">
        <f aca="false">COUNTIF(README!$E$32:$E$59,"Investments")</f>
        <v>5</v>
      </c>
    </row>
    <row r="243" customFormat="false" ht="15" hidden="false" customHeight="true" outlineLevel="0" collapsed="false">
      <c r="B243" s="1" t="s">
        <v>2870</v>
      </c>
      <c r="C243" s="103" t="n">
        <f aca="false">COUNTIF(README!$E$32:$E$59,"Protection")</f>
        <v>3</v>
      </c>
    </row>
    <row r="244" customFormat="false" ht="15" hidden="false" customHeight="true" outlineLevel="0" collapsed="false">
      <c r="B244" s="1" t="s">
        <v>2871</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2872</v>
      </c>
    </row>
    <row r="2" customFormat="false" ht="51.75" hidden="false" customHeight="true" outlineLevel="0" collapsed="false">
      <c r="B2" s="91" t="s">
        <v>2873</v>
      </c>
      <c r="C2" s="91"/>
      <c r="D2" s="91"/>
      <c r="E2" s="91"/>
      <c r="F2" s="91"/>
      <c r="G2" s="91"/>
      <c r="H2" s="91"/>
    </row>
    <row r="4" customFormat="false" ht="15" hidden="false" customHeight="true" outlineLevel="0" collapsed="false">
      <c r="B4" s="93" t="s">
        <v>2874</v>
      </c>
      <c r="C4" s="93" t="s">
        <v>2875</v>
      </c>
    </row>
    <row r="5" customFormat="false" ht="15" hidden="false" customHeight="true" outlineLevel="0" collapsed="false">
      <c r="B5" s="1" t="s">
        <v>2876</v>
      </c>
      <c r="C5" s="94"/>
      <c r="D5" s="95" t="n">
        <f aca="false">IF(ISBLANK(C5),0,IF(IF(ISNUMBER(C5),AND(C5&gt;=1,C5&lt;=4,C5=INT(C5)),FALSE()),C5,0))</f>
        <v>0</v>
      </c>
    </row>
    <row r="6" customFormat="false" ht="15" hidden="false" customHeight="true" outlineLevel="0" collapsed="false">
      <c r="B6" s="1" t="s">
        <v>2877</v>
      </c>
      <c r="C6" s="94"/>
      <c r="D6" s="95" t="n">
        <f aca="false">IF(ISBLANK(C6),0,IF(IF(ISNUMBER(C6),AND(C6&gt;=1,C6&lt;=4,C6=INT(C6)),FALSE()),C6,0))</f>
        <v>0</v>
      </c>
    </row>
    <row r="7" customFormat="false" ht="15" hidden="false" customHeight="true" outlineLevel="0" collapsed="false">
      <c r="B7" s="1" t="s">
        <v>2878</v>
      </c>
      <c r="C7" s="115" t="s">
        <v>2879</v>
      </c>
      <c r="D7" s="95" t="n">
        <f aca="false">IF(Has_q6=1,In_q6+1,0)</f>
        <v>0</v>
      </c>
    </row>
    <row r="8" customFormat="false" ht="15" hidden="false" customHeight="true" outlineLevel="0" collapsed="false">
      <c r="B8" s="1" t="s">
        <v>2880</v>
      </c>
      <c r="C8" s="94"/>
      <c r="D8" s="95" t="n">
        <f aca="false">IF(ISBLANK(C8),0,IF(IF(ISNUMBER(C8),AND(C8&gt;=1,C8&lt;=4,C8=INT(C8)),FALSE()),C8,0))</f>
        <v>0</v>
      </c>
    </row>
    <row r="9" customFormat="false" ht="15" hidden="false" customHeight="true" outlineLevel="0" collapsed="false">
      <c r="B9" s="1" t="s">
        <v>2881</v>
      </c>
      <c r="C9" s="94"/>
      <c r="D9" s="95" t="n">
        <f aca="false">IF(ISBLANK(C9),0,IF(IF(ISNUMBER(C9),AND(C9&gt;=1,C9&lt;=4,C9=INT(C9)),FALSE()),C9,0))</f>
        <v>0</v>
      </c>
    </row>
    <row r="10" customFormat="false" ht="15" hidden="false" customHeight="true" outlineLevel="0" collapsed="false">
      <c r="B10" s="1" t="s">
        <v>2882</v>
      </c>
      <c r="C10" s="94"/>
      <c r="D10" s="95" t="n">
        <f aca="false">IF(ISBLANK(C10),0,IF(IF(ISNUMBER(C10),AND(C10&gt;=1,C10&lt;=4,C10=INT(C10)),FALSE()),C10,0))</f>
        <v>0</v>
      </c>
    </row>
    <row r="11" customFormat="false" ht="15" hidden="false" customHeight="true" outlineLevel="0" collapsed="false">
      <c r="B11" s="1" t="s">
        <v>2883</v>
      </c>
      <c r="C11" s="94"/>
      <c r="D11" s="95" t="n">
        <f aca="false">IF(ISBLANK(C11),0,IF(IF(ISNUMBER(C11),AND(C11&gt;=1,C11&lt;=4,C11=INT(C11)),FALSE()),C11,0))</f>
        <v>0</v>
      </c>
    </row>
    <row r="12" customFormat="false" ht="15" hidden="false" customHeight="true" outlineLevel="0" collapsed="false">
      <c r="B12" s="1" t="s">
        <v>2884</v>
      </c>
      <c r="C12" s="94"/>
      <c r="D12" s="95" t="n">
        <f aca="false">IF(ISBLANK(C12),0,IF(IF(ISNUMBER(C12),AND(C12&gt;=1,C12&lt;=4,C12=INT(C12)),FALSE()),C12,0))</f>
        <v>0</v>
      </c>
    </row>
    <row r="13" customFormat="false" ht="15" hidden="false" customHeight="true" outlineLevel="0" collapsed="false">
      <c r="B13" s="1" t="s">
        <v>2885</v>
      </c>
      <c r="C13" s="94"/>
      <c r="D13" s="95" t="n">
        <f aca="false">IF(ISBLANK(C13),0,IF(IF(ISNUMBER(C13),AND(C13&gt;=1,C13&lt;=4,C13=INT(C13)),FALSE()),C13,0))</f>
        <v>0</v>
      </c>
    </row>
    <row r="14" customFormat="false" ht="15" hidden="false" customHeight="true" outlineLevel="0" collapsed="false">
      <c r="B14" s="1" t="s">
        <v>2886</v>
      </c>
      <c r="C14" s="94"/>
      <c r="D14" s="95" t="n">
        <f aca="false">IF(ISBLANK(C14),0,IF(IF(ISNUMBER(C14),AND(C14&gt;=1,C14&lt;=4,C14=INT(C14)),FALSE()),C14,0))</f>
        <v>0</v>
      </c>
    </row>
    <row r="15" customFormat="false" ht="15" hidden="false" customHeight="true" outlineLevel="0" collapsed="false">
      <c r="B15" s="1" t="s">
        <v>2887</v>
      </c>
      <c r="C15" s="94"/>
      <c r="D15" s="95" t="n">
        <f aca="false">IF(ISBLANK(C15),0,IF(IF(ISNUMBER(C15),AND(C15&gt;=1,C15&lt;=4,C15=INT(C15)),FALSE()),C15,0))</f>
        <v>0</v>
      </c>
    </row>
    <row r="16" customFormat="false" ht="15" hidden="false" customHeight="true" outlineLevel="0" collapsed="false">
      <c r="B16" s="1" t="s">
        <v>2888</v>
      </c>
      <c r="C16" s="94"/>
      <c r="D16" s="95" t="n">
        <f aca="false">IF(ISBLANK(C16),0,IF(IF(ISNUMBER(C16),AND(C16&gt;=1,C16&lt;=4,C16=INT(C16)),FALSE()),C16,0))</f>
        <v>0</v>
      </c>
    </row>
    <row r="17" customFormat="false" ht="15" hidden="false" customHeight="true" outlineLevel="0" collapsed="false">
      <c r="B17" s="1" t="s">
        <v>2889</v>
      </c>
      <c r="C17" s="94"/>
      <c r="D17" s="95" t="n">
        <f aca="false">IF(ISBLANK(C17),0,IF(IF(ISNUMBER(C17),AND(C17&gt;=1,C17&lt;=4,C17=INT(C17)),FALSE()),C17,0))</f>
        <v>0</v>
      </c>
    </row>
    <row r="18" customFormat="false" ht="15" hidden="false" customHeight="true" outlineLevel="0" collapsed="false">
      <c r="B18" s="1" t="s">
        <v>2890</v>
      </c>
      <c r="C18" s="94"/>
      <c r="D18" s="95" t="n">
        <f aca="false">IF(ISBLANK(C18),0,IF(IF(ISNUMBER(C18),AND(C18&gt;=0,C18&lt;=7,C18=INT(C18)),FALSE()),C18,0))</f>
        <v>0</v>
      </c>
    </row>
    <row r="19" customFormat="false" ht="15" hidden="false" customHeight="true" outlineLevel="0" collapsed="false">
      <c r="B19" s="1" t="s">
        <v>2891</v>
      </c>
      <c r="C19" s="94"/>
      <c r="D19" s="95" t="n">
        <f aca="false">IF(C19="Yes",1,0)</f>
        <v>0</v>
      </c>
    </row>
    <row r="20" customFormat="false" ht="15" hidden="false" customHeight="true" outlineLevel="0" collapsed="false">
      <c r="B20" s="1" t="s">
        <v>2892</v>
      </c>
      <c r="C20" s="94"/>
      <c r="D20" s="95" t="n">
        <f aca="false">IF(C20="Yes",1,0)</f>
        <v>0</v>
      </c>
    </row>
    <row r="22" customFormat="false" ht="15" hidden="false" customHeight="true" outlineLevel="0" collapsed="false">
      <c r="B22" s="93" t="s">
        <v>2893</v>
      </c>
      <c r="C22" s="93" t="s">
        <v>2894</v>
      </c>
      <c r="D22" s="93" t="s">
        <v>2895</v>
      </c>
      <c r="E22" s="93" t="s">
        <v>2896</v>
      </c>
      <c r="F22" s="93" t="s">
        <v>2897</v>
      </c>
      <c r="G22" s="93" t="s">
        <v>2898</v>
      </c>
      <c r="H22" s="93" t="s">
        <v>2899</v>
      </c>
      <c r="I22" s="116"/>
      <c r="J22" s="116"/>
      <c r="K22" s="116"/>
    </row>
    <row r="23" customFormat="false" ht="15" hidden="false" customHeight="true" outlineLevel="0" collapsed="false">
      <c r="B23" s="1" t="s">
        <v>2900</v>
      </c>
      <c r="D23" s="1" t="n">
        <v>2</v>
      </c>
      <c r="E23" s="1" t="n">
        <v>0</v>
      </c>
      <c r="F23" s="1" t="n">
        <v>0</v>
      </c>
      <c r="G23" s="1" t="n">
        <v>0</v>
      </c>
      <c r="H23" s="1" t="s">
        <v>2901</v>
      </c>
    </row>
    <row r="24" customFormat="false" ht="15" hidden="false" customHeight="true" outlineLevel="0" collapsed="false">
      <c r="B24" s="1" t="s">
        <v>2902</v>
      </c>
      <c r="D24" s="1" t="n">
        <v>0</v>
      </c>
      <c r="E24" s="1" t="n">
        <v>2</v>
      </c>
      <c r="F24" s="1" t="n">
        <v>0</v>
      </c>
      <c r="G24" s="1" t="n">
        <v>0</v>
      </c>
      <c r="H24" s="1" t="s">
        <v>2903</v>
      </c>
    </row>
    <row r="25" customFormat="false" ht="15" hidden="false" customHeight="true" outlineLevel="0" collapsed="false">
      <c r="B25" s="1" t="s">
        <v>2904</v>
      </c>
      <c r="D25" s="1" t="n">
        <v>0</v>
      </c>
      <c r="E25" s="1" t="n">
        <v>0</v>
      </c>
      <c r="F25" s="1" t="n">
        <v>2</v>
      </c>
      <c r="G25" s="1" t="n">
        <v>0</v>
      </c>
      <c r="H25" s="1" t="s">
        <v>2905</v>
      </c>
    </row>
    <row r="26" customFormat="false" ht="15" hidden="false" customHeight="true" outlineLevel="0" collapsed="false">
      <c r="B26" s="1" t="s">
        <v>2906</v>
      </c>
      <c r="D26" s="1" t="n">
        <v>0</v>
      </c>
      <c r="E26" s="1" t="n">
        <v>0</v>
      </c>
      <c r="F26" s="1" t="n">
        <v>0</v>
      </c>
      <c r="G26" s="1" t="n">
        <v>2</v>
      </c>
      <c r="H26" s="1" t="s">
        <v>2907</v>
      </c>
    </row>
    <row r="27" customFormat="false" ht="15" hidden="false" customHeight="true" outlineLevel="0" collapsed="false">
      <c r="B27" s="1" t="s">
        <v>2908</v>
      </c>
      <c r="D27" s="1" t="n">
        <v>0</v>
      </c>
      <c r="E27" s="1" t="n">
        <v>0</v>
      </c>
      <c r="F27" s="1" t="n">
        <v>1</v>
      </c>
      <c r="G27" s="1" t="n">
        <v>0</v>
      </c>
      <c r="H27" s="1" t="s">
        <v>2909</v>
      </c>
    </row>
    <row r="28" customFormat="false" ht="15" hidden="false" customHeight="true" outlineLevel="0" collapsed="false">
      <c r="B28" s="1" t="s">
        <v>2910</v>
      </c>
      <c r="D28" s="1" t="n">
        <v>1</v>
      </c>
      <c r="E28" s="1" t="n">
        <v>0</v>
      </c>
      <c r="F28" s="1" t="n">
        <v>0</v>
      </c>
      <c r="G28" s="1" t="n">
        <v>0</v>
      </c>
      <c r="H28" s="1" t="s">
        <v>2911</v>
      </c>
    </row>
    <row r="29" customFormat="false" ht="15" hidden="false" customHeight="true" outlineLevel="0" collapsed="false">
      <c r="B29" s="1" t="s">
        <v>2912</v>
      </c>
      <c r="D29" s="1" t="n">
        <v>0</v>
      </c>
      <c r="E29" s="1" t="n">
        <v>1</v>
      </c>
      <c r="F29" s="1" t="n">
        <v>0</v>
      </c>
      <c r="G29" s="1" t="n">
        <v>0</v>
      </c>
      <c r="H29" s="1" t="s">
        <v>2913</v>
      </c>
    </row>
    <row r="30" customFormat="false" ht="15" hidden="false" customHeight="true" outlineLevel="0" collapsed="false">
      <c r="B30" s="1" t="s">
        <v>2914</v>
      </c>
      <c r="D30" s="1" t="n">
        <v>0</v>
      </c>
      <c r="E30" s="1" t="n">
        <v>0.5</v>
      </c>
      <c r="F30" s="1" t="n">
        <v>0</v>
      </c>
      <c r="G30" s="1" t="n">
        <v>0.5</v>
      </c>
      <c r="H30" s="1" t="s">
        <v>2915</v>
      </c>
    </row>
    <row r="31" customFormat="false" ht="15" hidden="false" customHeight="true" outlineLevel="0" collapsed="false">
      <c r="B31" s="1" t="s">
        <v>2916</v>
      </c>
      <c r="C31" s="1" t="n">
        <v>1</v>
      </c>
      <c r="D31" s="1" t="n">
        <v>0</v>
      </c>
      <c r="E31" s="1" t="n">
        <v>0</v>
      </c>
      <c r="F31" s="1" t="n">
        <v>0</v>
      </c>
      <c r="G31" s="1" t="n">
        <v>0</v>
      </c>
      <c r="H31" s="1" t="s">
        <v>2917</v>
      </c>
    </row>
    <row r="32" customFormat="false" ht="15" hidden="false" customHeight="true" outlineLevel="0" collapsed="false">
      <c r="B32" s="1" t="s">
        <v>2918</v>
      </c>
      <c r="C32" s="1" t="n">
        <v>2</v>
      </c>
      <c r="D32" s="1" t="n">
        <v>0</v>
      </c>
      <c r="E32" s="1" t="n">
        <v>0</v>
      </c>
      <c r="F32" s="1" t="n">
        <v>0</v>
      </c>
      <c r="G32" s="1" t="n">
        <v>0</v>
      </c>
      <c r="H32" s="1" t="s">
        <v>2919</v>
      </c>
    </row>
    <row r="33" customFormat="false" ht="15" hidden="false" customHeight="true" outlineLevel="0" collapsed="false">
      <c r="B33" s="1" t="s">
        <v>2920</v>
      </c>
      <c r="C33" s="1" t="n">
        <v>3</v>
      </c>
      <c r="D33" s="1" t="n">
        <v>0</v>
      </c>
      <c r="E33" s="1" t="n">
        <v>0</v>
      </c>
      <c r="F33" s="1" t="n">
        <v>0</v>
      </c>
      <c r="G33" s="1" t="n">
        <v>0</v>
      </c>
      <c r="H33" s="1" t="s">
        <v>2921</v>
      </c>
    </row>
    <row r="34" customFormat="false" ht="15" hidden="false" customHeight="true" outlineLevel="0" collapsed="false">
      <c r="B34" s="1" t="s">
        <v>2922</v>
      </c>
      <c r="C34" s="1" t="n">
        <v>4</v>
      </c>
      <c r="D34" s="1" t="n">
        <v>0</v>
      </c>
      <c r="E34" s="1" t="n">
        <v>0</v>
      </c>
      <c r="F34" s="1" t="n">
        <v>0</v>
      </c>
      <c r="G34" s="1" t="n">
        <v>0</v>
      </c>
      <c r="H34" s="1" t="s">
        <v>2923</v>
      </c>
    </row>
    <row r="35" customFormat="false" ht="15" hidden="false" customHeight="true" outlineLevel="0" collapsed="false">
      <c r="B35" s="1" t="s">
        <v>2924</v>
      </c>
      <c r="C35" s="1" t="n">
        <v>2</v>
      </c>
      <c r="D35" s="1" t="n">
        <v>0</v>
      </c>
      <c r="E35" s="1" t="n">
        <v>0</v>
      </c>
      <c r="F35" s="1" t="n">
        <v>0</v>
      </c>
      <c r="G35" s="1" t="n">
        <v>0</v>
      </c>
      <c r="H35" s="1" t="s">
        <v>2925</v>
      </c>
    </row>
    <row r="36" customFormat="false" ht="15" hidden="false" customHeight="true" outlineLevel="0" collapsed="false">
      <c r="B36" s="1" t="s">
        <v>2926</v>
      </c>
      <c r="C36" s="1" t="n">
        <v>4</v>
      </c>
      <c r="D36" s="1" t="n">
        <v>0.5</v>
      </c>
      <c r="E36" s="1" t="n">
        <v>0</v>
      </c>
      <c r="F36" s="1" t="n">
        <v>0</v>
      </c>
      <c r="G36" s="1" t="n">
        <v>0</v>
      </c>
      <c r="H36" s="1" t="s">
        <v>2511</v>
      </c>
    </row>
    <row r="37" customFormat="false" ht="15" hidden="false" customHeight="true" outlineLevel="0" collapsed="false">
      <c r="B37" s="1" t="s">
        <v>2927</v>
      </c>
      <c r="C37" s="1" t="n">
        <v>2</v>
      </c>
      <c r="D37" s="1" t="n">
        <v>0</v>
      </c>
      <c r="E37" s="1" t="n">
        <v>0</v>
      </c>
      <c r="F37" s="1" t="n">
        <v>0</v>
      </c>
      <c r="G37" s="1" t="n">
        <v>0</v>
      </c>
      <c r="H37" s="1" t="s">
        <v>2928</v>
      </c>
    </row>
    <row r="38" customFormat="false" ht="15" hidden="false" customHeight="true" outlineLevel="0" collapsed="false">
      <c r="B38" s="1" t="s">
        <v>2929</v>
      </c>
      <c r="C38" s="1" t="n">
        <v>1</v>
      </c>
      <c r="D38" s="1" t="n">
        <v>0</v>
      </c>
      <c r="E38" s="1" t="n">
        <v>0</v>
      </c>
      <c r="F38" s="1" t="n">
        <v>0</v>
      </c>
      <c r="G38" s="1" t="n">
        <v>0</v>
      </c>
      <c r="H38" s="1" t="s">
        <v>2930</v>
      </c>
    </row>
    <row r="39" customFormat="false" ht="15" hidden="false" customHeight="true" outlineLevel="0" collapsed="false">
      <c r="B39" s="1" t="s">
        <v>2931</v>
      </c>
      <c r="C39" s="1" t="n">
        <v>1</v>
      </c>
      <c r="D39" s="1" t="n">
        <v>0</v>
      </c>
      <c r="E39" s="1" t="n">
        <v>0</v>
      </c>
      <c r="F39" s="1" t="n">
        <v>0</v>
      </c>
      <c r="G39" s="1" t="n">
        <v>0.5</v>
      </c>
      <c r="H39" s="1" t="s">
        <v>2932</v>
      </c>
    </row>
    <row r="40" customFormat="false" ht="15" hidden="false" customHeight="true" outlineLevel="0" collapsed="false">
      <c r="B40" s="1" t="s">
        <v>2933</v>
      </c>
      <c r="C40" s="1" t="n">
        <v>1</v>
      </c>
      <c r="D40" s="1" t="n">
        <v>0</v>
      </c>
      <c r="E40" s="1" t="n">
        <v>0.5</v>
      </c>
      <c r="F40" s="1" t="n">
        <v>0</v>
      </c>
      <c r="G40" s="1" t="n">
        <v>0.5</v>
      </c>
      <c r="H40" s="1" t="s">
        <v>2934</v>
      </c>
    </row>
    <row r="41" customFormat="false" ht="15" hidden="false" customHeight="true" outlineLevel="0" collapsed="false">
      <c r="B41" s="1" t="s">
        <v>2935</v>
      </c>
      <c r="C41" s="1" t="n">
        <v>2</v>
      </c>
      <c r="D41" s="1" t="n">
        <v>0.5</v>
      </c>
      <c r="E41" s="1" t="n">
        <v>0.5</v>
      </c>
      <c r="F41" s="1" t="n">
        <v>0</v>
      </c>
      <c r="G41" s="1" t="n">
        <v>0</v>
      </c>
      <c r="H41" s="1" t="s">
        <v>2936</v>
      </c>
    </row>
    <row r="42" customFormat="false" ht="15" hidden="false" customHeight="true" outlineLevel="0" collapsed="false">
      <c r="B42" s="1" t="s">
        <v>2937</v>
      </c>
      <c r="C42" s="1" t="n">
        <v>3</v>
      </c>
      <c r="D42" s="1" t="n">
        <v>0.5</v>
      </c>
      <c r="E42" s="1" t="n">
        <v>0</v>
      </c>
      <c r="F42" s="1" t="n">
        <v>0.5</v>
      </c>
      <c r="G42" s="1" t="n">
        <v>0</v>
      </c>
      <c r="H42" s="1" t="s">
        <v>2938</v>
      </c>
    </row>
    <row r="43" customFormat="false" ht="15" hidden="false" customHeight="true" outlineLevel="0" collapsed="false">
      <c r="B43" s="1" t="s">
        <v>2939</v>
      </c>
      <c r="C43" s="1" t="n">
        <v>4</v>
      </c>
      <c r="D43" s="1" t="n">
        <v>0</v>
      </c>
      <c r="E43" s="1" t="n">
        <v>0</v>
      </c>
      <c r="F43" s="1" t="n">
        <v>1</v>
      </c>
      <c r="G43" s="1" t="n">
        <v>0</v>
      </c>
      <c r="H43" s="1" t="s">
        <v>2940</v>
      </c>
    </row>
    <row r="44" customFormat="false" ht="15" hidden="false" customHeight="true" outlineLevel="0" collapsed="false">
      <c r="B44" s="1" t="s">
        <v>2941</v>
      </c>
      <c r="C44" s="1" t="n">
        <v>1</v>
      </c>
      <c r="D44" s="1" t="n">
        <v>0</v>
      </c>
      <c r="E44" s="1" t="n">
        <v>1</v>
      </c>
      <c r="F44" s="1" t="n">
        <v>0</v>
      </c>
      <c r="G44" s="1" t="n">
        <v>0</v>
      </c>
      <c r="H44" s="1" t="s">
        <v>2942</v>
      </c>
    </row>
    <row r="45" customFormat="false" ht="15" hidden="false" customHeight="true" outlineLevel="0" collapsed="false">
      <c r="B45" s="1" t="s">
        <v>2943</v>
      </c>
      <c r="C45" s="1" t="n">
        <v>2</v>
      </c>
      <c r="D45" s="1" t="n">
        <v>0</v>
      </c>
      <c r="E45" s="1" t="n">
        <v>0.5</v>
      </c>
      <c r="F45" s="1" t="n">
        <v>0</v>
      </c>
      <c r="G45" s="1" t="n">
        <v>0</v>
      </c>
      <c r="H45" s="1" t="s">
        <v>2944</v>
      </c>
    </row>
    <row r="46" customFormat="false" ht="15" hidden="false" customHeight="true" outlineLevel="0" collapsed="false">
      <c r="B46" s="1" t="s">
        <v>2945</v>
      </c>
      <c r="C46" s="1" t="n">
        <v>3</v>
      </c>
      <c r="D46" s="1" t="n">
        <v>0.5</v>
      </c>
      <c r="E46" s="1" t="n">
        <v>0</v>
      </c>
      <c r="F46" s="1" t="n">
        <v>0</v>
      </c>
      <c r="G46" s="1" t="n">
        <v>0.5</v>
      </c>
      <c r="H46" s="1" t="s">
        <v>2946</v>
      </c>
    </row>
    <row r="47" customFormat="false" ht="15" hidden="false" customHeight="true" outlineLevel="0" collapsed="false">
      <c r="B47" s="1" t="s">
        <v>2947</v>
      </c>
      <c r="C47" s="1" t="n">
        <v>4</v>
      </c>
      <c r="D47" s="1" t="n">
        <v>0</v>
      </c>
      <c r="E47" s="1" t="n">
        <v>0</v>
      </c>
      <c r="F47" s="1" t="n">
        <v>1</v>
      </c>
      <c r="G47" s="1" t="n">
        <v>0</v>
      </c>
      <c r="H47" s="1" t="s">
        <v>2948</v>
      </c>
    </row>
    <row r="48" customFormat="false" ht="15" hidden="false" customHeight="true" outlineLevel="0" collapsed="false">
      <c r="B48" s="1" t="s">
        <v>2949</v>
      </c>
      <c r="C48" s="1" t="n">
        <v>1</v>
      </c>
      <c r="D48" s="1" t="n">
        <v>0</v>
      </c>
      <c r="E48" s="1" t="n">
        <v>1</v>
      </c>
      <c r="F48" s="1" t="n">
        <v>0</v>
      </c>
      <c r="G48" s="1" t="n">
        <v>0</v>
      </c>
      <c r="H48" s="1" t="s">
        <v>2950</v>
      </c>
    </row>
    <row r="49" customFormat="false" ht="15" hidden="false" customHeight="true" outlineLevel="0" collapsed="false">
      <c r="B49" s="1" t="s">
        <v>2951</v>
      </c>
      <c r="C49" s="1" t="n">
        <v>2</v>
      </c>
      <c r="D49" s="1" t="n">
        <v>0</v>
      </c>
      <c r="E49" s="1" t="n">
        <v>0</v>
      </c>
      <c r="F49" s="1" t="n">
        <v>0.5</v>
      </c>
      <c r="G49" s="1" t="n">
        <v>0</v>
      </c>
      <c r="H49" s="1" t="s">
        <v>2952</v>
      </c>
    </row>
    <row r="50" customFormat="false" ht="15" hidden="false" customHeight="true" outlineLevel="0" collapsed="false">
      <c r="B50" s="1" t="s">
        <v>2953</v>
      </c>
      <c r="C50" s="1" t="n">
        <v>4</v>
      </c>
      <c r="D50" s="1" t="n">
        <v>1</v>
      </c>
      <c r="E50" s="1" t="n">
        <v>0</v>
      </c>
      <c r="F50" s="1" t="n">
        <v>0</v>
      </c>
      <c r="G50" s="1" t="n">
        <v>0</v>
      </c>
      <c r="H50" s="1" t="s">
        <v>2954</v>
      </c>
    </row>
    <row r="51" customFormat="false" ht="15" hidden="false" customHeight="true" outlineLevel="0" collapsed="false">
      <c r="B51" s="1" t="s">
        <v>2955</v>
      </c>
      <c r="C51" s="1" t="n">
        <v>1</v>
      </c>
      <c r="D51" s="1" t="n">
        <v>0</v>
      </c>
      <c r="E51" s="1" t="n">
        <v>0</v>
      </c>
      <c r="F51" s="1" t="n">
        <v>0</v>
      </c>
      <c r="G51" s="1" t="n">
        <v>1</v>
      </c>
      <c r="H51" s="1" t="s">
        <v>2956</v>
      </c>
    </row>
    <row r="52" customFormat="false" ht="15" hidden="false" customHeight="true" outlineLevel="0" collapsed="false">
      <c r="B52" s="1" t="s">
        <v>2957</v>
      </c>
      <c r="C52" s="1" t="n">
        <v>1</v>
      </c>
      <c r="D52" s="1" t="n">
        <v>0</v>
      </c>
      <c r="E52" s="1" t="n">
        <v>0</v>
      </c>
      <c r="F52" s="1" t="n">
        <v>0</v>
      </c>
      <c r="G52" s="1" t="n">
        <v>0</v>
      </c>
    </row>
    <row r="53" customFormat="false" ht="15" hidden="false" customHeight="true" outlineLevel="0" collapsed="false">
      <c r="B53" s="1" t="s">
        <v>2958</v>
      </c>
      <c r="C53" s="1" t="n">
        <v>2</v>
      </c>
      <c r="D53" s="1" t="n">
        <v>0</v>
      </c>
      <c r="E53" s="1" t="n">
        <v>0</v>
      </c>
      <c r="F53" s="1" t="n">
        <v>0</v>
      </c>
      <c r="G53" s="1" t="n">
        <v>0</v>
      </c>
    </row>
    <row r="54" customFormat="false" ht="15" hidden="false" customHeight="true" outlineLevel="0" collapsed="false">
      <c r="B54" s="1" t="s">
        <v>2959</v>
      </c>
      <c r="C54" s="1" t="n">
        <v>3</v>
      </c>
      <c r="D54" s="1" t="n">
        <v>0</v>
      </c>
      <c r="E54" s="1" t="n">
        <v>0</v>
      </c>
      <c r="F54" s="1" t="n">
        <v>0</v>
      </c>
      <c r="G54" s="1" t="n">
        <v>0</v>
      </c>
    </row>
    <row r="55" customFormat="false" ht="15" hidden="false" customHeight="true" outlineLevel="0" collapsed="false">
      <c r="B55" s="1" t="s">
        <v>2960</v>
      </c>
      <c r="C55" s="1" t="n">
        <v>4</v>
      </c>
      <c r="D55" s="1" t="n">
        <v>0</v>
      </c>
      <c r="E55" s="1" t="n">
        <v>0</v>
      </c>
      <c r="F55" s="1" t="n">
        <v>0</v>
      </c>
      <c r="G55" s="1" t="n">
        <v>0</v>
      </c>
    </row>
    <row r="56" customFormat="false" ht="15" hidden="false" customHeight="true" outlineLevel="0" collapsed="false">
      <c r="B56" s="1" t="s">
        <v>2961</v>
      </c>
      <c r="C56" s="1" t="n">
        <v>1</v>
      </c>
      <c r="D56" s="1" t="n">
        <v>0</v>
      </c>
      <c r="E56" s="1" t="n">
        <v>0</v>
      </c>
      <c r="F56" s="1" t="n">
        <v>0</v>
      </c>
      <c r="G56" s="1" t="n">
        <v>0</v>
      </c>
    </row>
    <row r="57" customFormat="false" ht="15" hidden="false" customHeight="true" outlineLevel="0" collapsed="false">
      <c r="B57" s="1" t="s">
        <v>2962</v>
      </c>
      <c r="C57" s="1" t="n">
        <v>2</v>
      </c>
      <c r="D57" s="1" t="n">
        <v>0</v>
      </c>
      <c r="E57" s="1" t="n">
        <v>0</v>
      </c>
      <c r="F57" s="1" t="n">
        <v>0</v>
      </c>
      <c r="G57" s="1" t="n">
        <v>0</v>
      </c>
    </row>
    <row r="58" customFormat="false" ht="15" hidden="false" customHeight="true" outlineLevel="0" collapsed="false">
      <c r="B58" s="1" t="s">
        <v>2963</v>
      </c>
      <c r="C58" s="1" t="n">
        <v>3</v>
      </c>
      <c r="D58" s="1" t="n">
        <v>0</v>
      </c>
      <c r="E58" s="1" t="n">
        <v>0</v>
      </c>
      <c r="F58" s="1" t="n">
        <v>0</v>
      </c>
      <c r="G58" s="1" t="n">
        <v>0</v>
      </c>
    </row>
    <row r="59" customFormat="false" ht="15" hidden="false" customHeight="true" outlineLevel="0" collapsed="false">
      <c r="B59" s="1" t="s">
        <v>2964</v>
      </c>
      <c r="C59" s="1" t="n">
        <v>4</v>
      </c>
      <c r="D59" s="1" t="n">
        <v>0</v>
      </c>
      <c r="E59" s="1" t="n">
        <v>0</v>
      </c>
      <c r="F59" s="1" t="n">
        <v>0</v>
      </c>
      <c r="G59" s="1" t="n">
        <v>0</v>
      </c>
    </row>
    <row r="60" customFormat="false" ht="15" hidden="false" customHeight="true" outlineLevel="0" collapsed="false">
      <c r="B60" s="1" t="s">
        <v>2965</v>
      </c>
      <c r="C60" s="1" t="n">
        <v>1</v>
      </c>
      <c r="D60" s="1" t="n">
        <v>0</v>
      </c>
      <c r="E60" s="1" t="n">
        <v>0</v>
      </c>
      <c r="F60" s="1" t="n">
        <v>0</v>
      </c>
      <c r="G60" s="1" t="n">
        <v>0</v>
      </c>
    </row>
    <row r="61" customFormat="false" ht="15" hidden="false" customHeight="true" outlineLevel="0" collapsed="false">
      <c r="B61" s="1" t="s">
        <v>2966</v>
      </c>
      <c r="C61" s="1" t="n">
        <v>2</v>
      </c>
      <c r="D61" s="1" t="n">
        <v>0</v>
      </c>
      <c r="E61" s="1" t="n">
        <v>0</v>
      </c>
      <c r="F61" s="1" t="n">
        <v>0</v>
      </c>
      <c r="G61" s="1" t="n">
        <v>0</v>
      </c>
    </row>
    <row r="62" customFormat="false" ht="15" hidden="false" customHeight="true" outlineLevel="0" collapsed="false">
      <c r="B62" s="1" t="s">
        <v>2967</v>
      </c>
      <c r="C62" s="1" t="n">
        <v>3</v>
      </c>
      <c r="D62" s="1" t="n">
        <v>0</v>
      </c>
      <c r="E62" s="1" t="n">
        <v>0</v>
      </c>
      <c r="F62" s="1" t="n">
        <v>0</v>
      </c>
      <c r="G62" s="1" t="n">
        <v>0</v>
      </c>
    </row>
    <row r="63" customFormat="false" ht="15" hidden="false" customHeight="true" outlineLevel="0" collapsed="false">
      <c r="B63" s="1" t="s">
        <v>2968</v>
      </c>
      <c r="C63" s="1" t="n">
        <v>4</v>
      </c>
      <c r="D63" s="1" t="n">
        <v>0</v>
      </c>
      <c r="E63" s="1" t="n">
        <v>0</v>
      </c>
      <c r="F63" s="1" t="n">
        <v>0</v>
      </c>
      <c r="G63" s="1" t="n">
        <v>0</v>
      </c>
    </row>
    <row r="64" customFormat="false" ht="15" hidden="false" customHeight="true" outlineLevel="0" collapsed="false">
      <c r="B64" s="1" t="s">
        <v>2969</v>
      </c>
      <c r="C64" s="1" t="n">
        <v>1</v>
      </c>
      <c r="D64" s="1" t="n">
        <v>0</v>
      </c>
      <c r="E64" s="1" t="n">
        <v>0</v>
      </c>
      <c r="F64" s="1" t="n">
        <v>0</v>
      </c>
      <c r="G64" s="1" t="n">
        <v>0</v>
      </c>
    </row>
    <row r="65" customFormat="false" ht="15" hidden="false" customHeight="true" outlineLevel="0" collapsed="false">
      <c r="B65" s="1" t="s">
        <v>2970</v>
      </c>
      <c r="C65" s="1" t="n">
        <v>2</v>
      </c>
      <c r="D65" s="1" t="n">
        <v>0</v>
      </c>
      <c r="E65" s="1" t="n">
        <v>0</v>
      </c>
      <c r="F65" s="1" t="n">
        <v>0</v>
      </c>
      <c r="G65" s="1" t="n">
        <v>0</v>
      </c>
    </row>
    <row r="66" customFormat="false" ht="15" hidden="false" customHeight="true" outlineLevel="0" collapsed="false">
      <c r="B66" s="1" t="s">
        <v>2971</v>
      </c>
      <c r="C66" s="1" t="n">
        <v>3</v>
      </c>
      <c r="D66" s="1" t="n">
        <v>0</v>
      </c>
      <c r="E66" s="1" t="n">
        <v>0</v>
      </c>
      <c r="F66" s="1" t="n">
        <v>0</v>
      </c>
      <c r="G66" s="1" t="n">
        <v>0</v>
      </c>
    </row>
    <row r="67" customFormat="false" ht="15" hidden="false" customHeight="true" outlineLevel="0" collapsed="false">
      <c r="B67" s="1" t="s">
        <v>2972</v>
      </c>
      <c r="C67" s="1" t="n">
        <v>4</v>
      </c>
      <c r="D67" s="1" t="n">
        <v>0</v>
      </c>
      <c r="E67" s="1" t="n">
        <v>0</v>
      </c>
      <c r="F67" s="1" t="n">
        <v>0</v>
      </c>
      <c r="G67" s="1" t="n">
        <v>0</v>
      </c>
    </row>
    <row r="68" customFormat="false" ht="15" hidden="false" customHeight="true" outlineLevel="0" collapsed="false">
      <c r="B68" s="1" t="s">
        <v>2973</v>
      </c>
      <c r="D68" s="1" t="n">
        <v>0.5</v>
      </c>
      <c r="E68" s="1" t="n">
        <v>0</v>
      </c>
      <c r="F68" s="1" t="n">
        <v>0.5</v>
      </c>
      <c r="G68" s="1" t="n">
        <v>0</v>
      </c>
    </row>
    <row r="69" customFormat="false" ht="15" hidden="false" customHeight="true" outlineLevel="0" collapsed="false">
      <c r="B69" s="1" t="s">
        <v>2974</v>
      </c>
      <c r="D69" s="1" t="n">
        <v>0.5</v>
      </c>
      <c r="E69" s="1" t="n">
        <v>0.5</v>
      </c>
      <c r="F69" s="1" t="n">
        <v>0</v>
      </c>
      <c r="G69" s="1" t="n">
        <v>0</v>
      </c>
    </row>
    <row r="70" customFormat="false" ht="15" hidden="false" customHeight="true" outlineLevel="0" collapsed="false">
      <c r="B70" s="1" t="s">
        <v>2975</v>
      </c>
      <c r="D70" s="1" t="n">
        <v>0</v>
      </c>
      <c r="E70" s="1" t="n">
        <v>1</v>
      </c>
      <c r="F70" s="1" t="n">
        <v>0</v>
      </c>
      <c r="G70" s="1" t="n">
        <v>0</v>
      </c>
    </row>
    <row r="71" customFormat="false" ht="15" hidden="false" customHeight="true" outlineLevel="0" collapsed="false">
      <c r="B71" s="1" t="s">
        <v>2976</v>
      </c>
      <c r="D71" s="1" t="n">
        <v>0</v>
      </c>
      <c r="E71" s="1" t="n">
        <v>0</v>
      </c>
      <c r="F71" s="1" t="n">
        <v>0</v>
      </c>
      <c r="G71" s="1" t="n">
        <v>1</v>
      </c>
      <c r="H71" s="1" t="s">
        <v>2977</v>
      </c>
    </row>
    <row r="72" customFormat="false" ht="15" hidden="false" customHeight="true" outlineLevel="0" collapsed="false">
      <c r="B72" s="1" t="s">
        <v>2978</v>
      </c>
      <c r="C72" s="1" t="n">
        <v>1</v>
      </c>
      <c r="D72" s="1" t="n">
        <v>0</v>
      </c>
      <c r="E72" s="1" t="n">
        <v>0</v>
      </c>
      <c r="F72" s="1" t="n">
        <v>0</v>
      </c>
      <c r="G72" s="1" t="n">
        <v>0</v>
      </c>
    </row>
    <row r="73" customFormat="false" ht="15" hidden="false" customHeight="true" outlineLevel="0" collapsed="false">
      <c r="B73" s="1" t="s">
        <v>2979</v>
      </c>
      <c r="C73" s="1" t="n">
        <v>2</v>
      </c>
      <c r="D73" s="1" t="n">
        <v>0</v>
      </c>
      <c r="E73" s="1" t="n">
        <v>0</v>
      </c>
      <c r="F73" s="1" t="n">
        <v>0</v>
      </c>
      <c r="G73" s="1" t="n">
        <v>0</v>
      </c>
    </row>
    <row r="74" customFormat="false" ht="15" hidden="false" customHeight="true" outlineLevel="0" collapsed="false">
      <c r="B74" s="1" t="s">
        <v>2980</v>
      </c>
      <c r="C74" s="1" t="n">
        <v>3</v>
      </c>
      <c r="D74" s="1" t="n">
        <v>0</v>
      </c>
      <c r="E74" s="1" t="n">
        <v>0</v>
      </c>
      <c r="F74" s="1" t="n">
        <v>0</v>
      </c>
      <c r="G74" s="1" t="n">
        <v>0</v>
      </c>
    </row>
    <row r="75" customFormat="false" ht="15" hidden="false" customHeight="true" outlineLevel="0" collapsed="false">
      <c r="B75" s="1" t="s">
        <v>2981</v>
      </c>
      <c r="C75" s="1" t="n">
        <v>4</v>
      </c>
      <c r="D75" s="1" t="n">
        <v>0</v>
      </c>
      <c r="E75" s="1" t="n">
        <v>0</v>
      </c>
      <c r="F75" s="1" t="n">
        <v>0</v>
      </c>
      <c r="G75" s="1" t="n">
        <v>0</v>
      </c>
      <c r="H75" s="1" t="s">
        <v>2982</v>
      </c>
    </row>
    <row r="77" customFormat="false" ht="15" hidden="false" customHeight="true" outlineLevel="0" collapsed="false">
      <c r="B77" s="93" t="s">
        <v>247</v>
      </c>
      <c r="C77" s="93" t="s">
        <v>1521</v>
      </c>
    </row>
    <row r="78" customFormat="false" ht="15" hidden="false" customHeight="true" outlineLevel="0" collapsed="false">
      <c r="B78" s="1" t="s">
        <v>2983</v>
      </c>
      <c r="C78" s="103" t="n">
        <f aca="false">(PA_2&gt;0)+(PA_4&gt;0)+(PA_7&gt;0)+(PA_8&gt;0)+(PA_9&gt;0)+(PA_12&gt;0)</f>
        <v>0</v>
      </c>
    </row>
    <row r="79" customFormat="false" ht="15" hidden="false" customHeight="true" outlineLevel="0" collapsed="false">
      <c r="B79" s="1" t="s">
        <v>2984</v>
      </c>
      <c r="C79" s="103" t="n">
        <f aca="false">(PA_2&gt;0)+(PA_4&gt;0)+(PA_6&gt;0)+(PA_7&gt;0)+(PA_8&gt;0)+(PA_9&gt;0)+(PA_12&gt;0)+(PA_u4&gt;0)+(PA_u9&gt;0)+(PA_u10&gt;0)+(PA_u11&gt;0)+(PA_u12&gt;0)+(PA_u14&gt;0)</f>
        <v>0</v>
      </c>
    </row>
    <row r="80" customFormat="false" ht="15" hidden="false" customHeight="true" outlineLevel="0" collapsed="false">
      <c r="B80" s="1" t="s">
        <v>2985</v>
      </c>
      <c r="C80" s="103" t="n">
        <f aca="false">(PA_8&gt;0)+(PA_9&gt;0)+(PA_u9&gt;0)</f>
        <v>0</v>
      </c>
    </row>
    <row r="81" customFormat="false" ht="15" hidden="false" customHeight="true" outlineLevel="0" collapsed="false">
      <c r="B81" s="1" t="s">
        <v>2986</v>
      </c>
      <c r="C81" s="103" t="n">
        <f aca="false">(PA_6&gt;0)+(PA_7&gt;0)+(PA_u10&gt;0)+(PA_u12&gt;0)+(PA_u14&gt;0)</f>
        <v>0</v>
      </c>
    </row>
    <row r="82" customFormat="false" ht="15" hidden="false" customHeight="true" outlineLevel="0" collapsed="false">
      <c r="B82" s="1" t="s">
        <v>2987</v>
      </c>
      <c r="C82" s="103" t="n">
        <f aca="false">(PA_2&gt;0)+(PA_12&gt;0)+(PA_4&gt;0)+(PA_u4&gt;0)+(PA_u11&gt;0)</f>
        <v>0</v>
      </c>
    </row>
    <row r="83" customFormat="false" ht="15" hidden="false" customHeight="true" outlineLevel="0" collapsed="false">
      <c r="B83" s="1" t="s">
        <v>2988</v>
      </c>
      <c r="C83" s="103" t="n">
        <f aca="false">7-((PA_6&gt;0)+(PA_u9&gt;0)+(PA_u10&gt;0)+(PA_u12&gt;0)+(PA_u14&gt;0)+(PA_u4&gt;0)+(PA_u11&gt;0))</f>
        <v>7</v>
      </c>
    </row>
    <row r="84" customFormat="false" ht="15" hidden="false" customHeight="true" outlineLevel="0" collapsed="false">
      <c r="B84" s="1" t="s">
        <v>2989</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2990</v>
      </c>
      <c r="C85" s="103" t="n">
        <f aca="false">IF(Prof_DiscCount&gt;=4,1,0)</f>
        <v>0</v>
      </c>
    </row>
    <row r="86" customFormat="false" ht="15" hidden="false" customHeight="true" outlineLevel="0" collapsed="false">
      <c r="B86" s="1" t="s">
        <v>2991</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2992</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2993</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2994</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2995</v>
      </c>
      <c r="C90" s="103" t="n">
        <f aca="false">MAX(Prof_SA,Prof_SB,Prof_SE,Prof_SC)</f>
        <v>0</v>
      </c>
    </row>
    <row r="91" customFormat="false" ht="15" hidden="false" customHeight="true" outlineLevel="0" collapsed="false">
      <c r="B91" s="1" t="s">
        <v>2996</v>
      </c>
      <c r="C91" s="103" t="n">
        <f aca="false">IF(Prof_SA=Prof_Top,1,0)</f>
        <v>1</v>
      </c>
    </row>
    <row r="92" customFormat="false" ht="15" hidden="false" customHeight="true" outlineLevel="0" collapsed="false">
      <c r="B92" s="1" t="s">
        <v>2997</v>
      </c>
      <c r="C92" s="103" t="n">
        <f aca="false">IF(Prof_SB=Prof_Top,1,0)</f>
        <v>1</v>
      </c>
    </row>
    <row r="93" customFormat="false" ht="15" hidden="false" customHeight="true" outlineLevel="0" collapsed="false">
      <c r="B93" s="1" t="s">
        <v>2998</v>
      </c>
      <c r="C93" s="103" t="n">
        <f aca="false">IF(Prof_SE=Prof_Top,1,0)</f>
        <v>1</v>
      </c>
    </row>
    <row r="94" customFormat="false" ht="15" hidden="false" customHeight="true" outlineLevel="0" collapsed="false">
      <c r="B94" s="1" t="s">
        <v>2999</v>
      </c>
      <c r="C94" s="103" t="n">
        <f aca="false">IF(Prof_SC=Prof_Top,1,0)</f>
        <v>1</v>
      </c>
    </row>
    <row r="95" customFormat="false" ht="15" hidden="false" customHeight="true" outlineLevel="0" collapsed="false">
      <c r="B95" s="1" t="s">
        <v>3000</v>
      </c>
      <c r="C95" s="103" t="n">
        <f aca="false">Prof_TA+Prof_TB+Prof_TE+Prof_TC</f>
        <v>4</v>
      </c>
    </row>
    <row r="96" customFormat="false" ht="15" hidden="false" customHeight="true" outlineLevel="0" collapsed="false">
      <c r="B96" s="1" t="s">
        <v>3001</v>
      </c>
      <c r="C96" s="103" t="str">
        <f aca="false">IF(PA_2&gt;0,CHOOSE(PA_2,IF(Prof_TA=1,"A",""),IF(Prof_TB=1,"B",""),IF(Prof_TE=1,"E",""),IF(Prof_TC=1,"C","")),"")</f>
        <v/>
      </c>
    </row>
    <row r="97" customFormat="false" ht="15" hidden="false" customHeight="true" outlineLevel="0" collapsed="false">
      <c r="B97" s="1" t="s">
        <v>3002</v>
      </c>
      <c r="C97" s="103" t="n">
        <f aca="false">IF(PA_4&gt;0,CHOOSE(PA_4,Prof_TE,Prof_TA,Prof_TB,Prof_TB+Prof_TC),0)</f>
        <v>0</v>
      </c>
    </row>
    <row r="98" customFormat="false" ht="15" hidden="false" customHeight="true" outlineLevel="0" collapsed="false">
      <c r="B98" s="1" t="s">
        <v>3003</v>
      </c>
      <c r="C98" s="103" t="str">
        <f aca="false">IF(Prof_Q4N=1,CHOOSE(PA_4,"E","A","B",IF(Prof_TB=1,"B","C")),"")</f>
        <v/>
      </c>
    </row>
    <row r="99" customFormat="false" ht="15" hidden="false" customHeight="true" outlineLevel="0" collapsed="false">
      <c r="B99" s="1" t="s">
        <v>3004</v>
      </c>
      <c r="C99" s="103" t="str">
        <f aca="false">IF(Prof_TB=1,"B",IF(Prof_TA=1,"A",IF(Prof_TC=1,"C","E")))</f>
        <v>B</v>
      </c>
    </row>
    <row r="100" customFormat="false" ht="15" hidden="false" customHeight="true" outlineLevel="0" collapsed="false">
      <c r="B100" s="1" t="s">
        <v>3005</v>
      </c>
      <c r="C100" s="103" t="str">
        <f aca="false">IF(Prof_DiscCount&lt;4,"",IF(Prof_TiedN=1,IF(Prof_TA=1,"A",IF(Prof_TB=1,"B",IF(Prof_TE=1,"E","C"))),IF(Prof_L2&lt;&gt;"",Prof_L2,IF(Prof_Q4L&lt;&gt;"",Prof_Q4L,Prof_First))))</f>
        <v/>
      </c>
    </row>
    <row r="101" customFormat="false" ht="15" hidden="false" customHeight="true" outlineLevel="0" collapsed="false">
      <c r="B101" s="1" t="s">
        <v>3006</v>
      </c>
      <c r="C101" s="103" t="str">
        <f aca="false">IF(Prof_TypeKey="","",IF(Prof_TypeKey="A","Achiever",IF(Prof_TypeKey="B","Balancer",IF(Prof_TypeKey="E","Explorer","Contented"))))</f>
        <v/>
      </c>
    </row>
    <row r="102" customFormat="false" ht="15" hidden="false" customHeight="true" outlineLevel="0" collapsed="false">
      <c r="B102" s="1" t="s">
        <v>3007</v>
      </c>
      <c r="C102" s="103" t="n">
        <f aca="false">IF(PA_6&gt;0,SUMIFS('Plan profile'!$C$23:$C$75,Prof_Key,"6|"&amp;PA_6),-1)</f>
        <v>-1</v>
      </c>
    </row>
    <row r="103" customFormat="false" ht="15" hidden="false" customHeight="true" outlineLevel="0" collapsed="false">
      <c r="B103" s="1" t="s">
        <v>3008</v>
      </c>
      <c r="C103" s="103" t="n">
        <f aca="false">IF(PA_7&gt;0,SUMIFS('Plan profile'!$C$23:$C$75,Prof_Key,"7|"&amp;PA_7),-1)</f>
        <v>-1</v>
      </c>
    </row>
    <row r="104" customFormat="false" ht="15" hidden="false" customHeight="true" outlineLevel="0" collapsed="false">
      <c r="B104" s="1" t="s">
        <v>3009</v>
      </c>
      <c r="C104" s="103" t="n">
        <f aca="false">IF(PA_8&gt;0,SUMIFS('Plan profile'!$C$23:$C$75,Prof_Key,"8|"&amp;PA_8),-1)</f>
        <v>-1</v>
      </c>
    </row>
    <row r="105" customFormat="false" ht="15" hidden="false" customHeight="true" outlineLevel="0" collapsed="false">
      <c r="B105" s="1" t="s">
        <v>3010</v>
      </c>
      <c r="C105" s="103" t="n">
        <f aca="false">IF(PA_9&gt;0,SUMIFS('Plan profile'!$C$23:$C$75,Prof_Key,"9|"&amp;PA_9),-1)</f>
        <v>-1</v>
      </c>
    </row>
    <row r="106" customFormat="false" ht="15" hidden="false" customHeight="true" outlineLevel="0" collapsed="false">
      <c r="B106" s="1" t="s">
        <v>3011</v>
      </c>
      <c r="C106" s="103" t="n">
        <f aca="false">IF(Prof_UmCount=13,1,0)</f>
        <v>0</v>
      </c>
    </row>
    <row r="107" customFormat="false" ht="15" hidden="false" customHeight="true" outlineLevel="0" collapsed="false">
      <c r="B107" s="1" t="s">
        <v>3012</v>
      </c>
      <c r="C107" s="103" t="n">
        <f aca="false">IF(COUNTIFS(GL_Kind,"pot",GL_AgeRaw,"&gt;"&amp;(F_Age+2))=0,9999,_xlfn.MINIFS(GL_AgeRaw,GL_Kind,"pot",GL_AgeRaw,"&gt;"&amp;(F_Age+2)))</f>
        <v>9999</v>
      </c>
    </row>
    <row r="108" customFormat="false" ht="15" hidden="false" customHeight="true" outlineLevel="0" collapsed="false">
      <c r="B108" s="1" t="s">
        <v>3013</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3014</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3015</v>
      </c>
      <c r="C110" s="103" t="n">
        <f aca="false">IF(PA_u9&gt;0,PA_u9-1,Prof_SuggestU9)</f>
        <v>3</v>
      </c>
    </row>
    <row r="111" customFormat="false" ht="15" hidden="false" customHeight="true" outlineLevel="0" collapsed="false">
      <c r="B111" s="1" t="s">
        <v>3016</v>
      </c>
      <c r="C111" s="103" t="str">
        <f aca="false">IF(OR(Prof_q8&lt;0,Prof_q9&lt;0),"",MIN(Prof_q8+IF(AND(Prof_q9=4,Prof_q8&gt;=3),1,0),IF(Prof_q9=1,2,IF(Prof_q9=2,3,5))))</f>
        <v/>
      </c>
    </row>
    <row r="112" customFormat="false" ht="15" hidden="false" customHeight="true" outlineLevel="0" collapsed="false">
      <c r="B112" s="1" t="s">
        <v>3017</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3018</v>
      </c>
      <c r="C113" s="103" t="str">
        <f aca="false">IF(Prof_T="","",CHOOSE(Prof_Wait+1,1,2,4,5))</f>
        <v/>
      </c>
    </row>
    <row r="114" customFormat="false" ht="15" hidden="false" customHeight="true" outlineLevel="0" collapsed="false">
      <c r="B114" s="1" t="s">
        <v>3019</v>
      </c>
      <c r="C114" s="103" t="str">
        <f aca="false">IF(Prof_T="","",IF(OR(Prof_Full=0,PA_u11=0),3,MIN(CHOOSE(PA_u11,3,4,5,IF(PA_chipShares=1,5,4)),IF(AND(PA_u11&gt;=3,PA_chipsN&gt;0,PA_chipsSafe=1),4,9))))</f>
        <v/>
      </c>
    </row>
    <row r="115" customFormat="false" ht="15" hidden="false" customHeight="true" outlineLevel="0" collapsed="false">
      <c r="B115" s="1" t="s">
        <v>3020</v>
      </c>
      <c r="C115" s="103" t="str">
        <f aca="false">IF(Prof_T="","",MIN(Prof_T,Prof_C,Prof_H,Prof_KE))</f>
        <v/>
      </c>
    </row>
    <row r="116" customFormat="false" ht="15" hidden="false" customHeight="true" outlineLevel="0" collapsed="false">
      <c r="B116" s="1" t="s">
        <v>3021</v>
      </c>
      <c r="C116" s="103" t="str">
        <f aca="false">IF(Prof_Level="","",CHOOSE(Prof_Level,"Cautious","Cautious–balanced","Balanced","Balanced–growth","Growth"))</f>
        <v/>
      </c>
    </row>
    <row r="117" customFormat="false" ht="15" hidden="false" customHeight="true" outlineLevel="0" collapsed="false">
      <c r="B117" s="1" t="s">
        <v>3022</v>
      </c>
      <c r="C117" s="103" t="str">
        <f aca="false">IF(Prof_Level="","",IF(Prof_Level=Prof_T,"want",IF(Prof_Level=Prof_C,"can",IF(Prof_Level=Prof_H,"time","experience"))))</f>
        <v/>
      </c>
    </row>
    <row r="118" customFormat="false" ht="15" hidden="false" customHeight="true" outlineLevel="0" collapsed="false">
      <c r="B118" s="1" t="s">
        <v>3023</v>
      </c>
      <c r="C118" s="103" t="str">
        <f aca="false">IF(Prof_q8&lt;=0,"",CHOOSE(Prof_q8,"Steady","Mostly steady","Balanced","Adventurous"))</f>
        <v/>
      </c>
    </row>
    <row r="119" customFormat="false" ht="15" hidden="false" customHeight="true" outlineLevel="0" collapsed="false">
      <c r="B119" s="1" t="s">
        <v>3024</v>
      </c>
      <c r="C119" s="103" t="str">
        <f aca="false">IF(Prof_q7&lt;0,"",IF(Prof_q7=4,"Strong","Thin"))</f>
        <v/>
      </c>
    </row>
    <row r="120" customFormat="false" ht="15" hidden="false" customHeight="true" outlineLevel="0" collapsed="false">
      <c r="B120" s="1" t="s">
        <v>3025</v>
      </c>
      <c r="C120" s="103" t="n">
        <f aca="false">IF(Prof_Full=1,0,1)</f>
        <v>1</v>
      </c>
    </row>
    <row r="121" customFormat="false" ht="15" hidden="false" customHeight="true" outlineLevel="0" collapsed="false">
      <c r="B121" s="1" t="s">
        <v>3026</v>
      </c>
      <c r="C121" s="103" t="n">
        <f aca="false">IF(Prof_q8&gt;=3,1,0)</f>
        <v>0</v>
      </c>
    </row>
    <row r="122" customFormat="false" ht="15" hidden="false" customHeight="true" outlineLevel="0" collapsed="false">
      <c r="B122" s="1" t="s">
        <v>3027</v>
      </c>
      <c r="C122" s="103" t="n">
        <f aca="false">IF(AND(Prof_q8&gt;=1,Prof_q8&lt;=2),1,0)</f>
        <v>0</v>
      </c>
    </row>
    <row r="123" customFormat="false" ht="15" hidden="false" customHeight="true" outlineLevel="0" collapsed="false">
      <c r="B123" s="1" t="s">
        <v>3028</v>
      </c>
      <c r="C123" s="103" t="n">
        <f aca="false">IF(Prof_q9&gt;=3,1,0)</f>
        <v>0</v>
      </c>
    </row>
    <row r="124" customFormat="false" ht="15" hidden="false" customHeight="true" outlineLevel="0" collapsed="false">
      <c r="B124" s="1" t="s">
        <v>3029</v>
      </c>
      <c r="C124" s="103" t="n">
        <f aca="false">IF(AND(Prof_q9&gt;=1,Prof_q9&lt;=2),1,0)</f>
        <v>0</v>
      </c>
    </row>
    <row r="125" customFormat="false" ht="15" hidden="false" customHeight="true" outlineLevel="0" collapsed="false">
      <c r="B125" s="1" t="s">
        <v>3030</v>
      </c>
      <c r="C125" s="103" t="n">
        <f aca="false">IF(OR(AND(Prof_q7&gt;=0,Prof_q7&lt;=2),AND(Prof_Full=1,PA_u14&gt;0,PA_u14&lt;=2)),1,0)</f>
        <v>0</v>
      </c>
    </row>
    <row r="126" customFormat="false" ht="15" hidden="false" customHeight="true" outlineLevel="0" collapsed="false">
      <c r="B126" s="1" t="s">
        <v>3031</v>
      </c>
      <c r="C126" s="103" t="n">
        <f aca="false">IF(AND(Prof_Full=1,Prof_H&lt;&gt;"",Prof_H&lt;=2),1,0)</f>
        <v>0</v>
      </c>
    </row>
    <row r="127" customFormat="false" ht="15" hidden="false" customHeight="true" outlineLevel="0" collapsed="false">
      <c r="B127" s="1" t="s">
        <v>3032</v>
      </c>
      <c r="C127" s="103" t="n">
        <f aca="false">IF(AND(Prof_Full=1,Prof_C&lt;&gt;"",Prof_C&lt;=2),1,0)</f>
        <v>0</v>
      </c>
    </row>
    <row r="128" customFormat="false" ht="15" hidden="false" customHeight="true" outlineLevel="0" collapsed="false">
      <c r="B128" s="1" t="s">
        <v>3033</v>
      </c>
      <c r="C128" s="103" t="n">
        <f aca="false">IF(OR(Prof_Thin=1,Prof_LossLo=1,Prof_ShortT=1),1,0)</f>
        <v>0</v>
      </c>
    </row>
    <row r="129" customFormat="false" ht="15" hidden="false" customHeight="true" outlineLevel="0" collapsed="false">
      <c r="B129" s="1" t="s">
        <v>3034</v>
      </c>
      <c r="C129" s="103" t="n">
        <f aca="false">IF(Prof_Level="",0,IF(Prof_Full=1,IF(AND(Prof_C&gt;=4,Prof_H&gt;=4),1,0),IF(AND(Prof_q7=4,Prof_q6&gt;=3),1,0)))</f>
        <v>0</v>
      </c>
    </row>
    <row r="130" customFormat="false" ht="15" hidden="false" customHeight="true" outlineLevel="0" collapsed="false">
      <c r="B130" s="1" t="s">
        <v>3035</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3036</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3037</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3038</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3039</v>
      </c>
      <c r="C134" s="103" t="str">
        <f aca="false">MID(IF(IF(PA_8&gt;0,INDEX('Plan profile'!$H$23:$H$75,MATCH("8|"&amp;PA_8,Prof_Key,0)),"")="","","|"&amp;IF(PA_8&gt;0,INDEX('Plan profile'!$H$23:$H$75,MATCH("8|"&amp;PA_8,Prof_Key,0)),"")),2,500)</f>
        <v/>
      </c>
    </row>
    <row r="135" customFormat="false" ht="15" hidden="false" customHeight="true" outlineLevel="0" collapsed="false">
      <c r="B135" s="1" t="s">
        <v>3040</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3041</v>
      </c>
    </row>
    <row r="2" customFormat="false" ht="39.75" hidden="false" customHeight="true" outlineLevel="0" collapsed="false">
      <c r="B2" s="91" t="s">
        <v>3042</v>
      </c>
      <c r="C2" s="91"/>
      <c r="D2" s="91"/>
      <c r="E2" s="91"/>
      <c r="F2" s="91"/>
      <c r="G2" s="91"/>
      <c r="H2" s="91"/>
      <c r="I2" s="91"/>
      <c r="J2" s="91"/>
      <c r="K2" s="91"/>
      <c r="L2" s="91"/>
    </row>
    <row r="6" customFormat="false" ht="81.75" hidden="false" customHeight="true" outlineLevel="0" collapsed="false">
      <c r="A6" s="93" t="s">
        <v>1861</v>
      </c>
      <c r="B6" s="100" t="s">
        <v>1862</v>
      </c>
      <c r="C6" s="100" t="s">
        <v>3043</v>
      </c>
      <c r="D6" s="100" t="s">
        <v>3044</v>
      </c>
      <c r="E6" s="100" t="s">
        <v>3045</v>
      </c>
      <c r="F6" s="100" t="s">
        <v>3046</v>
      </c>
      <c r="G6" s="100" t="s">
        <v>3047</v>
      </c>
      <c r="H6" s="100" t="s">
        <v>3048</v>
      </c>
      <c r="I6" s="100" t="s">
        <v>3049</v>
      </c>
      <c r="J6" s="100" t="s">
        <v>3050</v>
      </c>
      <c r="K6" s="100" t="s">
        <v>3051</v>
      </c>
      <c r="L6" s="100" t="s">
        <v>3052</v>
      </c>
      <c r="M6" s="100" t="s">
        <v>3053</v>
      </c>
      <c r="N6" s="100" t="s">
        <v>3054</v>
      </c>
      <c r="O6" s="100" t="s">
        <v>3055</v>
      </c>
      <c r="P6" s="100" t="s">
        <v>3056</v>
      </c>
      <c r="Q6" s="100" t="s">
        <v>3057</v>
      </c>
      <c r="R6" s="100" t="s">
        <v>3058</v>
      </c>
      <c r="S6" s="100" t="s">
        <v>3059</v>
      </c>
      <c r="T6" s="100" t="s">
        <v>3060</v>
      </c>
      <c r="U6" s="100" t="s">
        <v>3061</v>
      </c>
      <c r="V6" s="100" t="s">
        <v>3062</v>
      </c>
      <c r="W6" s="100" t="s">
        <v>3063</v>
      </c>
      <c r="X6" s="100" t="s">
        <v>3064</v>
      </c>
      <c r="Y6" s="100" t="s">
        <v>3065</v>
      </c>
      <c r="Z6" s="100" t="s">
        <v>3066</v>
      </c>
      <c r="AA6" s="100" t="s">
        <v>3067</v>
      </c>
      <c r="AB6" s="100" t="s">
        <v>3068</v>
      </c>
      <c r="AC6" s="100" t="s">
        <v>3069</v>
      </c>
      <c r="AD6" s="100" t="s">
        <v>3070</v>
      </c>
      <c r="AE6" s="100" t="s">
        <v>3071</v>
      </c>
      <c r="AF6" s="100" t="s">
        <v>3072</v>
      </c>
      <c r="AG6" s="100" t="s">
        <v>3073</v>
      </c>
      <c r="AH6" s="100" t="s">
        <v>3074</v>
      </c>
      <c r="AI6" s="100" t="s">
        <v>3075</v>
      </c>
      <c r="AJ6" s="100" t="s">
        <v>3076</v>
      </c>
      <c r="AK6" s="100" t="s">
        <v>3077</v>
      </c>
      <c r="AL6" s="100" t="s">
        <v>3078</v>
      </c>
      <c r="AM6" s="100" t="s">
        <v>3079</v>
      </c>
      <c r="AN6" s="100" t="s">
        <v>3080</v>
      </c>
      <c r="AO6" s="100" t="s">
        <v>3081</v>
      </c>
      <c r="AP6" s="100" t="s">
        <v>3082</v>
      </c>
      <c r="AQ6" s="100" t="s">
        <v>3083</v>
      </c>
      <c r="AR6" s="100" t="s">
        <v>3084</v>
      </c>
      <c r="AS6" s="100" t="s">
        <v>3085</v>
      </c>
      <c r="AT6" s="100" t="s">
        <v>3086</v>
      </c>
      <c r="AU6" s="100" t="s">
        <v>3087</v>
      </c>
      <c r="AV6" s="100" t="s">
        <v>3088</v>
      </c>
      <c r="AW6" s="100" t="s">
        <v>3089</v>
      </c>
      <c r="AX6" s="100" t="s">
        <v>3090</v>
      </c>
      <c r="AY6" s="100" t="s">
        <v>3091</v>
      </c>
      <c r="AZ6" s="100" t="s">
        <v>3092</v>
      </c>
      <c r="BA6" s="100" t="s">
        <v>3093</v>
      </c>
      <c r="BB6" s="100" t="s">
        <v>3094</v>
      </c>
      <c r="BC6" s="100" t="s">
        <v>3095</v>
      </c>
      <c r="BD6" s="100" t="s">
        <v>3096</v>
      </c>
      <c r="BE6" s="100" t="s">
        <v>3097</v>
      </c>
      <c r="BF6" s="100" t="s">
        <v>3098</v>
      </c>
      <c r="BG6" s="100" t="s">
        <v>3099</v>
      </c>
      <c r="BH6" s="100" t="s">
        <v>3100</v>
      </c>
      <c r="BI6" s="100" t="s">
        <v>3101</v>
      </c>
      <c r="BJ6" s="100" t="s">
        <v>3102</v>
      </c>
      <c r="BK6" s="100" t="s">
        <v>3103</v>
      </c>
      <c r="BL6" s="100" t="s">
        <v>3104</v>
      </c>
      <c r="BM6" s="100" t="s">
        <v>3105</v>
      </c>
      <c r="BN6" s="100" t="s">
        <v>3106</v>
      </c>
      <c r="BO6" s="100" t="s">
        <v>3107</v>
      </c>
      <c r="BP6" s="100" t="s">
        <v>3108</v>
      </c>
      <c r="BQ6" s="100" t="s">
        <v>3109</v>
      </c>
      <c r="BR6" s="100" t="s">
        <v>3110</v>
      </c>
      <c r="BS6" s="100" t="s">
        <v>3111</v>
      </c>
      <c r="BT6" s="100" t="s">
        <v>3112</v>
      </c>
      <c r="BU6" s="100" t="s">
        <v>3113</v>
      </c>
      <c r="BV6" s="100" t="s">
        <v>3114</v>
      </c>
      <c r="BW6" s="100" t="s">
        <v>3115</v>
      </c>
      <c r="BX6" s="100" t="s">
        <v>3116</v>
      </c>
      <c r="BY6" s="100" t="s">
        <v>3117</v>
      </c>
      <c r="BZ6" s="100" t="s">
        <v>3118</v>
      </c>
      <c r="CA6" s="100" t="s">
        <v>3119</v>
      </c>
      <c r="CB6" s="100" t="s">
        <v>3120</v>
      </c>
      <c r="CC6" s="100" t="s">
        <v>3121</v>
      </c>
      <c r="CD6" s="100" t="s">
        <v>3122</v>
      </c>
      <c r="CE6" s="100" t="s">
        <v>3123</v>
      </c>
      <c r="CF6" s="100" t="s">
        <v>3124</v>
      </c>
      <c r="CG6" s="100" t="s">
        <v>3125</v>
      </c>
      <c r="CH6" s="100" t="s">
        <v>3126</v>
      </c>
      <c r="CI6" s="100" t="s">
        <v>3127</v>
      </c>
      <c r="CJ6" s="100" t="s">
        <v>3128</v>
      </c>
      <c r="CK6" s="100" t="s">
        <v>3129</v>
      </c>
      <c r="CL6" s="100" t="s">
        <v>3130</v>
      </c>
      <c r="CM6" s="100" t="s">
        <v>3131</v>
      </c>
      <c r="CN6" s="100" t="s">
        <v>3132</v>
      </c>
      <c r="CO6" s="100" t="s">
        <v>3133</v>
      </c>
      <c r="CP6" s="100" t="s">
        <v>3134</v>
      </c>
      <c r="CQ6" s="100" t="s">
        <v>3135</v>
      </c>
      <c r="CR6" s="100" t="s">
        <v>3136</v>
      </c>
      <c r="CS6" s="100" t="s">
        <v>3137</v>
      </c>
      <c r="CT6" s="100" t="s">
        <v>3138</v>
      </c>
      <c r="CU6" s="100" t="s">
        <v>3139</v>
      </c>
      <c r="CV6" s="100" t="s">
        <v>3140</v>
      </c>
      <c r="CW6" s="100" t="s">
        <v>3141</v>
      </c>
      <c r="CX6" s="100" t="s">
        <v>3142</v>
      </c>
      <c r="CY6" s="100" t="s">
        <v>3143</v>
      </c>
      <c r="CZ6" s="100" t="s">
        <v>3144</v>
      </c>
      <c r="DA6" s="100" t="s">
        <v>3145</v>
      </c>
      <c r="DB6" s="100" t="s">
        <v>3146</v>
      </c>
      <c r="DC6" s="100" t="s">
        <v>3147</v>
      </c>
      <c r="DD6" s="100" t="s">
        <v>3148</v>
      </c>
      <c r="DE6" s="100" t="s">
        <v>3149</v>
      </c>
      <c r="DF6" s="100" t="s">
        <v>3150</v>
      </c>
      <c r="DG6" s="100" t="s">
        <v>3151</v>
      </c>
    </row>
    <row r="7" customFormat="false" ht="15" hidden="false" customHeight="true" outlineLevel="0" collapsed="false">
      <c r="A7" s="1" t="s">
        <v>1931</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3152</v>
      </c>
    </row>
    <row r="3" customFormat="false" ht="105" hidden="false" customHeight="true" outlineLevel="0" collapsed="false">
      <c r="B3" s="113" t="s">
        <v>3153</v>
      </c>
      <c r="C3" s="117" t="s">
        <v>3154</v>
      </c>
    </row>
    <row r="4" customFormat="false" ht="135" hidden="false" customHeight="true" outlineLevel="0" collapsed="false">
      <c r="B4" s="113" t="s">
        <v>3155</v>
      </c>
      <c r="C4" s="117" t="s">
        <v>3156</v>
      </c>
    </row>
    <row r="5" customFormat="false" ht="45" hidden="false" customHeight="true" outlineLevel="0" collapsed="false">
      <c r="B5" s="113" t="s">
        <v>3157</v>
      </c>
      <c r="C5" s="117" t="s">
        <v>3158</v>
      </c>
    </row>
    <row r="6" customFormat="false" ht="120" hidden="false" customHeight="true" outlineLevel="0" collapsed="false">
      <c r="B6" s="113" t="s">
        <v>3159</v>
      </c>
      <c r="C6" s="117" t="s">
        <v>3160</v>
      </c>
    </row>
    <row r="7" customFormat="false" ht="105" hidden="false" customHeight="true" outlineLevel="0" collapsed="false">
      <c r="B7" s="113" t="s">
        <v>3161</v>
      </c>
      <c r="C7" s="117" t="s">
        <v>3162</v>
      </c>
    </row>
    <row r="8" customFormat="false" ht="90" hidden="false" customHeight="true" outlineLevel="0" collapsed="false">
      <c r="B8" s="113" t="s">
        <v>3163</v>
      </c>
      <c r="C8" s="117" t="s">
        <v>3164</v>
      </c>
    </row>
    <row r="9" customFormat="false" ht="90" hidden="false" customHeight="true" outlineLevel="0" collapsed="false">
      <c r="B9" s="113" t="s">
        <v>3165</v>
      </c>
      <c r="C9" s="117" t="s">
        <v>3166</v>
      </c>
    </row>
    <row r="10" customFormat="false" ht="45" hidden="false" customHeight="true" outlineLevel="0" collapsed="false">
      <c r="B10" s="113" t="s">
        <v>3167</v>
      </c>
      <c r="C10" s="117" t="s">
        <v>3168</v>
      </c>
    </row>
    <row r="11" customFormat="false" ht="105" hidden="false" customHeight="true" outlineLevel="0" collapsed="false">
      <c r="B11" s="113" t="s">
        <v>3169</v>
      </c>
      <c r="C11" s="117" t="s">
        <v>3170</v>
      </c>
    </row>
    <row r="12" customFormat="false" ht="75" hidden="false" customHeight="true" outlineLevel="0" collapsed="false">
      <c r="B12" s="113" t="s">
        <v>3171</v>
      </c>
      <c r="C12" s="117" t="s">
        <v>3172</v>
      </c>
    </row>
    <row r="13" customFormat="false" ht="105" hidden="false" customHeight="true" outlineLevel="0" collapsed="false">
      <c r="B13" s="113" t="s">
        <v>3173</v>
      </c>
      <c r="C13" s="117" t="s">
        <v>3174</v>
      </c>
    </row>
    <row r="14" customFormat="false" ht="255" hidden="false" customHeight="true" outlineLevel="0" collapsed="false">
      <c r="B14" s="113" t="s">
        <v>3175</v>
      </c>
      <c r="C14" s="117" t="s">
        <v>3176</v>
      </c>
    </row>
    <row r="15" customFormat="false" ht="135" hidden="false" customHeight="true" outlineLevel="0" collapsed="false">
      <c r="B15" s="113" t="s">
        <v>3177</v>
      </c>
      <c r="C15" s="117" t="s">
        <v>3178</v>
      </c>
    </row>
    <row r="16" customFormat="false" ht="255" hidden="false" customHeight="true" outlineLevel="0" collapsed="false">
      <c r="B16" s="113" t="s">
        <v>3179</v>
      </c>
      <c r="C16" s="117" t="s">
        <v>3180</v>
      </c>
    </row>
    <row r="18" customFormat="false" ht="15" hidden="false" customHeight="true" outlineLevel="0" collapsed="false">
      <c r="B18" s="113" t="s">
        <v>3181</v>
      </c>
    </row>
    <row r="19" customFormat="false" ht="15" hidden="false" customHeight="true" outlineLevel="0" collapsed="false">
      <c r="B19" s="93" t="s">
        <v>3182</v>
      </c>
      <c r="C19" s="93" t="s">
        <v>3183</v>
      </c>
    </row>
    <row r="20" customFormat="false" ht="15" hidden="false" customHeight="true" outlineLevel="0" collapsed="false">
      <c r="B20" s="1" t="s">
        <v>3184</v>
      </c>
      <c r="C20" s="1" t="s">
        <v>3185</v>
      </c>
    </row>
    <row r="21" customFormat="false" ht="15" hidden="false" customHeight="true" outlineLevel="0" collapsed="false">
      <c r="B21" s="1" t="s">
        <v>3186</v>
      </c>
      <c r="C21" s="1" t="s">
        <v>3187</v>
      </c>
    </row>
    <row r="22" customFormat="false" ht="15" hidden="false" customHeight="true" outlineLevel="0" collapsed="false">
      <c r="B22" s="1" t="s">
        <v>3188</v>
      </c>
      <c r="C22" s="1" t="s">
        <v>3189</v>
      </c>
    </row>
    <row r="23" customFormat="false" ht="15" hidden="false" customHeight="true" outlineLevel="0" collapsed="false">
      <c r="B23" s="1" t="s">
        <v>3190</v>
      </c>
      <c r="C23" s="1" t="s">
        <v>3191</v>
      </c>
    </row>
    <row r="24" customFormat="false" ht="15" hidden="false" customHeight="true" outlineLevel="0" collapsed="false">
      <c r="B24" s="1" t="s">
        <v>3192</v>
      </c>
      <c r="C24" s="1" t="s">
        <v>3193</v>
      </c>
    </row>
    <row r="25" customFormat="false" ht="15" hidden="false" customHeight="true" outlineLevel="0" collapsed="false">
      <c r="B25" s="1" t="s">
        <v>3194</v>
      </c>
      <c r="C25" s="1" t="s">
        <v>3195</v>
      </c>
    </row>
    <row r="26" customFormat="false" ht="15" hidden="false" customHeight="true" outlineLevel="0" collapsed="false">
      <c r="B26" s="1" t="s">
        <v>3196</v>
      </c>
      <c r="C26" s="1" t="s">
        <v>3197</v>
      </c>
    </row>
    <row r="27" customFormat="false" ht="15" hidden="false" customHeight="true" outlineLevel="0" collapsed="false">
      <c r="B27" s="1" t="s">
        <v>3198</v>
      </c>
      <c r="C27" s="1" t="s">
        <v>3199</v>
      </c>
    </row>
    <row r="28" customFormat="false" ht="15" hidden="false" customHeight="true" outlineLevel="0" collapsed="false">
      <c r="B28" s="1" t="s">
        <v>3200</v>
      </c>
      <c r="C28" s="1" t="s">
        <v>3201</v>
      </c>
    </row>
    <row r="29" customFormat="false" ht="15" hidden="false" customHeight="true" outlineLevel="0" collapsed="false">
      <c r="B29" s="1" t="s">
        <v>3202</v>
      </c>
      <c r="C29" s="1" t="s">
        <v>3203</v>
      </c>
    </row>
    <row r="30" customFormat="false" ht="15" hidden="false" customHeight="true" outlineLevel="0" collapsed="false">
      <c r="B30" s="1" t="s">
        <v>3204</v>
      </c>
      <c r="C30" s="1" t="s">
        <v>3205</v>
      </c>
    </row>
    <row r="31" customFormat="false" ht="15" hidden="false" customHeight="true" outlineLevel="0" collapsed="false">
      <c r="B31" s="1" t="s">
        <v>3206</v>
      </c>
      <c r="C31" s="1" t="s">
        <v>3207</v>
      </c>
    </row>
    <row r="32" customFormat="false" ht="15" hidden="false" customHeight="true" outlineLevel="0" collapsed="false">
      <c r="B32" s="1" t="s">
        <v>3208</v>
      </c>
      <c r="C32" s="1" t="s">
        <v>3209</v>
      </c>
    </row>
    <row r="33" customFormat="false" ht="15" hidden="false" customHeight="true" outlineLevel="0" collapsed="false">
      <c r="B33" s="1" t="s">
        <v>3210</v>
      </c>
      <c r="C33" s="1" t="s">
        <v>3211</v>
      </c>
    </row>
    <row r="34" customFormat="false" ht="15" hidden="false" customHeight="true" outlineLevel="0" collapsed="false">
      <c r="B34" s="1" t="s">
        <v>3212</v>
      </c>
      <c r="C34" s="1" t="s">
        <v>3213</v>
      </c>
    </row>
    <row r="35" customFormat="false" ht="15" hidden="false" customHeight="true" outlineLevel="0" collapsed="false">
      <c r="B35" s="1" t="s">
        <v>3214</v>
      </c>
      <c r="C35" s="1" t="s">
        <v>3215</v>
      </c>
    </row>
    <row r="36" customFormat="false" ht="15" hidden="false" customHeight="true" outlineLevel="0" collapsed="false">
      <c r="B36" s="1" t="s">
        <v>3216</v>
      </c>
      <c r="C36" s="1" t="s">
        <v>3217</v>
      </c>
    </row>
    <row r="37" customFormat="false" ht="15" hidden="false" customHeight="true" outlineLevel="0" collapsed="false">
      <c r="B37" s="1" t="s">
        <v>3218</v>
      </c>
      <c r="C37" s="1" t="s">
        <v>3219</v>
      </c>
    </row>
    <row r="38" customFormat="false" ht="15" hidden="false" customHeight="true" outlineLevel="0" collapsed="false">
      <c r="B38" s="1" t="s">
        <v>3220</v>
      </c>
      <c r="C38" s="1" t="s">
        <v>3221</v>
      </c>
    </row>
    <row r="39" customFormat="false" ht="15" hidden="false" customHeight="true" outlineLevel="0" collapsed="false">
      <c r="B39" s="1" t="s">
        <v>3222</v>
      </c>
      <c r="C39" s="1" t="s">
        <v>3223</v>
      </c>
    </row>
    <row r="40" customFormat="false" ht="15" hidden="false" customHeight="true" outlineLevel="0" collapsed="false">
      <c r="B40" s="1" t="s">
        <v>3224</v>
      </c>
      <c r="C40" s="1" t="s">
        <v>3225</v>
      </c>
    </row>
    <row r="41" customFormat="false" ht="15" hidden="false" customHeight="true" outlineLevel="0" collapsed="false">
      <c r="B41" s="1" t="s">
        <v>3226</v>
      </c>
      <c r="C41" s="1" t="s">
        <v>3227</v>
      </c>
    </row>
    <row r="42" customFormat="false" ht="15" hidden="false" customHeight="true" outlineLevel="0" collapsed="false">
      <c r="B42" s="1" t="s">
        <v>3228</v>
      </c>
      <c r="C42" s="1" t="s">
        <v>3229</v>
      </c>
    </row>
    <row r="43" customFormat="false" ht="15" hidden="false" customHeight="true" outlineLevel="0" collapsed="false">
      <c r="B43" s="1" t="s">
        <v>3230</v>
      </c>
      <c r="C43" s="1" t="s">
        <v>3231</v>
      </c>
    </row>
    <row r="44" customFormat="false" ht="15" hidden="false" customHeight="true" outlineLevel="0" collapsed="false">
      <c r="B44" s="1" t="s">
        <v>3232</v>
      </c>
      <c r="C44" s="1" t="s">
        <v>3233</v>
      </c>
    </row>
    <row r="45" customFormat="false" ht="15" hidden="false" customHeight="true" outlineLevel="0" collapsed="false">
      <c r="B45" s="1" t="s">
        <v>3234</v>
      </c>
      <c r="C45" s="1" t="s">
        <v>3235</v>
      </c>
    </row>
    <row r="46" customFormat="false" ht="15" hidden="false" customHeight="true" outlineLevel="0" collapsed="false">
      <c r="B46" s="1" t="s">
        <v>3236</v>
      </c>
      <c r="C46" s="1" t="s">
        <v>3237</v>
      </c>
    </row>
    <row r="47" customFormat="false" ht="15" hidden="false" customHeight="true" outlineLevel="0" collapsed="false">
      <c r="B47" s="1" t="s">
        <v>3238</v>
      </c>
      <c r="C47" s="1" t="s">
        <v>3239</v>
      </c>
    </row>
    <row r="48" customFormat="false" ht="15" hidden="false" customHeight="true" outlineLevel="0" collapsed="false">
      <c r="B48" s="1" t="s">
        <v>3240</v>
      </c>
      <c r="C48" s="1" t="s">
        <v>3241</v>
      </c>
    </row>
    <row r="49" customFormat="false" ht="15" hidden="false" customHeight="true" outlineLevel="0" collapsed="false">
      <c r="B49" s="1" t="s">
        <v>3242</v>
      </c>
      <c r="C49" s="1" t="s">
        <v>3243</v>
      </c>
    </row>
    <row r="50" customFormat="false" ht="15" hidden="false" customHeight="true" outlineLevel="0" collapsed="false">
      <c r="B50" s="1" t="s">
        <v>3244</v>
      </c>
      <c r="C50" s="1" t="s">
        <v>3245</v>
      </c>
    </row>
    <row r="51" customFormat="false" ht="15" hidden="false" customHeight="true" outlineLevel="0" collapsed="false">
      <c r="B51" s="1" t="s">
        <v>3246</v>
      </c>
      <c r="C51" s="1" t="s">
        <v>3247</v>
      </c>
    </row>
    <row r="52" customFormat="false" ht="15" hidden="false" customHeight="true" outlineLevel="0" collapsed="false">
      <c r="B52" s="1" t="s">
        <v>3248</v>
      </c>
      <c r="C52" s="1" t="s">
        <v>3249</v>
      </c>
    </row>
    <row r="53" customFormat="false" ht="15" hidden="false" customHeight="true" outlineLevel="0" collapsed="false">
      <c r="B53" s="1" t="s">
        <v>3250</v>
      </c>
      <c r="C53" s="1" t="s">
        <v>3251</v>
      </c>
    </row>
    <row r="54" customFormat="false" ht="15" hidden="false" customHeight="true" outlineLevel="0" collapsed="false">
      <c r="B54" s="1" t="s">
        <v>3252</v>
      </c>
      <c r="C54" s="1" t="s">
        <v>3253</v>
      </c>
    </row>
    <row r="55" customFormat="false" ht="15" hidden="false" customHeight="true" outlineLevel="0" collapsed="false">
      <c r="B55" s="1" t="s">
        <v>3254</v>
      </c>
      <c r="C55" s="1" t="s">
        <v>3255</v>
      </c>
    </row>
    <row r="56" customFormat="false" ht="15" hidden="false" customHeight="true" outlineLevel="0" collapsed="false">
      <c r="B56" s="1" t="s">
        <v>3256</v>
      </c>
      <c r="C56" s="1" t="s">
        <v>3257</v>
      </c>
    </row>
    <row r="57" customFormat="false" ht="15" hidden="false" customHeight="true" outlineLevel="0" collapsed="false">
      <c r="B57" s="1" t="s">
        <v>3258</v>
      </c>
      <c r="C57" s="1" t="s">
        <v>3259</v>
      </c>
    </row>
    <row r="58" customFormat="false" ht="15" hidden="false" customHeight="true" outlineLevel="0" collapsed="false">
      <c r="B58" s="1" t="s">
        <v>3260</v>
      </c>
      <c r="C58" s="1" t="s">
        <v>3261</v>
      </c>
    </row>
    <row r="59" customFormat="false" ht="15" hidden="false" customHeight="true" outlineLevel="0" collapsed="false">
      <c r="B59" s="1" t="s">
        <v>3262</v>
      </c>
      <c r="C59" s="1" t="s">
        <v>3263</v>
      </c>
    </row>
    <row r="60" customFormat="false" ht="15" hidden="false" customHeight="true" outlineLevel="0" collapsed="false">
      <c r="B60" s="1" t="s">
        <v>3264</v>
      </c>
      <c r="C60" s="1" t="s">
        <v>3265</v>
      </c>
    </row>
    <row r="61" customFormat="false" ht="15" hidden="false" customHeight="true" outlineLevel="0" collapsed="false">
      <c r="B61" s="1" t="s">
        <v>3266</v>
      </c>
      <c r="C61" s="1" t="s">
        <v>3267</v>
      </c>
    </row>
    <row r="62" customFormat="false" ht="15" hidden="false" customHeight="true" outlineLevel="0" collapsed="false">
      <c r="B62" s="1" t="s">
        <v>3268</v>
      </c>
      <c r="C62" s="1" t="s">
        <v>3269</v>
      </c>
    </row>
    <row r="63" customFormat="false" ht="15" hidden="false" customHeight="true" outlineLevel="0" collapsed="false">
      <c r="B63" s="1" t="s">
        <v>3270</v>
      </c>
      <c r="C63" s="1" t="s">
        <v>3271</v>
      </c>
    </row>
    <row r="64" customFormat="false" ht="15" hidden="false" customHeight="true" outlineLevel="0" collapsed="false">
      <c r="B64" s="1" t="s">
        <v>3272</v>
      </c>
      <c r="C64" s="1" t="s">
        <v>3273</v>
      </c>
    </row>
    <row r="65" customFormat="false" ht="15" hidden="false" customHeight="true" outlineLevel="0" collapsed="false">
      <c r="B65" s="1" t="s">
        <v>3274</v>
      </c>
      <c r="C65" s="1" t="s">
        <v>3275</v>
      </c>
    </row>
    <row r="66" customFormat="false" ht="15" hidden="false" customHeight="true" outlineLevel="0" collapsed="false">
      <c r="B66" s="1" t="s">
        <v>3276</v>
      </c>
      <c r="C66" s="1" t="s">
        <v>3277</v>
      </c>
    </row>
    <row r="67" customFormat="false" ht="15" hidden="false" customHeight="true" outlineLevel="0" collapsed="false">
      <c r="B67" s="1" t="s">
        <v>3278</v>
      </c>
      <c r="C67" s="1" t="s">
        <v>3279</v>
      </c>
    </row>
    <row r="68" customFormat="false" ht="15" hidden="false" customHeight="true" outlineLevel="0" collapsed="false">
      <c r="B68" s="1" t="s">
        <v>3280</v>
      </c>
      <c r="C68" s="1" t="s">
        <v>3281</v>
      </c>
    </row>
    <row r="69" customFormat="false" ht="15" hidden="false" customHeight="true" outlineLevel="0" collapsed="false">
      <c r="B69" s="1" t="s">
        <v>3282</v>
      </c>
      <c r="C69" s="1" t="s">
        <v>3283</v>
      </c>
    </row>
    <row r="70" customFormat="false" ht="15" hidden="false" customHeight="true" outlineLevel="0" collapsed="false">
      <c r="B70" s="1" t="s">
        <v>3284</v>
      </c>
      <c r="C70" s="1" t="s">
        <v>3285</v>
      </c>
    </row>
    <row r="71" customFormat="false" ht="15" hidden="false" customHeight="true" outlineLevel="0" collapsed="false">
      <c r="B71" s="1" t="s">
        <v>3286</v>
      </c>
      <c r="C71" s="1" t="s">
        <v>3287</v>
      </c>
    </row>
    <row r="72" customFormat="false" ht="15" hidden="false" customHeight="true" outlineLevel="0" collapsed="false">
      <c r="B72" s="1" t="s">
        <v>3288</v>
      </c>
      <c r="C72" s="1" t="s">
        <v>3289</v>
      </c>
    </row>
    <row r="73" customFormat="false" ht="15" hidden="false" customHeight="true" outlineLevel="0" collapsed="false">
      <c r="B73" s="1" t="s">
        <v>3290</v>
      </c>
      <c r="C73" s="1" t="s">
        <v>3291</v>
      </c>
    </row>
    <row r="74" customFormat="false" ht="15" hidden="false" customHeight="true" outlineLevel="0" collapsed="false">
      <c r="B74" s="1" t="s">
        <v>3292</v>
      </c>
      <c r="C74" s="1" t="s">
        <v>3293</v>
      </c>
    </row>
    <row r="75" customFormat="false" ht="15" hidden="false" customHeight="true" outlineLevel="0" collapsed="false">
      <c r="B75" s="1" t="s">
        <v>3294</v>
      </c>
      <c r="C75" s="1" t="s">
        <v>3295</v>
      </c>
    </row>
    <row r="76" customFormat="false" ht="15" hidden="false" customHeight="true" outlineLevel="0" collapsed="false">
      <c r="B76" s="1" t="s">
        <v>3296</v>
      </c>
      <c r="C76" s="1" t="s">
        <v>3297</v>
      </c>
    </row>
    <row r="77" customFormat="false" ht="15" hidden="false" customHeight="true" outlineLevel="0" collapsed="false">
      <c r="B77" s="1" t="s">
        <v>3298</v>
      </c>
      <c r="C77" s="1" t="s">
        <v>3299</v>
      </c>
    </row>
    <row r="78" customFormat="false" ht="15" hidden="false" customHeight="true" outlineLevel="0" collapsed="false">
      <c r="B78" s="1" t="s">
        <v>3300</v>
      </c>
      <c r="C78" s="1" t="s">
        <v>3301</v>
      </c>
    </row>
    <row r="79" customFormat="false" ht="15" hidden="false" customHeight="true" outlineLevel="0" collapsed="false">
      <c r="B79" s="1" t="s">
        <v>3302</v>
      </c>
      <c r="C79" s="1" t="s">
        <v>3303</v>
      </c>
    </row>
    <row r="80" customFormat="false" ht="15" hidden="false" customHeight="true" outlineLevel="0" collapsed="false">
      <c r="B80" s="1" t="s">
        <v>3304</v>
      </c>
      <c r="C80" s="1" t="s">
        <v>3305</v>
      </c>
    </row>
    <row r="81" customFormat="false" ht="15" hidden="false" customHeight="true" outlineLevel="0" collapsed="false">
      <c r="B81" s="1" t="s">
        <v>3306</v>
      </c>
      <c r="C81" s="1" t="s">
        <v>3307</v>
      </c>
    </row>
    <row r="82" customFormat="false" ht="15" hidden="false" customHeight="true" outlineLevel="0" collapsed="false">
      <c r="B82" s="1" t="s">
        <v>3308</v>
      </c>
      <c r="C82" s="1" t="s">
        <v>3309</v>
      </c>
    </row>
    <row r="83" customFormat="false" ht="15" hidden="false" customHeight="true" outlineLevel="0" collapsed="false">
      <c r="B83" s="1" t="s">
        <v>3310</v>
      </c>
      <c r="C83" s="1" t="s">
        <v>3311</v>
      </c>
    </row>
    <row r="84" customFormat="false" ht="15" hidden="false" customHeight="true" outlineLevel="0" collapsed="false">
      <c r="B84" s="1" t="s">
        <v>3312</v>
      </c>
      <c r="C84" s="1" t="s">
        <v>3313</v>
      </c>
    </row>
    <row r="85" customFormat="false" ht="15" hidden="false" customHeight="true" outlineLevel="0" collapsed="false">
      <c r="B85" s="1" t="s">
        <v>3314</v>
      </c>
      <c r="C85" s="1" t="s">
        <v>3315</v>
      </c>
    </row>
    <row r="86" customFormat="false" ht="15" hidden="false" customHeight="true" outlineLevel="0" collapsed="false">
      <c r="B86" s="1" t="s">
        <v>3316</v>
      </c>
      <c r="C86" s="1" t="s">
        <v>3317</v>
      </c>
    </row>
    <row r="87" customFormat="false" ht="15" hidden="false" customHeight="true" outlineLevel="0" collapsed="false">
      <c r="B87" s="1" t="s">
        <v>3318</v>
      </c>
      <c r="C87" s="1" t="s">
        <v>3319</v>
      </c>
    </row>
    <row r="88" customFormat="false" ht="15" hidden="false" customHeight="true" outlineLevel="0" collapsed="false">
      <c r="B88" s="1" t="s">
        <v>3320</v>
      </c>
      <c r="C88" s="1" t="s">
        <v>3321</v>
      </c>
    </row>
    <row r="89" customFormat="false" ht="15" hidden="false" customHeight="true" outlineLevel="0" collapsed="false">
      <c r="B89" s="1" t="s">
        <v>3322</v>
      </c>
      <c r="C89" s="1" t="s">
        <v>3323</v>
      </c>
    </row>
    <row r="90" customFormat="false" ht="15" hidden="false" customHeight="true" outlineLevel="0" collapsed="false">
      <c r="B90" s="1" t="s">
        <v>3324</v>
      </c>
      <c r="C90" s="1" t="s">
        <v>3325</v>
      </c>
    </row>
    <row r="91" customFormat="false" ht="15" hidden="false" customHeight="true" outlineLevel="0" collapsed="false">
      <c r="B91" s="1" t="s">
        <v>3326</v>
      </c>
      <c r="C91" s="1" t="s">
        <v>3327</v>
      </c>
    </row>
    <row r="92" customFormat="false" ht="15" hidden="false" customHeight="true" outlineLevel="0" collapsed="false">
      <c r="B92" s="1" t="s">
        <v>3328</v>
      </c>
      <c r="C92" s="1" t="s">
        <v>3329</v>
      </c>
    </row>
    <row r="93" customFormat="false" ht="15" hidden="false" customHeight="true" outlineLevel="0" collapsed="false">
      <c r="B93" s="1" t="s">
        <v>3330</v>
      </c>
      <c r="C93" s="1" t="s">
        <v>3331</v>
      </c>
    </row>
    <row r="94" customFormat="false" ht="15" hidden="false" customHeight="true" outlineLevel="0" collapsed="false">
      <c r="B94" s="1" t="s">
        <v>3332</v>
      </c>
      <c r="C94" s="1" t="s">
        <v>3333</v>
      </c>
    </row>
    <row r="95" customFormat="false" ht="15" hidden="false" customHeight="true" outlineLevel="0" collapsed="false">
      <c r="B95" s="1" t="s">
        <v>3334</v>
      </c>
      <c r="C95" s="1" t="s">
        <v>3335</v>
      </c>
    </row>
    <row r="96" customFormat="false" ht="15" hidden="false" customHeight="true" outlineLevel="0" collapsed="false">
      <c r="B96" s="1" t="s">
        <v>3336</v>
      </c>
      <c r="C96" s="1" t="s">
        <v>3337</v>
      </c>
    </row>
    <row r="97" customFormat="false" ht="15" hidden="false" customHeight="true" outlineLevel="0" collapsed="false">
      <c r="B97" s="1" t="s">
        <v>3338</v>
      </c>
      <c r="C97" s="1" t="s">
        <v>3339</v>
      </c>
    </row>
    <row r="98" customFormat="false" ht="15" hidden="false" customHeight="true" outlineLevel="0" collapsed="false">
      <c r="B98" s="1" t="s">
        <v>3340</v>
      </c>
      <c r="C98" s="1" t="s">
        <v>3341</v>
      </c>
    </row>
    <row r="99" customFormat="false" ht="15" hidden="false" customHeight="true" outlineLevel="0" collapsed="false">
      <c r="B99" s="1" t="s">
        <v>3342</v>
      </c>
      <c r="C99" s="1" t="s">
        <v>3343</v>
      </c>
    </row>
    <row r="100" customFormat="false" ht="15" hidden="false" customHeight="true" outlineLevel="0" collapsed="false">
      <c r="B100" s="1" t="s">
        <v>3344</v>
      </c>
      <c r="C100" s="1" t="s">
        <v>3345</v>
      </c>
    </row>
    <row r="101" customFormat="false" ht="15" hidden="false" customHeight="true" outlineLevel="0" collapsed="false">
      <c r="B101" s="1" t="s">
        <v>3346</v>
      </c>
      <c r="C101" s="1" t="s">
        <v>3347</v>
      </c>
    </row>
    <row r="102" customFormat="false" ht="15" hidden="false" customHeight="true" outlineLevel="0" collapsed="false">
      <c r="B102" s="1" t="s">
        <v>3348</v>
      </c>
      <c r="C102" s="1" t="s">
        <v>3349</v>
      </c>
    </row>
    <row r="103" customFormat="false" ht="15" hidden="false" customHeight="true" outlineLevel="0" collapsed="false">
      <c r="B103" s="1" t="s">
        <v>3350</v>
      </c>
      <c r="C103" s="1" t="s">
        <v>3351</v>
      </c>
    </row>
    <row r="104" customFormat="false" ht="15" hidden="false" customHeight="true" outlineLevel="0" collapsed="false">
      <c r="B104" s="1" t="s">
        <v>3352</v>
      </c>
      <c r="C104" s="1" t="s">
        <v>3353</v>
      </c>
    </row>
    <row r="105" customFormat="false" ht="15" hidden="false" customHeight="true" outlineLevel="0" collapsed="false">
      <c r="B105" s="1" t="s">
        <v>3354</v>
      </c>
      <c r="C105" s="1" t="s">
        <v>3355</v>
      </c>
    </row>
    <row r="106" customFormat="false" ht="15" hidden="false" customHeight="true" outlineLevel="0" collapsed="false">
      <c r="B106" s="1" t="s">
        <v>3356</v>
      </c>
      <c r="C106" s="1" t="s">
        <v>3357</v>
      </c>
    </row>
    <row r="107" customFormat="false" ht="15" hidden="false" customHeight="true" outlineLevel="0" collapsed="false">
      <c r="B107" s="1" t="s">
        <v>3358</v>
      </c>
      <c r="C107" s="1" t="s">
        <v>3359</v>
      </c>
    </row>
    <row r="108" customFormat="false" ht="15" hidden="false" customHeight="true" outlineLevel="0" collapsed="false">
      <c r="B108" s="1" t="s">
        <v>3360</v>
      </c>
      <c r="C108" s="1" t="s">
        <v>3361</v>
      </c>
    </row>
    <row r="109" customFormat="false" ht="15" hidden="false" customHeight="true" outlineLevel="0" collapsed="false">
      <c r="B109" s="1" t="s">
        <v>3362</v>
      </c>
      <c r="C109" s="1" t="s">
        <v>3363</v>
      </c>
    </row>
    <row r="110" customFormat="false" ht="15" hidden="false" customHeight="true" outlineLevel="0" collapsed="false">
      <c r="B110" s="1" t="s">
        <v>3364</v>
      </c>
      <c r="C110" s="1" t="s">
        <v>3365</v>
      </c>
    </row>
    <row r="111" customFormat="false" ht="15" hidden="false" customHeight="true" outlineLevel="0" collapsed="false">
      <c r="B111" s="1" t="s">
        <v>3366</v>
      </c>
      <c r="C111" s="1" t="s">
        <v>3367</v>
      </c>
    </row>
    <row r="112" customFormat="false" ht="15" hidden="false" customHeight="true" outlineLevel="0" collapsed="false">
      <c r="B112" s="1" t="s">
        <v>3368</v>
      </c>
      <c r="C112" s="1" t="s">
        <v>3369</v>
      </c>
    </row>
    <row r="113" customFormat="false" ht="15" hidden="false" customHeight="true" outlineLevel="0" collapsed="false">
      <c r="B113" s="1" t="s">
        <v>3370</v>
      </c>
      <c r="C113" s="1" t="s">
        <v>3371</v>
      </c>
    </row>
    <row r="114" customFormat="false" ht="15" hidden="false" customHeight="true" outlineLevel="0" collapsed="false">
      <c r="B114" s="1" t="s">
        <v>3372</v>
      </c>
      <c r="C114" s="1" t="s">
        <v>3373</v>
      </c>
    </row>
    <row r="115" customFormat="false" ht="15" hidden="false" customHeight="true" outlineLevel="0" collapsed="false">
      <c r="B115" s="1" t="s">
        <v>3374</v>
      </c>
      <c r="C115" s="1" t="s">
        <v>3375</v>
      </c>
    </row>
    <row r="116" customFormat="false" ht="15" hidden="false" customHeight="true" outlineLevel="0" collapsed="false">
      <c r="B116" s="1" t="s">
        <v>3376</v>
      </c>
      <c r="C116" s="1" t="s">
        <v>3377</v>
      </c>
    </row>
    <row r="117" customFormat="false" ht="15" hidden="false" customHeight="true" outlineLevel="0" collapsed="false">
      <c r="B117" s="1" t="s">
        <v>3378</v>
      </c>
      <c r="C117" s="1" t="s">
        <v>3379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3380</v>
      </c>
    </row>
    <row r="2" customFormat="false" ht="48" hidden="false" customHeight="true" outlineLevel="0" collapsed="false">
      <c r="B2" s="91" t="s">
        <v>3381</v>
      </c>
      <c r="C2" s="91"/>
      <c r="D2" s="91"/>
      <c r="E2" s="91"/>
      <c r="F2" s="91"/>
      <c r="G2" s="91"/>
      <c r="H2" s="91"/>
    </row>
    <row r="4" customFormat="false" ht="15" hidden="false" customHeight="true" outlineLevel="0" collapsed="false">
      <c r="B4" s="93" t="s">
        <v>30</v>
      </c>
      <c r="C4" s="93" t="s">
        <v>3382</v>
      </c>
      <c r="D4" s="93" t="s">
        <v>3383</v>
      </c>
      <c r="E4" s="93" t="s">
        <v>3384</v>
      </c>
      <c r="F4" s="93" t="s">
        <v>3385</v>
      </c>
      <c r="G4" s="93" t="s">
        <v>3386</v>
      </c>
      <c r="H4" s="93" t="s">
        <v>100</v>
      </c>
    </row>
    <row r="5" customFormat="false" ht="27.75" hidden="false" customHeight="true" outlineLevel="0" collapsed="false">
      <c r="B5" s="117" t="n">
        <v>1</v>
      </c>
      <c r="C5" s="117" t="s">
        <v>3387</v>
      </c>
      <c r="D5" s="117" t="s">
        <v>3388</v>
      </c>
      <c r="E5" s="117" t="s">
        <v>3389</v>
      </c>
      <c r="F5" s="117" t="s">
        <v>3390</v>
      </c>
      <c r="G5" s="117" t="s">
        <v>3391</v>
      </c>
      <c r="H5" s="118" t="s">
        <v>3392</v>
      </c>
    </row>
    <row r="6" customFormat="false" ht="15" hidden="false" customHeight="true" outlineLevel="0" collapsed="false">
      <c r="B6" s="117" t="n">
        <v>2</v>
      </c>
      <c r="C6" s="117" t="s">
        <v>3387</v>
      </c>
      <c r="D6" s="117" t="s">
        <v>3393</v>
      </c>
      <c r="E6" s="117" t="s">
        <v>3389</v>
      </c>
      <c r="F6" s="117" t="s">
        <v>3394</v>
      </c>
      <c r="G6" s="117" t="s">
        <v>3395</v>
      </c>
      <c r="H6" s="118" t="s">
        <v>3392</v>
      </c>
    </row>
    <row r="7" customFormat="false" ht="15" hidden="false" customHeight="true" outlineLevel="0" collapsed="false">
      <c r="B7" s="117" t="n">
        <v>3</v>
      </c>
      <c r="C7" s="117" t="s">
        <v>3396</v>
      </c>
      <c r="D7" s="117" t="s">
        <v>3397</v>
      </c>
      <c r="E7" s="117" t="s">
        <v>3398</v>
      </c>
      <c r="F7" s="117" t="s">
        <v>3399</v>
      </c>
      <c r="G7" s="117" t="s">
        <v>3395</v>
      </c>
      <c r="H7" s="118" t="s">
        <v>3392</v>
      </c>
    </row>
    <row r="8" customFormat="false" ht="54.75" hidden="false" customHeight="true" outlineLevel="0" collapsed="false">
      <c r="B8" s="117" t="n">
        <v>4</v>
      </c>
      <c r="C8" s="117" t="s">
        <v>3387</v>
      </c>
      <c r="D8" s="117" t="s">
        <v>3400</v>
      </c>
      <c r="E8" s="117" t="s">
        <v>3401</v>
      </c>
      <c r="F8" s="117" t="s">
        <v>3402</v>
      </c>
      <c r="G8" s="117" t="s">
        <v>3403</v>
      </c>
      <c r="H8" s="118" t="s">
        <v>3404</v>
      </c>
    </row>
    <row r="9" customFormat="false" ht="15" hidden="false" customHeight="true" outlineLevel="0" collapsed="false">
      <c r="B9" s="117" t="n">
        <v>5</v>
      </c>
      <c r="C9" s="117" t="s">
        <v>3387</v>
      </c>
      <c r="D9" s="117" t="s">
        <v>3405</v>
      </c>
      <c r="E9" s="117" t="s">
        <v>3389</v>
      </c>
      <c r="F9" s="117" t="s">
        <v>3406</v>
      </c>
      <c r="G9" s="117" t="s">
        <v>3407</v>
      </c>
      <c r="H9" s="118" t="s">
        <v>3392</v>
      </c>
    </row>
    <row r="10" customFormat="false" ht="41.25" hidden="false" customHeight="true" outlineLevel="0" collapsed="false">
      <c r="B10" s="117" t="n">
        <v>6</v>
      </c>
      <c r="C10" s="117" t="s">
        <v>3387</v>
      </c>
      <c r="D10" s="117" t="s">
        <v>3408</v>
      </c>
      <c r="E10" s="117" t="s">
        <v>3409</v>
      </c>
      <c r="F10" s="117" t="s">
        <v>3410</v>
      </c>
      <c r="G10" s="117" t="s">
        <v>3411</v>
      </c>
      <c r="H10" s="118" t="s">
        <v>3412</v>
      </c>
    </row>
    <row r="11" customFormat="false" ht="41.25" hidden="false" customHeight="true" outlineLevel="0" collapsed="false">
      <c r="B11" s="117" t="n">
        <v>7</v>
      </c>
      <c r="C11" s="117" t="s">
        <v>3413</v>
      </c>
      <c r="D11" s="117" t="s">
        <v>3414</v>
      </c>
      <c r="E11" s="117" t="s">
        <v>3415</v>
      </c>
      <c r="F11" s="117" t="s">
        <v>3416</v>
      </c>
      <c r="G11" s="117" t="s">
        <v>3417</v>
      </c>
      <c r="H11" s="118" t="s">
        <v>3412</v>
      </c>
    </row>
    <row r="12" customFormat="false" ht="27.75" hidden="false" customHeight="true" outlineLevel="0" collapsed="false">
      <c r="B12" s="117" t="n">
        <v>8</v>
      </c>
      <c r="C12" s="117" t="s">
        <v>3413</v>
      </c>
      <c r="D12" s="117" t="s">
        <v>3418</v>
      </c>
      <c r="E12" s="117" t="s">
        <v>3415</v>
      </c>
      <c r="F12" s="117" t="s">
        <v>3419</v>
      </c>
      <c r="G12" s="117" t="s">
        <v>3420</v>
      </c>
      <c r="H12" s="118" t="s">
        <v>3392</v>
      </c>
    </row>
    <row r="13" customFormat="false" ht="27.75" hidden="false" customHeight="true" outlineLevel="0" collapsed="false">
      <c r="B13" s="117" t="n">
        <v>9</v>
      </c>
      <c r="C13" s="117" t="s">
        <v>3413</v>
      </c>
      <c r="D13" s="117" t="s">
        <v>3421</v>
      </c>
      <c r="E13" s="117" t="s">
        <v>3415</v>
      </c>
      <c r="F13" s="117" t="s">
        <v>3422</v>
      </c>
      <c r="G13" s="117" t="s">
        <v>3423</v>
      </c>
      <c r="H13" s="118" t="s">
        <v>3392</v>
      </c>
    </row>
    <row r="14" customFormat="false" ht="27.75" hidden="false" customHeight="true" outlineLevel="0" collapsed="false">
      <c r="B14" s="117" t="n">
        <v>10</v>
      </c>
      <c r="C14" s="117" t="s">
        <v>3387</v>
      </c>
      <c r="D14" s="117" t="s">
        <v>3424</v>
      </c>
      <c r="E14" s="117" t="s">
        <v>3425</v>
      </c>
      <c r="F14" s="117" t="s">
        <v>3426</v>
      </c>
      <c r="G14" s="117" t="s">
        <v>3427</v>
      </c>
      <c r="H14" s="118" t="s">
        <v>3392</v>
      </c>
    </row>
    <row r="15" customFormat="false" ht="27.75" hidden="false" customHeight="true" outlineLevel="0" collapsed="false">
      <c r="B15" s="117" t="n">
        <v>11</v>
      </c>
      <c r="C15" s="117" t="s">
        <v>3387</v>
      </c>
      <c r="D15" s="117" t="s">
        <v>3428</v>
      </c>
      <c r="E15" s="117" t="s">
        <v>3429</v>
      </c>
      <c r="F15" s="117" t="s">
        <v>3430</v>
      </c>
      <c r="G15" s="117" t="s">
        <v>3431</v>
      </c>
      <c r="H15" s="119" t="s">
        <v>3432</v>
      </c>
    </row>
    <row r="16" customFormat="false" ht="54.75" hidden="false" customHeight="true" outlineLevel="0" collapsed="false">
      <c r="B16" s="117" t="n">
        <v>12</v>
      </c>
      <c r="C16" s="117" t="s">
        <v>3433</v>
      </c>
      <c r="D16" s="117" t="s">
        <v>3434</v>
      </c>
      <c r="E16" s="117" t="s">
        <v>3435</v>
      </c>
      <c r="F16" s="117" t="s">
        <v>3436</v>
      </c>
      <c r="G16" s="117" t="s">
        <v>3437</v>
      </c>
      <c r="H16" s="118" t="s">
        <v>3392</v>
      </c>
    </row>
    <row r="17" customFormat="false" ht="41.25" hidden="false" customHeight="true" outlineLevel="0" collapsed="false">
      <c r="B17" s="117" t="n">
        <v>13</v>
      </c>
      <c r="C17" s="117" t="s">
        <v>3438</v>
      </c>
      <c r="D17" s="117" t="s">
        <v>3439</v>
      </c>
      <c r="E17" s="117" t="s">
        <v>3440</v>
      </c>
      <c r="F17" s="117" t="s">
        <v>3441</v>
      </c>
      <c r="G17" s="117" t="s">
        <v>3442</v>
      </c>
      <c r="H17" s="118" t="s">
        <v>3392</v>
      </c>
    </row>
    <row r="18" customFormat="false" ht="27.75" hidden="false" customHeight="true" outlineLevel="0" collapsed="false">
      <c r="B18" s="117" t="n">
        <v>14</v>
      </c>
      <c r="C18" s="117" t="s">
        <v>3443</v>
      </c>
      <c r="D18" s="117" t="s">
        <v>3444</v>
      </c>
      <c r="E18" s="117" t="s">
        <v>3445</v>
      </c>
      <c r="F18" s="117" t="s">
        <v>3446</v>
      </c>
      <c r="G18" s="117" t="s">
        <v>3447</v>
      </c>
      <c r="H18" s="118" t="s">
        <v>3392</v>
      </c>
    </row>
    <row r="19" customFormat="false" ht="27.75" hidden="false" customHeight="true" outlineLevel="0" collapsed="false">
      <c r="B19" s="117" t="n">
        <v>15</v>
      </c>
      <c r="C19" s="117" t="s">
        <v>3448</v>
      </c>
      <c r="D19" s="117" t="s">
        <v>3449</v>
      </c>
      <c r="E19" s="117" t="s">
        <v>3450</v>
      </c>
      <c r="F19" s="117" t="s">
        <v>3451</v>
      </c>
      <c r="G19" s="117" t="s">
        <v>3452</v>
      </c>
      <c r="H19" s="118" t="s">
        <v>3392</v>
      </c>
    </row>
    <row r="20" customFormat="false" ht="27.75" hidden="false" customHeight="true" outlineLevel="0" collapsed="false">
      <c r="B20" s="117" t="n">
        <v>16</v>
      </c>
      <c r="C20" s="117" t="s">
        <v>3453</v>
      </c>
      <c r="D20" s="117" t="s">
        <v>3454</v>
      </c>
      <c r="E20" s="117" t="s">
        <v>3455</v>
      </c>
      <c r="F20" s="117" t="s">
        <v>3456</v>
      </c>
      <c r="G20" s="117" t="s">
        <v>3457</v>
      </c>
      <c r="H20" s="118" t="s">
        <v>3392</v>
      </c>
    </row>
    <row r="21" customFormat="false" ht="27.75" hidden="false" customHeight="true" outlineLevel="0" collapsed="false">
      <c r="B21" s="117" t="n">
        <v>17</v>
      </c>
      <c r="C21" s="117" t="s">
        <v>3458</v>
      </c>
      <c r="D21" s="117" t="s">
        <v>3459</v>
      </c>
      <c r="E21" s="117" t="s">
        <v>3435</v>
      </c>
      <c r="F21" s="117" t="s">
        <v>3460</v>
      </c>
      <c r="G21" s="117" t="s">
        <v>3461</v>
      </c>
      <c r="H21" s="118" t="s">
        <v>3392</v>
      </c>
    </row>
    <row r="22" customFormat="false" ht="27.75" hidden="false" customHeight="true" outlineLevel="0" collapsed="false">
      <c r="B22" s="117" t="n">
        <v>18</v>
      </c>
      <c r="C22" s="117" t="s">
        <v>3462</v>
      </c>
      <c r="D22" s="117" t="s">
        <v>3463</v>
      </c>
      <c r="E22" s="117" t="s">
        <v>3464</v>
      </c>
      <c r="F22" s="117" t="s">
        <v>3465</v>
      </c>
      <c r="G22" s="117" t="s">
        <v>3466</v>
      </c>
      <c r="H22" s="118" t="s">
        <v>3392</v>
      </c>
    </row>
    <row r="23" customFormat="false" ht="27.75" hidden="false" customHeight="true" outlineLevel="0" collapsed="false">
      <c r="B23" s="117" t="n">
        <v>19</v>
      </c>
      <c r="C23" s="117" t="s">
        <v>3467</v>
      </c>
      <c r="D23" s="117" t="s">
        <v>3468</v>
      </c>
      <c r="E23" s="117" t="s">
        <v>3450</v>
      </c>
      <c r="F23" s="117" t="s">
        <v>3469</v>
      </c>
      <c r="G23" s="117" t="s">
        <v>3470</v>
      </c>
      <c r="H23" s="118" t="s">
        <v>3471</v>
      </c>
    </row>
    <row r="24" customFormat="false" ht="41.25" hidden="false" customHeight="true" outlineLevel="0" collapsed="false">
      <c r="B24" s="117" t="n">
        <v>20</v>
      </c>
      <c r="C24" s="117" t="s">
        <v>3472</v>
      </c>
      <c r="D24" s="117" t="s">
        <v>3473</v>
      </c>
      <c r="E24" s="117" t="s">
        <v>3474</v>
      </c>
      <c r="F24" s="117" t="s">
        <v>3475</v>
      </c>
      <c r="G24" s="117" t="s">
        <v>3476</v>
      </c>
      <c r="H24" s="118" t="s">
        <v>3392</v>
      </c>
    </row>
    <row r="25" customFormat="false" ht="27.75" hidden="false" customHeight="true" outlineLevel="0" collapsed="false">
      <c r="B25" s="117" t="n">
        <v>21</v>
      </c>
      <c r="C25" s="117" t="s">
        <v>3472</v>
      </c>
      <c r="D25" s="117" t="s">
        <v>3477</v>
      </c>
      <c r="E25" s="117" t="s">
        <v>3478</v>
      </c>
      <c r="F25" s="117" t="s">
        <v>3479</v>
      </c>
      <c r="G25" s="117" t="s">
        <v>3480</v>
      </c>
      <c r="H25" s="118" t="s">
        <v>3392</v>
      </c>
    </row>
    <row r="26" customFormat="false" ht="27.75" hidden="false" customHeight="true" outlineLevel="0" collapsed="false">
      <c r="B26" s="117" t="n">
        <v>22</v>
      </c>
      <c r="C26" s="117" t="s">
        <v>3481</v>
      </c>
      <c r="D26" s="117" t="s">
        <v>3482</v>
      </c>
      <c r="E26" s="117" t="s">
        <v>3483</v>
      </c>
      <c r="F26" s="117" t="s">
        <v>3484</v>
      </c>
      <c r="G26" s="117" t="s">
        <v>3485</v>
      </c>
      <c r="H26" s="118" t="s">
        <v>3392</v>
      </c>
    </row>
    <row r="27" customFormat="false" ht="27.75" hidden="false" customHeight="true" outlineLevel="0" collapsed="false">
      <c r="B27" s="117" t="n">
        <v>23</v>
      </c>
      <c r="C27" s="117" t="s">
        <v>3481</v>
      </c>
      <c r="D27" s="117" t="s">
        <v>3486</v>
      </c>
      <c r="E27" s="117" t="s">
        <v>3483</v>
      </c>
      <c r="F27" s="117" t="s">
        <v>3487</v>
      </c>
      <c r="G27" s="117" t="s">
        <v>3488</v>
      </c>
      <c r="H27" s="118" t="s">
        <v>3392</v>
      </c>
    </row>
    <row r="28" customFormat="false" ht="27.75" hidden="false" customHeight="true" outlineLevel="0" collapsed="false">
      <c r="B28" s="117" t="n">
        <v>24</v>
      </c>
      <c r="C28" s="117" t="s">
        <v>3489</v>
      </c>
      <c r="D28" s="117" t="s">
        <v>3490</v>
      </c>
      <c r="E28" s="117" t="s">
        <v>3491</v>
      </c>
      <c r="F28" s="117" t="s">
        <v>3492</v>
      </c>
      <c r="G28" s="117" t="s">
        <v>3493</v>
      </c>
      <c r="H28" s="118" t="s">
        <v>3392</v>
      </c>
    </row>
    <row r="29" customFormat="false" ht="27.75" hidden="false" customHeight="true" outlineLevel="0" collapsed="false">
      <c r="B29" s="117" t="n">
        <v>25</v>
      </c>
      <c r="C29" s="117" t="s">
        <v>3489</v>
      </c>
      <c r="D29" s="117" t="s">
        <v>3494</v>
      </c>
      <c r="E29" s="117" t="s">
        <v>3495</v>
      </c>
      <c r="F29" s="117" t="s">
        <v>3496</v>
      </c>
      <c r="G29" s="117" t="s">
        <v>3497</v>
      </c>
      <c r="H29" s="118" t="s">
        <v>3392</v>
      </c>
    </row>
    <row r="30" customFormat="false" ht="54.75" hidden="false" customHeight="true" outlineLevel="0" collapsed="false">
      <c r="B30" s="117" t="n">
        <v>26</v>
      </c>
      <c r="C30" s="117" t="s">
        <v>3489</v>
      </c>
      <c r="D30" s="117" t="s">
        <v>3498</v>
      </c>
      <c r="E30" s="117" t="s">
        <v>3499</v>
      </c>
      <c r="F30" s="117" t="s">
        <v>3500</v>
      </c>
      <c r="G30" s="117" t="s">
        <v>3501</v>
      </c>
      <c r="H30" s="120" t="s">
        <v>3502</v>
      </c>
    </row>
    <row r="31" customFormat="false" ht="41.25" hidden="false" customHeight="true" outlineLevel="0" collapsed="false">
      <c r="B31" s="117" t="n">
        <v>27</v>
      </c>
      <c r="C31" s="117" t="s">
        <v>3489</v>
      </c>
      <c r="D31" s="117" t="s">
        <v>3503</v>
      </c>
      <c r="E31" s="117" t="s">
        <v>3504</v>
      </c>
      <c r="F31" s="117" t="s">
        <v>3505</v>
      </c>
      <c r="G31" s="117" t="s">
        <v>3506</v>
      </c>
      <c r="H31" s="120" t="s">
        <v>3507</v>
      </c>
    </row>
    <row r="32" customFormat="false" ht="27.75" hidden="false" customHeight="true" outlineLevel="0" collapsed="false">
      <c r="B32" s="117" t="n">
        <v>28</v>
      </c>
      <c r="C32" s="117" t="s">
        <v>3508</v>
      </c>
      <c r="D32" s="117" t="s">
        <v>3509</v>
      </c>
      <c r="E32" s="117" t="s">
        <v>3495</v>
      </c>
      <c r="F32" s="117" t="s">
        <v>3510</v>
      </c>
      <c r="G32" s="117" t="s">
        <v>3511</v>
      </c>
      <c r="H32" s="118" t="s">
        <v>3392</v>
      </c>
    </row>
    <row r="33" customFormat="false" ht="27.75" hidden="false" customHeight="true" outlineLevel="0" collapsed="false">
      <c r="B33" s="117" t="n">
        <v>29</v>
      </c>
      <c r="C33" s="117" t="s">
        <v>3462</v>
      </c>
      <c r="D33" s="117" t="s">
        <v>3512</v>
      </c>
      <c r="E33" s="117" t="s">
        <v>3513</v>
      </c>
      <c r="F33" s="117" t="s">
        <v>3514</v>
      </c>
      <c r="G33" s="117" t="s">
        <v>3515</v>
      </c>
      <c r="H33" s="118" t="s">
        <v>3392</v>
      </c>
    </row>
    <row r="34" customFormat="false" ht="41.25" hidden="false" customHeight="true" outlineLevel="0" collapsed="false">
      <c r="B34" s="117" t="n">
        <v>30</v>
      </c>
      <c r="C34" s="117" t="s">
        <v>3462</v>
      </c>
      <c r="D34" s="117" t="s">
        <v>3516</v>
      </c>
      <c r="E34" s="117" t="s">
        <v>3495</v>
      </c>
      <c r="F34" s="117" t="s">
        <v>3517</v>
      </c>
      <c r="G34" s="117" t="s">
        <v>3518</v>
      </c>
      <c r="H34" s="118" t="s">
        <v>3392</v>
      </c>
    </row>
    <row r="35" customFormat="false" ht="27.75" hidden="false" customHeight="true" outlineLevel="0" collapsed="false">
      <c r="B35" s="117" t="n">
        <v>31</v>
      </c>
      <c r="C35" s="117" t="s">
        <v>3462</v>
      </c>
      <c r="D35" s="117" t="s">
        <v>3519</v>
      </c>
      <c r="E35" s="117" t="s">
        <v>3520</v>
      </c>
      <c r="F35" s="117" t="s">
        <v>3521</v>
      </c>
      <c r="G35" s="117" t="s">
        <v>3157</v>
      </c>
      <c r="H35" s="118" t="s">
        <v>3392</v>
      </c>
    </row>
    <row r="36" customFormat="false" ht="41.25" hidden="false" customHeight="true" outlineLevel="0" collapsed="false">
      <c r="B36" s="117" t="n">
        <v>32</v>
      </c>
      <c r="C36" s="117" t="s">
        <v>3462</v>
      </c>
      <c r="D36" s="117" t="s">
        <v>3522</v>
      </c>
      <c r="E36" s="117" t="s">
        <v>3495</v>
      </c>
      <c r="F36" s="117" t="s">
        <v>3523</v>
      </c>
      <c r="G36" s="117" t="s">
        <v>3524</v>
      </c>
      <c r="H36" s="118" t="s">
        <v>3392</v>
      </c>
    </row>
    <row r="37" customFormat="false" ht="27.75" hidden="false" customHeight="true" outlineLevel="0" collapsed="false">
      <c r="B37" s="117" t="n">
        <v>33</v>
      </c>
      <c r="C37" s="117" t="s">
        <v>3525</v>
      </c>
      <c r="D37" s="117" t="s">
        <v>3526</v>
      </c>
      <c r="E37" s="117" t="s">
        <v>3495</v>
      </c>
      <c r="F37" s="117" t="s">
        <v>3527</v>
      </c>
      <c r="G37" s="117" t="s">
        <v>3528</v>
      </c>
      <c r="H37" s="118" t="s">
        <v>3529</v>
      </c>
    </row>
    <row r="38" customFormat="false" ht="27.75" hidden="false" customHeight="true" outlineLevel="0" collapsed="false">
      <c r="B38" s="117" t="n">
        <v>34</v>
      </c>
      <c r="C38" s="117" t="s">
        <v>3525</v>
      </c>
      <c r="D38" s="117" t="s">
        <v>3530</v>
      </c>
      <c r="E38" s="117" t="s">
        <v>3531</v>
      </c>
      <c r="F38" s="117" t="s">
        <v>3532</v>
      </c>
      <c r="G38" s="117" t="s">
        <v>3533</v>
      </c>
      <c r="H38" s="118" t="s">
        <v>3534</v>
      </c>
    </row>
    <row r="39" customFormat="false" ht="15" hidden="false" customHeight="true" outlineLevel="0" collapsed="false">
      <c r="B39" s="117" t="n">
        <v>35</v>
      </c>
      <c r="C39" s="117" t="s">
        <v>3525</v>
      </c>
      <c r="D39" s="117" t="s">
        <v>3535</v>
      </c>
      <c r="E39" s="117" t="s">
        <v>3495</v>
      </c>
      <c r="F39" s="117" t="s">
        <v>3536</v>
      </c>
      <c r="G39" s="117" t="s">
        <v>3537</v>
      </c>
      <c r="H39" s="118" t="s">
        <v>3392</v>
      </c>
    </row>
    <row r="40" customFormat="false" ht="41.25" hidden="false" customHeight="true" outlineLevel="0" collapsed="false">
      <c r="B40" s="117" t="n">
        <v>36</v>
      </c>
      <c r="C40" s="117" t="s">
        <v>3525</v>
      </c>
      <c r="D40" s="117" t="s">
        <v>3538</v>
      </c>
      <c r="E40" s="117" t="s">
        <v>3539</v>
      </c>
      <c r="F40" s="117" t="s">
        <v>3540</v>
      </c>
      <c r="G40" s="117" t="s">
        <v>3541</v>
      </c>
      <c r="H40" s="118" t="s">
        <v>3542</v>
      </c>
    </row>
    <row r="41" customFormat="false" ht="41.25" hidden="false" customHeight="true" outlineLevel="0" collapsed="false">
      <c r="B41" s="117" t="n">
        <v>37</v>
      </c>
      <c r="C41" s="117" t="s">
        <v>3543</v>
      </c>
      <c r="D41" s="117" t="s">
        <v>3544</v>
      </c>
      <c r="E41" s="117" t="s">
        <v>3545</v>
      </c>
      <c r="F41" s="117" t="s">
        <v>3546</v>
      </c>
      <c r="G41" s="117" t="s">
        <v>3547</v>
      </c>
      <c r="H41" s="118" t="s">
        <v>3548</v>
      </c>
    </row>
    <row r="42" customFormat="false" ht="15" hidden="false" customHeight="true" outlineLevel="0" collapsed="false">
      <c r="B42" s="117" t="n">
        <v>38</v>
      </c>
      <c r="C42" s="117" t="s">
        <v>3525</v>
      </c>
      <c r="D42" s="117" t="s">
        <v>3549</v>
      </c>
      <c r="E42" s="117" t="s">
        <v>3539</v>
      </c>
      <c r="F42" s="117" t="s">
        <v>3550</v>
      </c>
      <c r="G42" s="117" t="s">
        <v>3551</v>
      </c>
      <c r="H42" s="118" t="s">
        <v>3392</v>
      </c>
    </row>
    <row r="43" customFormat="false" ht="27.75" hidden="false" customHeight="true" outlineLevel="0" collapsed="false">
      <c r="B43" s="117" t="n">
        <v>39</v>
      </c>
      <c r="C43" s="117" t="s">
        <v>3552</v>
      </c>
      <c r="D43" s="117" t="s">
        <v>3553</v>
      </c>
      <c r="E43" s="117" t="s">
        <v>3554</v>
      </c>
      <c r="F43" s="117" t="s">
        <v>3555</v>
      </c>
      <c r="G43" s="117" t="s">
        <v>3556</v>
      </c>
      <c r="H43" s="118" t="s">
        <v>3392</v>
      </c>
    </row>
    <row r="44" customFormat="false" ht="27.75" hidden="false" customHeight="true" outlineLevel="0" collapsed="false">
      <c r="B44" s="117" t="n">
        <v>40</v>
      </c>
      <c r="C44" s="117" t="s">
        <v>3557</v>
      </c>
      <c r="D44" s="117" t="s">
        <v>3558</v>
      </c>
      <c r="E44" s="117" t="s">
        <v>3559</v>
      </c>
      <c r="F44" s="117" t="s">
        <v>3560</v>
      </c>
      <c r="G44" s="117" t="s">
        <v>3561</v>
      </c>
      <c r="H44" s="118" t="s">
        <v>3392</v>
      </c>
    </row>
    <row r="45" customFormat="false" ht="27.75" hidden="false" customHeight="true" outlineLevel="0" collapsed="false">
      <c r="B45" s="117" t="n">
        <v>41</v>
      </c>
      <c r="C45" s="117" t="s">
        <v>3562</v>
      </c>
      <c r="D45" s="117" t="s">
        <v>3563</v>
      </c>
      <c r="E45" s="117" t="s">
        <v>3564</v>
      </c>
      <c r="F45" s="117" t="s">
        <v>3565</v>
      </c>
      <c r="G45" s="117" t="s">
        <v>3566</v>
      </c>
      <c r="H45" s="118" t="s">
        <v>3392</v>
      </c>
    </row>
    <row r="46" customFormat="false" ht="27.75" hidden="false" customHeight="true" outlineLevel="0" collapsed="false">
      <c r="B46" s="117" t="n">
        <v>42</v>
      </c>
      <c r="C46" s="117" t="s">
        <v>3567</v>
      </c>
      <c r="D46" s="117" t="s">
        <v>3568</v>
      </c>
      <c r="E46" s="117" t="s">
        <v>3569</v>
      </c>
      <c r="F46" s="117" t="s">
        <v>3570</v>
      </c>
      <c r="G46" s="117" t="s">
        <v>3571</v>
      </c>
      <c r="H46" s="118" t="s">
        <v>3392</v>
      </c>
    </row>
    <row r="47" customFormat="false" ht="41.25" hidden="false" customHeight="true" outlineLevel="0" collapsed="false">
      <c r="B47" s="117" t="n">
        <v>43</v>
      </c>
      <c r="C47" s="117" t="s">
        <v>3567</v>
      </c>
      <c r="D47" s="117" t="s">
        <v>3572</v>
      </c>
      <c r="E47" s="117" t="s">
        <v>3573</v>
      </c>
      <c r="F47" s="117" t="s">
        <v>3574</v>
      </c>
      <c r="G47" s="117" t="s">
        <v>3575</v>
      </c>
      <c r="H47" s="118" t="s">
        <v>3576</v>
      </c>
    </row>
    <row r="48" customFormat="false" ht="41.25" hidden="false" customHeight="true" outlineLevel="0" collapsed="false">
      <c r="B48" s="117" t="n">
        <v>44</v>
      </c>
      <c r="C48" s="117" t="s">
        <v>3577</v>
      </c>
      <c r="D48" s="117" t="s">
        <v>3578</v>
      </c>
      <c r="E48" s="117" t="s">
        <v>3573</v>
      </c>
      <c r="F48" s="117" t="s">
        <v>3579</v>
      </c>
      <c r="G48" s="117" t="s">
        <v>3580</v>
      </c>
      <c r="H48" s="118" t="s">
        <v>3392</v>
      </c>
    </row>
    <row r="49" customFormat="false" ht="27.75" hidden="false" customHeight="true" outlineLevel="0" collapsed="false">
      <c r="B49" s="117" t="n">
        <v>45</v>
      </c>
      <c r="C49" s="117" t="s">
        <v>3525</v>
      </c>
      <c r="D49" s="117" t="s">
        <v>3581</v>
      </c>
      <c r="E49" s="117" t="s">
        <v>3582</v>
      </c>
      <c r="F49" s="117" t="s">
        <v>3583</v>
      </c>
      <c r="G49" s="117" t="s">
        <v>3584</v>
      </c>
      <c r="H49" s="118" t="s">
        <v>3392</v>
      </c>
    </row>
    <row r="50" customFormat="false" ht="41.25" hidden="false" customHeight="true" outlineLevel="0" collapsed="false">
      <c r="B50" s="117" t="n">
        <v>46</v>
      </c>
      <c r="C50" s="117" t="s">
        <v>3585</v>
      </c>
      <c r="D50" s="117" t="s">
        <v>3586</v>
      </c>
      <c r="E50" s="117" t="s">
        <v>3587</v>
      </c>
      <c r="F50" s="117" t="s">
        <v>3588</v>
      </c>
      <c r="G50" s="117" t="s">
        <v>3589</v>
      </c>
      <c r="H50" s="118" t="s">
        <v>3392</v>
      </c>
    </row>
    <row r="51" customFormat="false" ht="15" hidden="false" customHeight="true" outlineLevel="0" collapsed="false">
      <c r="B51" s="117" t="n">
        <v>47</v>
      </c>
      <c r="C51" s="117" t="s">
        <v>3590</v>
      </c>
      <c r="D51" s="117" t="s">
        <v>3591</v>
      </c>
      <c r="E51" s="117" t="s">
        <v>3592</v>
      </c>
      <c r="F51" s="117" t="s">
        <v>3593</v>
      </c>
      <c r="G51" s="117" t="s">
        <v>3594</v>
      </c>
      <c r="H51" s="118" t="s">
        <v>3392</v>
      </c>
    </row>
    <row r="52" customFormat="false" ht="27.75" hidden="false" customHeight="true" outlineLevel="0" collapsed="false">
      <c r="B52" s="117" t="n">
        <v>48</v>
      </c>
      <c r="C52" s="117" t="s">
        <v>3590</v>
      </c>
      <c r="D52" s="117" t="s">
        <v>3595</v>
      </c>
      <c r="E52" s="117" t="s">
        <v>3592</v>
      </c>
      <c r="F52" s="117" t="s">
        <v>3596</v>
      </c>
      <c r="G52" s="117" t="s">
        <v>3597</v>
      </c>
      <c r="H52" s="118" t="s">
        <v>3392</v>
      </c>
    </row>
    <row r="53" customFormat="false" ht="41.25" hidden="false" customHeight="true" outlineLevel="0" collapsed="false">
      <c r="B53" s="117" t="n">
        <v>49</v>
      </c>
      <c r="C53" s="117" t="s">
        <v>3590</v>
      </c>
      <c r="D53" s="117" t="s">
        <v>3598</v>
      </c>
      <c r="E53" s="117" t="s">
        <v>3592</v>
      </c>
      <c r="F53" s="117" t="s">
        <v>3599</v>
      </c>
      <c r="G53" s="117" t="s">
        <v>3600</v>
      </c>
      <c r="H53" s="118" t="s">
        <v>3601</v>
      </c>
    </row>
    <row r="54" customFormat="false" ht="15" hidden="false" customHeight="true" outlineLevel="0" collapsed="false">
      <c r="B54" s="117" t="n">
        <v>50</v>
      </c>
      <c r="C54" s="117" t="s">
        <v>3590</v>
      </c>
      <c r="D54" s="117" t="s">
        <v>3602</v>
      </c>
      <c r="E54" s="117" t="s">
        <v>3592</v>
      </c>
      <c r="F54" s="117" t="s">
        <v>3603</v>
      </c>
      <c r="G54" s="117" t="s">
        <v>3604</v>
      </c>
      <c r="H54" s="118" t="s">
        <v>3392</v>
      </c>
    </row>
    <row r="55" customFormat="false" ht="27.75" hidden="false" customHeight="true" outlineLevel="0" collapsed="false">
      <c r="B55" s="117" t="n">
        <v>51</v>
      </c>
      <c r="C55" s="117" t="s">
        <v>3590</v>
      </c>
      <c r="D55" s="117" t="s">
        <v>3605</v>
      </c>
      <c r="E55" s="117" t="s">
        <v>3499</v>
      </c>
      <c r="F55" s="117" t="s">
        <v>3606</v>
      </c>
      <c r="G55" s="117" t="s">
        <v>3607</v>
      </c>
      <c r="H55" s="120" t="s">
        <v>3608</v>
      </c>
    </row>
    <row r="56" customFormat="false" ht="27.75" hidden="false" customHeight="true" outlineLevel="0" collapsed="false">
      <c r="B56" s="117" t="n">
        <v>52</v>
      </c>
      <c r="C56" s="117" t="s">
        <v>3590</v>
      </c>
      <c r="D56" s="117" t="s">
        <v>3609</v>
      </c>
      <c r="E56" s="117" t="s">
        <v>3610</v>
      </c>
      <c r="F56" s="117" t="s">
        <v>3611</v>
      </c>
      <c r="G56" s="117" t="s">
        <v>3470</v>
      </c>
      <c r="H56" s="118" t="s">
        <v>3612</v>
      </c>
    </row>
    <row r="57" customFormat="false" ht="41.25" hidden="false" customHeight="true" outlineLevel="0" collapsed="false">
      <c r="B57" s="117" t="n">
        <v>53</v>
      </c>
      <c r="C57" s="117" t="s">
        <v>3613</v>
      </c>
      <c r="D57" s="117" t="s">
        <v>3614</v>
      </c>
      <c r="E57" s="117" t="s">
        <v>3615</v>
      </c>
      <c r="F57" s="117" t="s">
        <v>3616</v>
      </c>
      <c r="G57" s="117" t="s">
        <v>3617</v>
      </c>
      <c r="H57" s="118" t="s">
        <v>3392</v>
      </c>
    </row>
    <row r="58" customFormat="false" ht="27.75" hidden="false" customHeight="true" outlineLevel="0" collapsed="false">
      <c r="B58" s="117" t="n">
        <v>54</v>
      </c>
      <c r="C58" s="117" t="s">
        <v>3618</v>
      </c>
      <c r="D58" s="117" t="s">
        <v>3619</v>
      </c>
      <c r="E58" s="117" t="s">
        <v>3450</v>
      </c>
      <c r="F58" s="117" t="s">
        <v>3620</v>
      </c>
      <c r="G58" s="117" t="s">
        <v>3621</v>
      </c>
      <c r="H58" s="118" t="s">
        <v>3392</v>
      </c>
    </row>
    <row r="59" customFormat="false" ht="27.75" hidden="false" customHeight="true" outlineLevel="0" collapsed="false">
      <c r="B59" s="117" t="n">
        <v>55</v>
      </c>
      <c r="C59" s="117" t="s">
        <v>3590</v>
      </c>
      <c r="D59" s="117" t="s">
        <v>3622</v>
      </c>
      <c r="E59" s="117" t="s">
        <v>3623</v>
      </c>
      <c r="F59" s="117" t="s">
        <v>3624</v>
      </c>
      <c r="G59" s="117" t="s">
        <v>3625</v>
      </c>
      <c r="H59" s="118" t="s">
        <v>3392</v>
      </c>
    </row>
    <row r="60" customFormat="false" ht="27.75" hidden="false" customHeight="true" outlineLevel="0" collapsed="false">
      <c r="B60" s="117" t="n">
        <v>56</v>
      </c>
      <c r="C60" s="117" t="s">
        <v>3590</v>
      </c>
      <c r="D60" s="117" t="s">
        <v>3626</v>
      </c>
      <c r="E60" s="117" t="s">
        <v>3627</v>
      </c>
      <c r="F60" s="117" t="s">
        <v>3628</v>
      </c>
      <c r="G60" s="117" t="s">
        <v>3629</v>
      </c>
      <c r="H60" s="120" t="s">
        <v>3630</v>
      </c>
    </row>
    <row r="61" customFormat="false" ht="27.75" hidden="false" customHeight="true" outlineLevel="0" collapsed="false">
      <c r="B61" s="117" t="n">
        <v>57</v>
      </c>
      <c r="C61" s="117" t="s">
        <v>3631</v>
      </c>
      <c r="D61" s="117" t="s">
        <v>3632</v>
      </c>
      <c r="E61" s="117" t="s">
        <v>3633</v>
      </c>
      <c r="F61" s="117" t="s">
        <v>3634</v>
      </c>
      <c r="G61" s="117" t="s">
        <v>3635</v>
      </c>
      <c r="H61" s="118" t="s">
        <v>3392</v>
      </c>
    </row>
    <row r="62" customFormat="false" ht="27.75" hidden="false" customHeight="true" outlineLevel="0" collapsed="false">
      <c r="B62" s="117" t="n">
        <v>58</v>
      </c>
      <c r="C62" s="117" t="s">
        <v>3631</v>
      </c>
      <c r="D62" s="117" t="s">
        <v>3636</v>
      </c>
      <c r="E62" s="117" t="s">
        <v>3637</v>
      </c>
      <c r="F62" s="117" t="s">
        <v>3638</v>
      </c>
      <c r="G62" s="117" t="s">
        <v>3639</v>
      </c>
      <c r="H62" s="118" t="s">
        <v>3392</v>
      </c>
    </row>
    <row r="63" customFormat="false" ht="15" hidden="false" customHeight="true" outlineLevel="0" collapsed="false">
      <c r="B63" s="117" t="n">
        <v>59</v>
      </c>
      <c r="C63" s="117" t="s">
        <v>3640</v>
      </c>
      <c r="D63" s="117" t="s">
        <v>3641</v>
      </c>
      <c r="E63" s="117" t="s">
        <v>3642</v>
      </c>
      <c r="F63" s="117" t="s">
        <v>3643</v>
      </c>
      <c r="G63" s="117" t="s">
        <v>3644</v>
      </c>
      <c r="H63" s="118" t="s">
        <v>3392</v>
      </c>
    </row>
    <row r="64" customFormat="false" ht="27.75" hidden="false" customHeight="true" outlineLevel="0" collapsed="false">
      <c r="B64" s="117" t="n">
        <v>60</v>
      </c>
      <c r="C64" s="117" t="s">
        <v>3640</v>
      </c>
      <c r="D64" s="117" t="s">
        <v>3645</v>
      </c>
      <c r="E64" s="117" t="s">
        <v>3623</v>
      </c>
      <c r="F64" s="117" t="s">
        <v>3646</v>
      </c>
      <c r="G64" s="117" t="s">
        <v>3647</v>
      </c>
      <c r="H64" s="118" t="s">
        <v>3392</v>
      </c>
    </row>
    <row r="65" customFormat="false" ht="27.75" hidden="false" customHeight="true" outlineLevel="0" collapsed="false">
      <c r="B65" s="117" t="n">
        <v>61</v>
      </c>
      <c r="C65" s="117" t="s">
        <v>3648</v>
      </c>
      <c r="D65" s="117" t="s">
        <v>3649</v>
      </c>
      <c r="E65" s="117" t="s">
        <v>3650</v>
      </c>
      <c r="F65" s="117" t="s">
        <v>3651</v>
      </c>
      <c r="G65" s="117" t="s">
        <v>3652</v>
      </c>
      <c r="H65" s="118" t="s">
        <v>3392</v>
      </c>
    </row>
    <row r="66" customFormat="false" ht="27.75" hidden="false" customHeight="true" outlineLevel="0" collapsed="false">
      <c r="B66" s="117" t="n">
        <v>62</v>
      </c>
      <c r="C66" s="117" t="s">
        <v>3640</v>
      </c>
      <c r="D66" s="117" t="s">
        <v>3653</v>
      </c>
      <c r="E66" s="117" t="s">
        <v>3654</v>
      </c>
      <c r="F66" s="117" t="s">
        <v>3655</v>
      </c>
      <c r="G66" s="117" t="s">
        <v>3656</v>
      </c>
      <c r="H66" s="118" t="s">
        <v>3392</v>
      </c>
    </row>
    <row r="67" customFormat="false" ht="15" hidden="false" customHeight="true" outlineLevel="0" collapsed="false">
      <c r="B67" s="117" t="n">
        <v>63</v>
      </c>
      <c r="C67" s="117" t="s">
        <v>3640</v>
      </c>
      <c r="D67" s="117" t="s">
        <v>3657</v>
      </c>
      <c r="E67" s="117" t="s">
        <v>3623</v>
      </c>
      <c r="F67" s="117" t="s">
        <v>3658</v>
      </c>
      <c r="G67" s="117" t="s">
        <v>3659</v>
      </c>
      <c r="H67" s="118" t="s">
        <v>3392</v>
      </c>
    </row>
    <row r="68" customFormat="false" ht="27.75" hidden="false" customHeight="true" outlineLevel="0" collapsed="false">
      <c r="B68" s="117" t="n">
        <v>64</v>
      </c>
      <c r="C68" s="117" t="s">
        <v>3467</v>
      </c>
      <c r="D68" s="117" t="s">
        <v>3660</v>
      </c>
      <c r="E68" s="117" t="s">
        <v>3661</v>
      </c>
      <c r="F68" s="117" t="s">
        <v>3662</v>
      </c>
      <c r="G68" s="117" t="s">
        <v>3663</v>
      </c>
      <c r="H68" s="118" t="s">
        <v>3392</v>
      </c>
    </row>
    <row r="69" customFormat="false" ht="27.75" hidden="false" customHeight="true" outlineLevel="0" collapsed="false">
      <c r="B69" s="117" t="n">
        <v>65</v>
      </c>
      <c r="C69" s="117" t="s">
        <v>3472</v>
      </c>
      <c r="D69" s="117" t="s">
        <v>3664</v>
      </c>
      <c r="E69" s="117" t="s">
        <v>3665</v>
      </c>
      <c r="F69" s="117" t="s">
        <v>3666</v>
      </c>
      <c r="G69" s="117" t="s">
        <v>3667</v>
      </c>
      <c r="H69" s="118" t="s">
        <v>3392</v>
      </c>
    </row>
    <row r="70" customFormat="false" ht="15" hidden="false" customHeight="true" outlineLevel="0" collapsed="false">
      <c r="B70" s="117" t="n">
        <v>66</v>
      </c>
      <c r="C70" s="117" t="s">
        <v>3648</v>
      </c>
      <c r="D70" s="117" t="s">
        <v>3668</v>
      </c>
      <c r="E70" s="117" t="s">
        <v>3669</v>
      </c>
      <c r="F70" s="117" t="s">
        <v>3670</v>
      </c>
      <c r="G70" s="117" t="s">
        <v>3671</v>
      </c>
      <c r="H70" s="118" t="s">
        <v>3392</v>
      </c>
    </row>
    <row r="71" customFormat="false" ht="15" hidden="false" customHeight="true" outlineLevel="0" collapsed="false">
      <c r="B71" s="117" t="n">
        <v>67</v>
      </c>
      <c r="C71" s="117" t="s">
        <v>3672</v>
      </c>
      <c r="D71" s="117" t="s">
        <v>3673</v>
      </c>
      <c r="E71" s="117" t="s">
        <v>3674</v>
      </c>
      <c r="F71" s="117" t="s">
        <v>3675</v>
      </c>
      <c r="G71" s="117" t="s">
        <v>3676</v>
      </c>
      <c r="H71" s="118" t="s">
        <v>3392</v>
      </c>
    </row>
    <row r="72" customFormat="false" ht="27.75" hidden="false" customHeight="true" outlineLevel="0" collapsed="false">
      <c r="B72" s="117" t="n">
        <v>68</v>
      </c>
      <c r="C72" s="117" t="s">
        <v>3672</v>
      </c>
      <c r="D72" s="117" t="s">
        <v>3677</v>
      </c>
      <c r="E72" s="117" t="s">
        <v>3678</v>
      </c>
      <c r="F72" s="117" t="s">
        <v>3679</v>
      </c>
      <c r="G72" s="117" t="s">
        <v>3431</v>
      </c>
      <c r="H72" s="119" t="s">
        <v>3680</v>
      </c>
    </row>
    <row r="73" customFormat="false" ht="27.75" hidden="false" customHeight="true" outlineLevel="0" collapsed="false">
      <c r="B73" s="117" t="n">
        <v>69</v>
      </c>
      <c r="C73" s="117" t="s">
        <v>3672</v>
      </c>
      <c r="D73" s="117" t="s">
        <v>3681</v>
      </c>
      <c r="E73" s="117" t="s">
        <v>3682</v>
      </c>
      <c r="F73" s="117" t="s">
        <v>3683</v>
      </c>
      <c r="G73" s="117" t="s">
        <v>3431</v>
      </c>
      <c r="H73" s="119" t="s">
        <v>3684</v>
      </c>
    </row>
    <row r="74" customFormat="false" ht="54.75" hidden="false" customHeight="true" outlineLevel="0" collapsed="false">
      <c r="B74" s="117" t="n">
        <v>70</v>
      </c>
      <c r="C74" s="117" t="s">
        <v>3685</v>
      </c>
      <c r="D74" s="117" t="s">
        <v>3686</v>
      </c>
      <c r="E74" s="117" t="s">
        <v>3687</v>
      </c>
      <c r="F74" s="117" t="s">
        <v>3688</v>
      </c>
      <c r="G74" s="117" t="s">
        <v>3431</v>
      </c>
      <c r="H74" s="118" t="s">
        <v>3689</v>
      </c>
    </row>
    <row r="75" customFormat="false" ht="27.75" hidden="false" customHeight="true" outlineLevel="0" collapsed="false">
      <c r="B75" s="117" t="n">
        <v>71</v>
      </c>
      <c r="C75" s="117" t="s">
        <v>3690</v>
      </c>
      <c r="D75" s="117" t="s">
        <v>3691</v>
      </c>
      <c r="E75" s="117" t="s">
        <v>3592</v>
      </c>
      <c r="F75" s="117" t="s">
        <v>3692</v>
      </c>
      <c r="G75" s="117" t="s">
        <v>3431</v>
      </c>
      <c r="H75" s="118" t="s">
        <v>3693</v>
      </c>
    </row>
    <row r="76" customFormat="false" ht="41.25" hidden="false" customHeight="true" outlineLevel="0" collapsed="false">
      <c r="B76" s="117" t="n">
        <v>72</v>
      </c>
      <c r="C76" s="117" t="s">
        <v>3525</v>
      </c>
      <c r="D76" s="117" t="s">
        <v>3694</v>
      </c>
      <c r="E76" s="117" t="s">
        <v>3504</v>
      </c>
      <c r="F76" s="117" t="s">
        <v>3695</v>
      </c>
      <c r="G76" s="117" t="s">
        <v>3696</v>
      </c>
      <c r="H76" s="120" t="s">
        <v>3697</v>
      </c>
    </row>
    <row r="77" customFormat="false" ht="15" hidden="false" customHeight="true" outlineLevel="0" collapsed="false">
      <c r="B77" s="117" t="n">
        <v>73</v>
      </c>
      <c r="C77" s="117" t="s">
        <v>3698</v>
      </c>
      <c r="D77" s="117" t="s">
        <v>3699</v>
      </c>
      <c r="E77" s="117" t="s">
        <v>3425</v>
      </c>
      <c r="F77" s="117" t="s">
        <v>3700</v>
      </c>
      <c r="G77" s="117" t="s">
        <v>3427</v>
      </c>
      <c r="H77" s="118" t="s">
        <v>3392</v>
      </c>
    </row>
    <row r="78" customFormat="false" ht="54.75" hidden="false" customHeight="true" outlineLevel="0" collapsed="false">
      <c r="B78" s="117" t="n">
        <v>74</v>
      </c>
      <c r="C78" s="117" t="s">
        <v>3698</v>
      </c>
      <c r="D78" s="117" t="s">
        <v>3701</v>
      </c>
      <c r="E78" s="117" t="s">
        <v>3702</v>
      </c>
      <c r="F78" s="117" t="s">
        <v>3703</v>
      </c>
      <c r="G78" s="117" t="s">
        <v>3704</v>
      </c>
      <c r="H78" s="118" t="s">
        <v>3705</v>
      </c>
    </row>
    <row r="79" customFormat="false" ht="27.75" hidden="false" customHeight="true" outlineLevel="0" collapsed="false">
      <c r="B79" s="117" t="n">
        <v>75</v>
      </c>
      <c r="C79" s="117" t="s">
        <v>3706</v>
      </c>
      <c r="D79" s="117" t="s">
        <v>3707</v>
      </c>
      <c r="E79" s="117" t="s">
        <v>3708</v>
      </c>
      <c r="F79" s="117" t="s">
        <v>3709</v>
      </c>
      <c r="G79" s="117" t="s">
        <v>3710</v>
      </c>
      <c r="H79" s="118" t="s">
        <v>3392</v>
      </c>
    </row>
    <row r="80" customFormat="false" ht="27.75" hidden="false" customHeight="true" outlineLevel="0" collapsed="false">
      <c r="B80" s="117" t="n">
        <v>76</v>
      </c>
      <c r="C80" s="117" t="s">
        <v>3711</v>
      </c>
      <c r="D80" s="117" t="s">
        <v>3712</v>
      </c>
      <c r="E80" s="117" t="s">
        <v>3713</v>
      </c>
      <c r="F80" s="117" t="s">
        <v>3714</v>
      </c>
      <c r="G80" s="117" t="s">
        <v>3715</v>
      </c>
      <c r="H80" s="118" t="s">
        <v>3716</v>
      </c>
    </row>
    <row r="81" customFormat="false" ht="27.75" hidden="false" customHeight="true" outlineLevel="0" collapsed="false">
      <c r="B81" s="117" t="n">
        <v>77</v>
      </c>
      <c r="C81" s="117" t="s">
        <v>3717</v>
      </c>
      <c r="D81" s="117" t="s">
        <v>3718</v>
      </c>
      <c r="E81" s="117" t="s">
        <v>3719</v>
      </c>
      <c r="F81" s="117" t="s">
        <v>3720</v>
      </c>
      <c r="G81" s="117" t="s">
        <v>3721</v>
      </c>
      <c r="H81" s="118" t="s">
        <v>3392</v>
      </c>
    </row>
    <row r="82" customFormat="false" ht="41.25" hidden="false" customHeight="true" outlineLevel="0" collapsed="false">
      <c r="B82" s="117" t="n">
        <v>78</v>
      </c>
      <c r="C82" s="117" t="s">
        <v>3722</v>
      </c>
      <c r="D82" s="117" t="s">
        <v>3723</v>
      </c>
      <c r="E82" s="117" t="s">
        <v>3545</v>
      </c>
      <c r="F82" s="117" t="s">
        <v>3724</v>
      </c>
      <c r="G82" s="117" t="s">
        <v>3725</v>
      </c>
      <c r="H82" s="119" t="s">
        <v>3726</v>
      </c>
    </row>
    <row r="83" customFormat="false" ht="27.75" hidden="false" customHeight="true" outlineLevel="0" collapsed="false">
      <c r="B83" s="117" t="n">
        <v>79</v>
      </c>
      <c r="C83" s="117" t="s">
        <v>3722</v>
      </c>
      <c r="D83" s="117" t="s">
        <v>3727</v>
      </c>
      <c r="E83" s="117" t="s">
        <v>3728</v>
      </c>
      <c r="F83" s="117" t="s">
        <v>3729</v>
      </c>
      <c r="G83" s="117" t="s">
        <v>3730</v>
      </c>
      <c r="H83" s="119" t="s">
        <v>3731</v>
      </c>
    </row>
    <row r="84" customFormat="false" ht="27.75" hidden="false" customHeight="true" outlineLevel="0" collapsed="false">
      <c r="B84" s="117" t="n">
        <v>80</v>
      </c>
      <c r="C84" s="117" t="s">
        <v>3732</v>
      </c>
      <c r="D84" s="117" t="s">
        <v>3733</v>
      </c>
      <c r="E84" s="117" t="s">
        <v>3734</v>
      </c>
      <c r="F84" s="117" t="s">
        <v>3735</v>
      </c>
      <c r="G84" s="117" t="s">
        <v>3736</v>
      </c>
      <c r="H84" s="118" t="s">
        <v>3737</v>
      </c>
    </row>
    <row r="85" customFormat="false" ht="27.75" hidden="false" customHeight="true" outlineLevel="0" collapsed="false">
      <c r="B85" s="117" t="n">
        <v>81</v>
      </c>
      <c r="C85" s="117" t="s">
        <v>3738</v>
      </c>
      <c r="D85" s="117" t="s">
        <v>3739</v>
      </c>
      <c r="E85" s="117" t="s">
        <v>3740</v>
      </c>
      <c r="F85" s="117" t="s">
        <v>3741</v>
      </c>
      <c r="G85" s="117" t="s">
        <v>3742</v>
      </c>
      <c r="H85" s="118" t="s">
        <v>3737</v>
      </c>
    </row>
    <row r="86" customFormat="false" ht="27.75" hidden="false" customHeight="true" outlineLevel="0" collapsed="false">
      <c r="B86" s="117" t="n">
        <v>82</v>
      </c>
      <c r="C86" s="117" t="s">
        <v>3743</v>
      </c>
      <c r="D86" s="117" t="s">
        <v>3744</v>
      </c>
      <c r="E86" s="117" t="s">
        <v>3745</v>
      </c>
      <c r="F86" s="117" t="s">
        <v>3746</v>
      </c>
      <c r="G86" s="117" t="s">
        <v>3747</v>
      </c>
      <c r="H86" s="118" t="s">
        <v>3737</v>
      </c>
    </row>
    <row r="87" customFormat="false" ht="27.75" hidden="false" customHeight="true" outlineLevel="0" collapsed="false">
      <c r="B87" s="117" t="n">
        <v>83</v>
      </c>
      <c r="C87" s="117" t="s">
        <v>3748</v>
      </c>
      <c r="D87" s="117" t="s">
        <v>3749</v>
      </c>
      <c r="E87" s="117" t="s">
        <v>3750</v>
      </c>
      <c r="F87" s="117" t="s">
        <v>3751</v>
      </c>
      <c r="G87" s="117" t="s">
        <v>3752</v>
      </c>
      <c r="H87" s="118" t="s">
        <v>3737</v>
      </c>
    </row>
    <row r="88" customFormat="false" ht="27.75" hidden="false" customHeight="true" outlineLevel="0" collapsed="false">
      <c r="B88" s="117" t="n">
        <v>84</v>
      </c>
      <c r="C88" s="117" t="s">
        <v>3753</v>
      </c>
      <c r="D88" s="117" t="s">
        <v>3754</v>
      </c>
      <c r="E88" s="117" t="s">
        <v>3755</v>
      </c>
      <c r="F88" s="117" t="s">
        <v>3756</v>
      </c>
      <c r="G88" s="117" t="s">
        <v>3757</v>
      </c>
      <c r="H88" s="118" t="s">
        <v>3737</v>
      </c>
    </row>
    <row r="89" customFormat="false" ht="27.75" hidden="false" customHeight="true" outlineLevel="0" collapsed="false">
      <c r="B89" s="117" t="n">
        <v>85</v>
      </c>
      <c r="C89" s="117" t="s">
        <v>3758</v>
      </c>
      <c r="D89" s="117" t="s">
        <v>3759</v>
      </c>
      <c r="E89" s="117" t="s">
        <v>3760</v>
      </c>
      <c r="F89" s="117" t="s">
        <v>3761</v>
      </c>
      <c r="G89" s="117" t="s">
        <v>3762</v>
      </c>
      <c r="H89" s="118" t="s">
        <v>3737</v>
      </c>
    </row>
    <row r="90" customFormat="false" ht="27.75" hidden="false" customHeight="true" outlineLevel="0" collapsed="false">
      <c r="B90" s="117" t="n">
        <v>86</v>
      </c>
      <c r="C90" s="117" t="s">
        <v>3763</v>
      </c>
      <c r="D90" s="117" t="s">
        <v>3764</v>
      </c>
      <c r="E90" s="117" t="s">
        <v>3765</v>
      </c>
      <c r="F90" s="117" t="s">
        <v>3766</v>
      </c>
      <c r="G90" s="117" t="s">
        <v>3767</v>
      </c>
      <c r="H90" s="118" t="s">
        <v>3737</v>
      </c>
    </row>
    <row r="91" customFormat="false" ht="27.75" hidden="false" customHeight="true" outlineLevel="0" collapsed="false">
      <c r="B91" s="117" t="n">
        <v>87</v>
      </c>
      <c r="C91" s="117" t="s">
        <v>3768</v>
      </c>
      <c r="D91" s="117" t="s">
        <v>3769</v>
      </c>
      <c r="E91" s="117" t="s">
        <v>3770</v>
      </c>
      <c r="F91" s="117" t="s">
        <v>3771</v>
      </c>
      <c r="G91" s="117" t="s">
        <v>3772</v>
      </c>
      <c r="H91" s="118" t="s">
        <v>3737</v>
      </c>
    </row>
    <row r="92" customFormat="false" ht="27.75" hidden="false" customHeight="true" outlineLevel="0" collapsed="false">
      <c r="B92" s="117" t="n">
        <v>88</v>
      </c>
      <c r="C92" s="117" t="s">
        <v>3773</v>
      </c>
      <c r="D92" s="117" t="s">
        <v>3774</v>
      </c>
      <c r="E92" s="117" t="s">
        <v>3775</v>
      </c>
      <c r="F92" s="117" t="s">
        <v>3776</v>
      </c>
      <c r="G92" s="117" t="s">
        <v>3777</v>
      </c>
      <c r="H92" s="118" t="s">
        <v>3737</v>
      </c>
    </row>
    <row r="93" customFormat="false" ht="27.75" hidden="false" customHeight="true" outlineLevel="0" collapsed="false">
      <c r="B93" s="117" t="n">
        <v>89</v>
      </c>
      <c r="C93" s="117" t="s">
        <v>3778</v>
      </c>
      <c r="D93" s="117" t="s">
        <v>3779</v>
      </c>
      <c r="E93" s="117" t="s">
        <v>3780</v>
      </c>
      <c r="F93" s="117" t="s">
        <v>3781</v>
      </c>
      <c r="G93" s="117" t="s">
        <v>3782</v>
      </c>
      <c r="H93" s="118" t="s">
        <v>3737</v>
      </c>
    </row>
    <row r="94" customFormat="false" ht="27.75" hidden="false" customHeight="true" outlineLevel="0" collapsed="false">
      <c r="B94" s="117" t="n">
        <v>90</v>
      </c>
      <c r="C94" s="117" t="s">
        <v>3783</v>
      </c>
      <c r="D94" s="117" t="s">
        <v>3784</v>
      </c>
      <c r="E94" s="117" t="s">
        <v>3785</v>
      </c>
      <c r="F94" s="117" t="s">
        <v>3786</v>
      </c>
      <c r="G94" s="117" t="s">
        <v>3787</v>
      </c>
      <c r="H94" s="118" t="s">
        <v>3737</v>
      </c>
    </row>
    <row r="95" customFormat="false" ht="27.75" hidden="false" customHeight="true" outlineLevel="0" collapsed="false">
      <c r="B95" s="117" t="n">
        <v>91</v>
      </c>
      <c r="C95" s="117" t="s">
        <v>3788</v>
      </c>
      <c r="D95" s="117" t="s">
        <v>3789</v>
      </c>
      <c r="E95" s="117" t="s">
        <v>3790</v>
      </c>
      <c r="F95" s="117" t="s">
        <v>3791</v>
      </c>
      <c r="G95" s="117" t="s">
        <v>3792</v>
      </c>
      <c r="H95" s="118" t="s">
        <v>3737</v>
      </c>
    </row>
    <row r="96" customFormat="false" ht="27.75" hidden="false" customHeight="true" outlineLevel="0" collapsed="false">
      <c r="B96" s="117" t="n">
        <v>92</v>
      </c>
      <c r="C96" s="117" t="s">
        <v>3793</v>
      </c>
      <c r="D96" s="117" t="s">
        <v>3794</v>
      </c>
      <c r="E96" s="117" t="s">
        <v>3795</v>
      </c>
      <c r="F96" s="117" t="s">
        <v>3796</v>
      </c>
      <c r="G96" s="117" t="s">
        <v>3797</v>
      </c>
      <c r="H96" s="118" t="s">
        <v>3737</v>
      </c>
    </row>
    <row r="97" customFormat="false" ht="27.75" hidden="false" customHeight="true" outlineLevel="0" collapsed="false">
      <c r="B97" s="117" t="n">
        <v>93</v>
      </c>
      <c r="C97" s="117" t="s">
        <v>3798</v>
      </c>
      <c r="D97" s="117" t="s">
        <v>3799</v>
      </c>
      <c r="E97" s="117" t="s">
        <v>3800</v>
      </c>
      <c r="F97" s="117" t="s">
        <v>3801</v>
      </c>
      <c r="G97" s="117" t="s">
        <v>3802</v>
      </c>
      <c r="H97" s="118" t="s">
        <v>3737</v>
      </c>
    </row>
    <row r="98" customFormat="false" ht="27.75" hidden="false" customHeight="true" outlineLevel="0" collapsed="false">
      <c r="B98" s="117" t="n">
        <v>94</v>
      </c>
      <c r="C98" s="117" t="s">
        <v>3803</v>
      </c>
      <c r="D98" s="117" t="s">
        <v>3804</v>
      </c>
      <c r="E98" s="117" t="s">
        <v>3805</v>
      </c>
      <c r="F98" s="117" t="s">
        <v>3806</v>
      </c>
      <c r="G98" s="117" t="s">
        <v>3807</v>
      </c>
      <c r="H98" s="118" t="s">
        <v>3737</v>
      </c>
    </row>
    <row r="99" customFormat="false" ht="27.75" hidden="false" customHeight="true" outlineLevel="0" collapsed="false">
      <c r="B99" s="117" t="n">
        <v>95</v>
      </c>
      <c r="C99" s="117" t="s">
        <v>3808</v>
      </c>
      <c r="D99" s="117" t="s">
        <v>3809</v>
      </c>
      <c r="E99" s="117" t="s">
        <v>3810</v>
      </c>
      <c r="F99" s="117" t="s">
        <v>3811</v>
      </c>
      <c r="G99" s="117" t="s">
        <v>3812</v>
      </c>
      <c r="H99" s="118" t="s">
        <v>3737</v>
      </c>
    </row>
    <row r="100" customFormat="false" ht="27.75" hidden="false" customHeight="true" outlineLevel="0" collapsed="false">
      <c r="B100" s="117" t="n">
        <v>96</v>
      </c>
      <c r="C100" s="117" t="s">
        <v>3813</v>
      </c>
      <c r="D100" s="117" t="s">
        <v>3814</v>
      </c>
      <c r="E100" s="117" t="s">
        <v>3815</v>
      </c>
      <c r="F100" s="117" t="s">
        <v>3816</v>
      </c>
      <c r="G100" s="117" t="s">
        <v>3817</v>
      </c>
      <c r="H100" s="118" t="s">
        <v>3737</v>
      </c>
    </row>
    <row r="101" customFormat="false" ht="27.75" hidden="false" customHeight="true" outlineLevel="0" collapsed="false">
      <c r="B101" s="117" t="n">
        <v>97</v>
      </c>
      <c r="C101" s="117" t="s">
        <v>3818</v>
      </c>
      <c r="D101" s="117" t="s">
        <v>3819</v>
      </c>
      <c r="E101" s="117" t="s">
        <v>3820</v>
      </c>
      <c r="F101" s="117" t="s">
        <v>3821</v>
      </c>
      <c r="G101" s="117" t="s">
        <v>3822</v>
      </c>
      <c r="H101" s="118" t="s">
        <v>3737</v>
      </c>
    </row>
    <row r="102" customFormat="false" ht="27.75" hidden="false" customHeight="true" outlineLevel="0" collapsed="false">
      <c r="B102" s="117" t="n">
        <v>98</v>
      </c>
      <c r="C102" s="117" t="s">
        <v>3823</v>
      </c>
      <c r="D102" s="117" t="s">
        <v>3824</v>
      </c>
      <c r="E102" s="117" t="s">
        <v>3825</v>
      </c>
      <c r="F102" s="117" t="s">
        <v>3826</v>
      </c>
      <c r="G102" s="117" t="s">
        <v>3827</v>
      </c>
      <c r="H102" s="118" t="s">
        <v>3737</v>
      </c>
    </row>
    <row r="103" customFormat="false" ht="27.75" hidden="false" customHeight="true" outlineLevel="0" collapsed="false">
      <c r="B103" s="117" t="n">
        <v>99</v>
      </c>
      <c r="C103" s="117" t="s">
        <v>3828</v>
      </c>
      <c r="D103" s="117" t="s">
        <v>3829</v>
      </c>
      <c r="E103" s="117" t="s">
        <v>3830</v>
      </c>
      <c r="F103" s="117" t="s">
        <v>3831</v>
      </c>
      <c r="G103" s="117" t="s">
        <v>3832</v>
      </c>
      <c r="H103" s="118" t="s">
        <v>3737</v>
      </c>
    </row>
    <row r="104" customFormat="false" ht="27.75" hidden="false" customHeight="true" outlineLevel="0" collapsed="false">
      <c r="B104" s="117" t="n">
        <v>100</v>
      </c>
      <c r="C104" s="117" t="s">
        <v>3833</v>
      </c>
      <c r="D104" s="117" t="s">
        <v>3834</v>
      </c>
      <c r="E104" s="117" t="s">
        <v>3835</v>
      </c>
      <c r="F104" s="117" t="s">
        <v>3836</v>
      </c>
      <c r="G104" s="117" t="s">
        <v>3837</v>
      </c>
      <c r="H104" s="118" t="s">
        <v>3737</v>
      </c>
    </row>
    <row r="105" customFormat="false" ht="27.75" hidden="false" customHeight="true" outlineLevel="0" collapsed="false">
      <c r="B105" s="117" t="n">
        <v>101</v>
      </c>
      <c r="C105" s="117" t="s">
        <v>3838</v>
      </c>
      <c r="D105" s="117" t="s">
        <v>3839</v>
      </c>
      <c r="E105" s="117" t="s">
        <v>3840</v>
      </c>
      <c r="F105" s="117" t="s">
        <v>3841</v>
      </c>
      <c r="G105" s="117" t="s">
        <v>3842</v>
      </c>
      <c r="H105" s="118" t="s">
        <v>3737</v>
      </c>
    </row>
    <row r="106" customFormat="false" ht="27.75" hidden="false" customHeight="true" outlineLevel="0" collapsed="false">
      <c r="B106" s="117" t="n">
        <v>102</v>
      </c>
      <c r="C106" s="117" t="s">
        <v>3843</v>
      </c>
      <c r="D106" s="117" t="s">
        <v>3844</v>
      </c>
      <c r="E106" s="117" t="s">
        <v>3845</v>
      </c>
      <c r="F106" s="117" t="s">
        <v>3846</v>
      </c>
      <c r="G106" s="117" t="s">
        <v>3847</v>
      </c>
      <c r="H106" s="118" t="s">
        <v>3737</v>
      </c>
    </row>
    <row r="107" customFormat="false" ht="27.75" hidden="false" customHeight="true" outlineLevel="0" collapsed="false">
      <c r="B107" s="117" t="n">
        <v>103</v>
      </c>
      <c r="C107" s="117" t="s">
        <v>3848</v>
      </c>
      <c r="D107" s="117" t="s">
        <v>3849</v>
      </c>
      <c r="E107" s="117" t="s">
        <v>3850</v>
      </c>
      <c r="F107" s="117" t="s">
        <v>3851</v>
      </c>
      <c r="G107" s="117" t="s">
        <v>3852</v>
      </c>
      <c r="H107" s="118" t="s">
        <v>3737</v>
      </c>
    </row>
    <row r="108" customFormat="false" ht="27.75" hidden="false" customHeight="true" outlineLevel="0" collapsed="false">
      <c r="B108" s="117" t="n">
        <v>104</v>
      </c>
      <c r="C108" s="117" t="s">
        <v>3853</v>
      </c>
      <c r="D108" s="117" t="s">
        <v>3854</v>
      </c>
      <c r="E108" s="117" t="s">
        <v>3855</v>
      </c>
      <c r="F108" s="117" t="s">
        <v>3856</v>
      </c>
      <c r="G108" s="117" t="s">
        <v>3857</v>
      </c>
      <c r="H108" s="118" t="s">
        <v>3737</v>
      </c>
    </row>
    <row r="109" customFormat="false" ht="27.75" hidden="false" customHeight="true" outlineLevel="0" collapsed="false">
      <c r="B109" s="117" t="n">
        <v>105</v>
      </c>
      <c r="C109" s="117" t="s">
        <v>3858</v>
      </c>
      <c r="D109" s="117" t="s">
        <v>3859</v>
      </c>
      <c r="E109" s="117" t="s">
        <v>3860</v>
      </c>
      <c r="F109" s="117" t="s">
        <v>3861</v>
      </c>
      <c r="G109" s="117" t="s">
        <v>3862</v>
      </c>
      <c r="H109" s="118" t="s">
        <v>3737</v>
      </c>
    </row>
    <row r="110" customFormat="false" ht="27.75" hidden="false" customHeight="true" outlineLevel="0" collapsed="false">
      <c r="B110" s="117" t="n">
        <v>106</v>
      </c>
      <c r="C110" s="117" t="s">
        <v>3863</v>
      </c>
      <c r="D110" s="117" t="s">
        <v>3864</v>
      </c>
      <c r="E110" s="117" t="s">
        <v>3865</v>
      </c>
      <c r="F110" s="117" t="s">
        <v>3866</v>
      </c>
      <c r="G110" s="117" t="s">
        <v>3867</v>
      </c>
      <c r="H110" s="118" t="s">
        <v>3737</v>
      </c>
    </row>
    <row r="111" customFormat="false" ht="27.75" hidden="false" customHeight="true" outlineLevel="0" collapsed="false">
      <c r="B111" s="117" t="n">
        <v>107</v>
      </c>
      <c r="C111" s="117" t="s">
        <v>3868</v>
      </c>
      <c r="D111" s="117" t="s">
        <v>3869</v>
      </c>
      <c r="E111" s="117" t="s">
        <v>3870</v>
      </c>
      <c r="F111" s="117" t="s">
        <v>3871</v>
      </c>
      <c r="G111" s="117" t="s">
        <v>3872</v>
      </c>
      <c r="H111" s="118" t="s">
        <v>3737</v>
      </c>
    </row>
    <row r="113" customFormat="false" ht="15" hidden="false" customHeight="true" outlineLevel="0" collapsed="false">
      <c r="B113" s="113" t="s">
        <v>3873</v>
      </c>
    </row>
    <row r="114" customFormat="false" ht="15" hidden="false" customHeight="true" outlineLevel="0" collapsed="false">
      <c r="C114" s="1" t="s">
        <v>3874</v>
      </c>
      <c r="D114" s="1" t="n">
        <f aca="false">COUNTA(C5:C111)</f>
        <v>107</v>
      </c>
    </row>
    <row r="115" customFormat="false" ht="15" hidden="false" customHeight="true" outlineLevel="0" collapsed="false">
      <c r="C115" s="1" t="s">
        <v>3392</v>
      </c>
      <c r="D115" s="1" t="n">
        <f aca="false">COUNTIF(H5:H111,"Matched in test*")-COUNTIF(H5:H111,"Matched in test when*")</f>
        <v>94</v>
      </c>
    </row>
    <row r="116" customFormat="false" ht="15" hidden="false" customHeight="true" outlineLevel="0" collapsed="false">
      <c r="C116" s="1" t="s">
        <v>3875</v>
      </c>
      <c r="D116" s="1" t="n">
        <f aca="false">COUNTIF(H5:H111,"Matched in test when*")+COUNTIF(H5:H111,"Figures*")+COUNTIF(H5:H111,"Values*")+COUNTIF(H5:H111,"Partly*")</f>
        <v>5</v>
      </c>
    </row>
    <row r="117" customFormat="false" ht="15" hidden="false" customHeight="true" outlineLevel="0" collapsed="false">
      <c r="C117" s="1" t="s">
        <v>3876</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3877</v>
      </c>
    </row>
    <row r="2" customFormat="false" ht="15" hidden="false" customHeight="true" outlineLevel="0" collapsed="false">
      <c r="B2" s="121" t="s">
        <v>3878</v>
      </c>
    </row>
    <row r="4" customFormat="false" ht="15" hidden="false" customHeight="true" outlineLevel="0" collapsed="false">
      <c r="B4" s="15" t="s">
        <v>221</v>
      </c>
      <c r="C4" s="16"/>
      <c r="D4" s="16"/>
      <c r="E4" s="16"/>
      <c r="F4" s="28" t="s">
        <v>3879</v>
      </c>
      <c r="G4" s="28" t="s">
        <v>3880</v>
      </c>
    </row>
    <row r="5" customFormat="false" ht="15" hidden="false" customHeight="true" outlineLevel="0" collapsed="false">
      <c r="B5" s="9" t="s">
        <v>3881</v>
      </c>
      <c r="C5" s="35"/>
      <c r="E5" s="3" t="s">
        <v>3882</v>
      </c>
      <c r="F5" s="36" t="s">
        <v>3883</v>
      </c>
      <c r="G5" s="37" t="str">
        <f aca="false">IF(ISBLANK(C5),IF(Fill_Example="Yes",F5,""),C5)</f>
        <v/>
      </c>
    </row>
    <row r="6" customFormat="false" ht="15" hidden="false" customHeight="true" outlineLevel="0" collapsed="false">
      <c r="B6" s="9" t="s">
        <v>3884</v>
      </c>
      <c r="C6" s="30"/>
      <c r="E6" s="3" t="s">
        <v>3885</v>
      </c>
      <c r="F6" s="33" t="n">
        <v>60000</v>
      </c>
      <c r="G6" s="34" t="str">
        <f aca="false">IF(ISBLANK(C6),IF(Fill_Example="Yes",F6,""),C6)</f>
        <v/>
      </c>
    </row>
    <row r="7" customFormat="false" ht="15" hidden="false" customHeight="true" outlineLevel="0" collapsed="false">
      <c r="B7" s="9" t="s">
        <v>3886</v>
      </c>
      <c r="C7" s="30"/>
      <c r="E7" s="3" t="s">
        <v>3887</v>
      </c>
      <c r="F7" s="33" t="n">
        <v>0</v>
      </c>
      <c r="G7" s="34" t="n">
        <f aca="false">IF(ISBLANK(C7),F7,C7)</f>
        <v>0</v>
      </c>
    </row>
    <row r="8" customFormat="false" ht="15" hidden="false" customHeight="true" outlineLevel="0" collapsed="false">
      <c r="B8" s="9" t="s">
        <v>3888</v>
      </c>
      <c r="C8" s="35"/>
      <c r="E8" s="3" t="s">
        <v>3889</v>
      </c>
      <c r="F8" s="36" t="s">
        <v>3</v>
      </c>
      <c r="G8" s="37" t="str">
        <f aca="false">IF(ISBLANK(C8),IF(Fill_Example="Yes",F8,""),C8)</f>
        <v/>
      </c>
    </row>
    <row r="9" customFormat="false" ht="15" hidden="false" customHeight="true" outlineLevel="0" collapsed="false">
      <c r="B9" s="9" t="s">
        <v>3890</v>
      </c>
      <c r="C9" s="35"/>
      <c r="E9" s="3" t="s">
        <v>3891</v>
      </c>
      <c r="F9" s="36" t="s">
        <v>3</v>
      </c>
      <c r="G9" s="37" t="str">
        <f aca="false">IF(ISBLANK(C9),IF(Fill_Example="Yes",F9,""),C9)</f>
        <v/>
      </c>
    </row>
    <row r="10" customFormat="false" ht="15" hidden="false" customHeight="true" outlineLevel="0" collapsed="false">
      <c r="B10" s="9" t="s">
        <v>3892</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3893</v>
      </c>
      <c r="G10" s="37" t="str">
        <f aca="false">IF(ISBLANK(C10),F10,C10)</f>
        <v>From 1 Oct 2026</v>
      </c>
    </row>
    <row r="12" customFormat="false" ht="15" hidden="false" customHeight="true" outlineLevel="0" collapsed="false">
      <c r="B12" s="15" t="s">
        <v>3894</v>
      </c>
      <c r="C12" s="16"/>
      <c r="D12" s="16"/>
      <c r="E12" s="16"/>
    </row>
    <row r="13" customFormat="false" ht="15" hidden="false" customHeight="true" outlineLevel="0" collapsed="false">
      <c r="B13" s="9" t="s">
        <v>3895</v>
      </c>
      <c r="C13" s="122" t="n">
        <f aca="false">IF(TE_PRSI_Basis="Calendar 2026 blend",PRSI_Rate_2026_Blend,PRSI_Rate)</f>
        <v>0.0435</v>
      </c>
      <c r="E13" s="123" t="s">
        <v>3896</v>
      </c>
    </row>
    <row r="14" customFormat="false" ht="15" hidden="false" customHeight="true" outlineLevel="0" collapsed="false">
      <c r="B14" s="9" t="s">
        <v>3897</v>
      </c>
      <c r="C14" s="124" t="str">
        <f aca="false">IF(TE_Need&lt;&gt;"",TE_Need,IF(TE_Status="Married two earners",TE_Gross_2,0))</f>
        <v>Choose your tax status to see this</v>
      </c>
      <c r="E14" s="123" t="s">
        <v>3898</v>
      </c>
    </row>
    <row r="15" customFormat="false" ht="30" hidden="false" customHeight="true" outlineLevel="0" collapsed="false">
      <c r="B15" s="9" t="s">
        <v>3899</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3900</v>
      </c>
    </row>
    <row r="16" customFormat="false" ht="15" hidden="false" customHeight="true" outlineLevel="0" collapsed="false">
      <c r="B16" s="9" t="s">
        <v>3901</v>
      </c>
      <c r="C16" s="124" t="str">
        <f aca="false">IF(TE_Need&lt;&gt;"",TE_Need,TE_Gross_1+TE_Earner_2)</f>
        <v>Choose your tax status to see this</v>
      </c>
      <c r="E16" s="123" t="s">
        <v>3902</v>
      </c>
    </row>
    <row r="17" customFormat="false" ht="15" hidden="false" customHeight="true" outlineLevel="0" collapsed="false">
      <c r="B17" s="9" t="s">
        <v>3903</v>
      </c>
      <c r="C17" s="125" t="str">
        <f aca="false">IF(TE_Need&lt;&gt;"",TE_Need,Rate_Standard*MIN(TE_Taxable,TE_Band)+Rate_Higher*MAX(0,TE_Taxable-TE_Band))</f>
        <v>Choose your tax status to see this</v>
      </c>
      <c r="E17" s="123" t="s">
        <v>3904</v>
      </c>
    </row>
    <row r="18" customFormat="false" ht="30" hidden="false" customHeight="true" outlineLevel="0" collapsed="false">
      <c r="B18" s="9" t="s">
        <v>3905</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3906</v>
      </c>
    </row>
    <row r="19" customFormat="false" ht="15" hidden="false" customHeight="true" outlineLevel="0" collapsed="false">
      <c r="B19" s="12" t="s">
        <v>3907</v>
      </c>
      <c r="C19" s="126" t="str">
        <f aca="false">IF(TE_Need&lt;&gt;"",TE_Need,MAX(0,TE_Tax_Before_Credits-TE_Credits))</f>
        <v>Choose your tax status to see this</v>
      </c>
      <c r="E19" s="123" t="s">
        <v>3908</v>
      </c>
    </row>
    <row r="20" customFormat="false" ht="30" hidden="false" customHeight="true" outlineLevel="0" collapsed="false">
      <c r="B20" s="12" t="s">
        <v>3909</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3910</v>
      </c>
    </row>
    <row r="21" customFormat="false" ht="30" hidden="false" customHeight="true" outlineLevel="0" collapsed="false">
      <c r="B21" s="12" t="s">
        <v>3911</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3912</v>
      </c>
    </row>
    <row r="22" customFormat="false" ht="15" hidden="false" customHeight="true" outlineLevel="0" collapsed="false">
      <c r="B22" s="12" t="s">
        <v>3913</v>
      </c>
      <c r="C22" s="126" t="str">
        <f aca="false">IF(TE_Need&lt;&gt;"",TE_Need,TE_Taxable-TE_Income_Tax-TE_USC-TE_PRSI)</f>
        <v>Choose your tax status to see this</v>
      </c>
      <c r="E22" s="123" t="s">
        <v>3914</v>
      </c>
    </row>
    <row r="23" customFormat="false" ht="15" hidden="false" customHeight="true" outlineLevel="0" collapsed="false">
      <c r="B23" s="12" t="s">
        <v>3915</v>
      </c>
      <c r="C23" s="126" t="str">
        <f aca="false">IF(TE_Need&lt;&gt;"",TE_Need,TE_Take_Home/12)</f>
        <v>Choose your tax status to see this</v>
      </c>
      <c r="E23" s="123" t="s">
        <v>3916</v>
      </c>
    </row>
    <row r="24" customFormat="false" ht="15" hidden="false" customHeight="true" outlineLevel="0" collapsed="false">
      <c r="B24" s="12" t="s">
        <v>3917</v>
      </c>
      <c r="C24" s="127" t="str">
        <f aca="false">IF(TE_Need&lt;&gt;"",TE_Need,IF(TE_Taxable&gt;TE_Band,Rate_Higher,Rate_Standard))</f>
        <v>Choose your tax status to see this</v>
      </c>
      <c r="E24" s="123" t="s">
        <v>3918</v>
      </c>
    </row>
    <row r="25" customFormat="false" ht="15" hidden="false" customHeight="true" outlineLevel="0" collapsed="false">
      <c r="B25" s="56" t="s">
        <v>3919</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3920</v>
      </c>
      <c r="C28" s="128"/>
      <c r="D28" s="128"/>
      <c r="E28" s="128"/>
    </row>
    <row r="29" customFormat="false" ht="15" hidden="false" customHeight="true" outlineLevel="0" collapsed="false">
      <c r="B29" s="128" t="s">
        <v>3921</v>
      </c>
      <c r="C29" s="128"/>
      <c r="D29" s="128"/>
      <c r="E29" s="128"/>
    </row>
    <row r="30" customFormat="false" ht="15" hidden="false" customHeight="true" outlineLevel="0" collapsed="false">
      <c r="B30" s="128" t="s">
        <v>3922</v>
      </c>
      <c r="C30" s="128"/>
      <c r="D30" s="128"/>
      <c r="E30" s="128"/>
    </row>
    <row r="31" customFormat="false" ht="15" hidden="false" customHeight="true" outlineLevel="0" collapsed="false">
      <c r="B31" s="128" t="s">
        <v>3923</v>
      </c>
      <c r="C31" s="128"/>
      <c r="D31" s="128"/>
      <c r="E31" s="128"/>
    </row>
    <row r="33" customFormat="false" ht="15" hidden="false" customHeight="true" outlineLevel="0" collapsed="false">
      <c r="B33" s="15" t="s">
        <v>3924</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3925</v>
      </c>
      <c r="C34" s="129" t="s">
        <v>3926</v>
      </c>
      <c r="D34" s="129" t="s">
        <v>100</v>
      </c>
      <c r="E34" s="129" t="s">
        <v>3927</v>
      </c>
      <c r="F34" s="129" t="s">
        <v>3907</v>
      </c>
      <c r="G34" s="129" t="s">
        <v>3928</v>
      </c>
      <c r="H34" s="129" t="str">
        <f aca="false">"PRSI "&amp;TEXT(PRSI_Rate,"0.00%")</f>
        <v>PRSI 4.35%</v>
      </c>
      <c r="I34" s="129" t="s">
        <v>3929</v>
      </c>
      <c r="J34" s="129" t="str">
        <f aca="false">"Take-home "&amp;TEXT(PRSI_Rate,"0.00%")</f>
        <v>Take-home 4.35%</v>
      </c>
      <c r="K34" s="129" t="s">
        <v>3930</v>
      </c>
      <c r="L34" s="129" t="s">
        <v>3931</v>
      </c>
      <c r="M34" s="129" t="s">
        <v>3932</v>
      </c>
      <c r="N34" s="129" t="str">
        <f aca="false">"Expected take-home "&amp;TEXT(PRSI_Rate,"0.00%")</f>
        <v>Expected take-home 4.35%</v>
      </c>
      <c r="O34" s="129" t="s">
        <v>3933</v>
      </c>
      <c r="P34" s="129" t="s">
        <v>3934</v>
      </c>
      <c r="Q34" s="129" t="s">
        <v>248</v>
      </c>
      <c r="R34" s="129"/>
    </row>
    <row r="35" customFormat="false" ht="15" hidden="false" customHeight="true" outlineLevel="0" collapsed="false">
      <c r="B35" s="14" t="s">
        <v>3935</v>
      </c>
      <c r="C35" s="84" t="n">
        <v>25000</v>
      </c>
      <c r="D35" s="14" t="s">
        <v>3883</v>
      </c>
      <c r="E35" s="14" t="s">
        <v>3936</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3937</v>
      </c>
      <c r="C36" s="84" t="n">
        <v>25000</v>
      </c>
      <c r="D36" s="14" t="s">
        <v>3938</v>
      </c>
      <c r="E36" s="14" t="s">
        <v>3936</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3939</v>
      </c>
      <c r="C37" s="84" t="n">
        <v>45000</v>
      </c>
      <c r="D37" s="14" t="s">
        <v>3883</v>
      </c>
      <c r="E37" s="14" t="s">
        <v>3936</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3940</v>
      </c>
      <c r="C38" s="84" t="n">
        <v>45000</v>
      </c>
      <c r="D38" s="14" t="s">
        <v>3938</v>
      </c>
      <c r="E38" s="14" t="s">
        <v>3936</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3941</v>
      </c>
      <c r="C39" s="84" t="n">
        <v>80000</v>
      </c>
      <c r="D39" s="14" t="s">
        <v>3883</v>
      </c>
      <c r="E39" s="14" t="s">
        <v>3936</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3942</v>
      </c>
      <c r="C40" s="84" t="n">
        <v>80000</v>
      </c>
      <c r="D40" s="14" t="s">
        <v>3938</v>
      </c>
      <c r="E40" s="14" t="s">
        <v>3936</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3943</v>
      </c>
      <c r="C41" s="84" t="n">
        <v>150000</v>
      </c>
      <c r="D41" s="14" t="s">
        <v>3883</v>
      </c>
      <c r="E41" s="14" t="s">
        <v>3936</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3944</v>
      </c>
      <c r="C42" s="84" t="n">
        <v>150000</v>
      </c>
      <c r="D42" s="14" t="s">
        <v>3938</v>
      </c>
      <c r="E42" s="14" t="s">
        <v>3936</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3945</v>
      </c>
      <c r="C43" s="84" t="n">
        <v>60000</v>
      </c>
      <c r="D43" s="14" t="s">
        <v>3946</v>
      </c>
      <c r="E43" s="14" t="s">
        <v>3947</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3948</v>
      </c>
      <c r="C44" s="84" t="n">
        <v>80000</v>
      </c>
      <c r="D44" s="14" t="s">
        <v>3946</v>
      </c>
      <c r="E44" s="14" t="s">
        <v>3949</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3950</v>
      </c>
      <c r="C45" s="84" t="n">
        <v>45000</v>
      </c>
      <c r="D45" s="14" t="s">
        <v>3946</v>
      </c>
      <c r="E45" s="14" t="s">
        <v>3951</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3952</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3953</v>
      </c>
    </row>
    <row r="3" customFormat="false" ht="15" hidden="false" customHeight="true" outlineLevel="0" collapsed="false">
      <c r="B3" s="8" t="s">
        <v>3954</v>
      </c>
      <c r="C3" s="8"/>
      <c r="D3" s="8"/>
      <c r="E3" s="8"/>
      <c r="F3" s="8"/>
    </row>
    <row r="4" customFormat="false" ht="15" hidden="false" customHeight="true" outlineLevel="0" collapsed="false">
      <c r="B4" s="8" t="s">
        <v>3955</v>
      </c>
      <c r="C4" s="8"/>
      <c r="D4" s="8"/>
      <c r="E4" s="8"/>
      <c r="F4" s="8"/>
    </row>
    <row r="5" customFormat="false" ht="15" hidden="false" customHeight="true" outlineLevel="0" collapsed="false">
      <c r="B5" s="8" t="s">
        <v>3956</v>
      </c>
      <c r="C5" s="8"/>
      <c r="D5" s="8"/>
      <c r="E5" s="8"/>
      <c r="F5" s="8"/>
    </row>
    <row r="6" customFormat="false" ht="15" hidden="false" customHeight="true" outlineLevel="0" collapsed="false">
      <c r="B6" s="8" t="s">
        <v>3957</v>
      </c>
      <c r="C6" s="8"/>
      <c r="D6" s="8"/>
      <c r="E6" s="8"/>
      <c r="F6" s="8"/>
    </row>
    <row r="7" customFormat="false" ht="15" hidden="false" customHeight="true" outlineLevel="0" collapsed="false">
      <c r="B7" s="8" t="s">
        <v>3958</v>
      </c>
      <c r="C7" s="8"/>
      <c r="D7" s="8"/>
      <c r="E7" s="8"/>
      <c r="F7" s="8"/>
    </row>
    <row r="8" customFormat="false" ht="15" hidden="false" customHeight="true" outlineLevel="0" collapsed="false">
      <c r="B8" s="8" t="s">
        <v>3959</v>
      </c>
      <c r="C8" s="8"/>
      <c r="D8" s="8"/>
      <c r="E8" s="8"/>
      <c r="F8" s="8"/>
    </row>
    <row r="10" customFormat="false" ht="23.25" hidden="false" customHeight="true" outlineLevel="0" collapsed="false">
      <c r="B10" s="132" t="s">
        <v>3960</v>
      </c>
      <c r="C10" s="132" t="s">
        <v>3961</v>
      </c>
      <c r="D10" s="132" t="s">
        <v>3962</v>
      </c>
      <c r="E10" s="132" t="s">
        <v>3963</v>
      </c>
      <c r="F10" s="132" t="s">
        <v>3964</v>
      </c>
      <c r="G10" s="132" t="s">
        <v>3965</v>
      </c>
    </row>
    <row r="11" customFormat="false" ht="36" hidden="false" customHeight="true" outlineLevel="0" collapsed="false">
      <c r="B11" s="133" t="s">
        <v>3966</v>
      </c>
      <c r="C11" s="134" t="s">
        <v>710</v>
      </c>
      <c r="D11" s="134" t="s">
        <v>3967</v>
      </c>
      <c r="E11" s="134" t="s">
        <v>3968</v>
      </c>
      <c r="F11" s="134" t="s">
        <v>3969</v>
      </c>
      <c r="G11" s="134" t="s">
        <v>3970</v>
      </c>
    </row>
    <row r="12" customFormat="false" ht="36" hidden="false" customHeight="true" outlineLevel="0" collapsed="false">
      <c r="B12" s="133"/>
      <c r="C12" s="134" t="s">
        <v>3971</v>
      </c>
      <c r="D12" s="134" t="s">
        <v>3972</v>
      </c>
      <c r="E12" s="134" t="s">
        <v>3973</v>
      </c>
      <c r="F12" s="134" t="s">
        <v>3974</v>
      </c>
      <c r="G12" s="134" t="s">
        <v>3970</v>
      </c>
    </row>
    <row r="13" customFormat="false" ht="24" hidden="false" customHeight="true" outlineLevel="0" collapsed="false">
      <c r="B13" s="133"/>
      <c r="C13" s="134" t="s">
        <v>3975</v>
      </c>
      <c r="D13" s="134" t="s">
        <v>3976</v>
      </c>
      <c r="E13" s="134" t="s">
        <v>3977</v>
      </c>
      <c r="F13" s="134" t="s">
        <v>3978</v>
      </c>
      <c r="G13" s="134" t="s">
        <v>3970</v>
      </c>
    </row>
    <row r="14" customFormat="false" ht="24" hidden="false" customHeight="true" outlineLevel="0" collapsed="false">
      <c r="B14" s="133"/>
      <c r="C14" s="134" t="s">
        <v>714</v>
      </c>
      <c r="D14" s="134" t="s">
        <v>3979</v>
      </c>
      <c r="E14" s="134" t="s">
        <v>3980</v>
      </c>
      <c r="F14" s="134" t="s">
        <v>3981</v>
      </c>
      <c r="G14" s="134" t="s">
        <v>3970</v>
      </c>
    </row>
    <row r="15" customFormat="false" ht="60" hidden="false" customHeight="true" outlineLevel="0" collapsed="false">
      <c r="B15" s="133"/>
      <c r="C15" s="134" t="s">
        <v>753</v>
      </c>
      <c r="D15" s="134" t="s">
        <v>3982</v>
      </c>
      <c r="E15" s="134" t="s">
        <v>3977</v>
      </c>
      <c r="F15" s="134" t="s">
        <v>3983</v>
      </c>
      <c r="G15" s="134" t="s">
        <v>3970</v>
      </c>
    </row>
    <row r="16" customFormat="false" ht="36" hidden="false" customHeight="true" outlineLevel="0" collapsed="false">
      <c r="B16" s="133"/>
      <c r="C16" s="134" t="s">
        <v>3984</v>
      </c>
      <c r="D16" s="134" t="s">
        <v>3985</v>
      </c>
      <c r="E16" s="134" t="s">
        <v>3986</v>
      </c>
      <c r="F16" s="134" t="s">
        <v>3987</v>
      </c>
      <c r="G16" s="134" t="s">
        <v>3970</v>
      </c>
    </row>
    <row r="17" customFormat="false" ht="24" hidden="false" customHeight="true" outlineLevel="0" collapsed="false">
      <c r="B17" s="133"/>
      <c r="C17" s="134" t="s">
        <v>3988</v>
      </c>
      <c r="D17" s="134" t="s">
        <v>3989</v>
      </c>
      <c r="E17" s="134" t="s">
        <v>3990</v>
      </c>
      <c r="F17" s="134" t="s">
        <v>3991</v>
      </c>
      <c r="G17" s="134" t="s">
        <v>3970</v>
      </c>
    </row>
    <row r="18" customFormat="false" ht="24" hidden="false" customHeight="true" outlineLevel="0" collapsed="false">
      <c r="B18" s="133"/>
      <c r="C18" s="134" t="s">
        <v>3992</v>
      </c>
      <c r="D18" s="134" t="s">
        <v>3993</v>
      </c>
      <c r="E18" s="134" t="s">
        <v>3994</v>
      </c>
      <c r="F18" s="134" t="s">
        <v>3995</v>
      </c>
      <c r="G18" s="134" t="s">
        <v>3970</v>
      </c>
    </row>
    <row r="19" customFormat="false" ht="24" hidden="false" customHeight="true" outlineLevel="0" collapsed="false">
      <c r="B19" s="133"/>
      <c r="C19" s="134" t="s">
        <v>321</v>
      </c>
      <c r="D19" s="134" t="s">
        <v>3996</v>
      </c>
      <c r="E19" s="134" t="s">
        <v>3997</v>
      </c>
      <c r="F19" s="134" t="s">
        <v>3998</v>
      </c>
      <c r="G19" s="134" t="s">
        <v>3970</v>
      </c>
    </row>
    <row r="20" customFormat="false" ht="36" hidden="false" customHeight="true" outlineLevel="0" collapsed="false">
      <c r="B20" s="133" t="s">
        <v>3999</v>
      </c>
      <c r="C20" s="134" t="s">
        <v>4000</v>
      </c>
      <c r="D20" s="134" t="s">
        <v>4001</v>
      </c>
      <c r="E20" s="134" t="s">
        <v>4002</v>
      </c>
      <c r="F20" s="134" t="s">
        <v>4002</v>
      </c>
      <c r="G20" s="134" t="s">
        <v>3970</v>
      </c>
    </row>
    <row r="21" customFormat="false" ht="24" hidden="false" customHeight="true" outlineLevel="0" collapsed="false">
      <c r="B21" s="133" t="s">
        <v>4003</v>
      </c>
      <c r="C21" s="134" t="s">
        <v>4004</v>
      </c>
      <c r="D21" s="134" t="s">
        <v>4005</v>
      </c>
      <c r="E21" s="134" t="s">
        <v>4006</v>
      </c>
      <c r="F21" s="134" t="s">
        <v>4007</v>
      </c>
      <c r="G21" s="134" t="s">
        <v>3970</v>
      </c>
    </row>
    <row r="22" customFormat="false" ht="24" hidden="false" customHeight="true" outlineLevel="0" collapsed="false">
      <c r="B22" s="133"/>
      <c r="C22" s="134" t="s">
        <v>714</v>
      </c>
      <c r="D22" s="134" t="s">
        <v>4002</v>
      </c>
      <c r="E22" s="134" t="s">
        <v>4008</v>
      </c>
      <c r="F22" s="134" t="s">
        <v>4009</v>
      </c>
      <c r="G22" s="134" t="s">
        <v>3970</v>
      </c>
    </row>
    <row r="23" customFormat="false" ht="36" hidden="false" customHeight="true" outlineLevel="0" collapsed="false">
      <c r="B23" s="133" t="s">
        <v>4010</v>
      </c>
      <c r="C23" s="134" t="s">
        <v>4011</v>
      </c>
      <c r="D23" s="134" t="s">
        <v>4012</v>
      </c>
      <c r="E23" s="134" t="s">
        <v>4013</v>
      </c>
      <c r="F23" s="134" t="s">
        <v>4014</v>
      </c>
      <c r="G23" s="134" t="s">
        <v>3970</v>
      </c>
    </row>
    <row r="24" customFormat="false" ht="24" hidden="false" customHeight="true" outlineLevel="0" collapsed="false">
      <c r="B24" s="133"/>
      <c r="C24" s="134" t="s">
        <v>321</v>
      </c>
      <c r="D24" s="134" t="s">
        <v>4015</v>
      </c>
      <c r="E24" s="134" t="s">
        <v>322</v>
      </c>
      <c r="F24" s="134" t="s">
        <v>4016</v>
      </c>
      <c r="G24" s="134" t="s">
        <v>3970</v>
      </c>
    </row>
    <row r="25" customFormat="false" ht="24" hidden="false" customHeight="true" outlineLevel="0" collapsed="false">
      <c r="B25" s="133" t="s">
        <v>4017</v>
      </c>
      <c r="C25" s="134" t="s">
        <v>312</v>
      </c>
      <c r="D25" s="134" t="s">
        <v>4018</v>
      </c>
      <c r="E25" s="134" t="s">
        <v>4019</v>
      </c>
      <c r="F25" s="134" t="s">
        <v>4020</v>
      </c>
      <c r="G25" s="134" t="s">
        <v>3970</v>
      </c>
    </row>
    <row r="26" customFormat="false" ht="24" hidden="false" customHeight="true" outlineLevel="0" collapsed="false">
      <c r="B26" s="133"/>
      <c r="C26" s="134" t="s">
        <v>315</v>
      </c>
      <c r="D26" s="134" t="s">
        <v>4021</v>
      </c>
      <c r="E26" s="134" t="s">
        <v>4022</v>
      </c>
      <c r="F26" s="134" t="s">
        <v>4023</v>
      </c>
      <c r="G26" s="134" t="s">
        <v>3970</v>
      </c>
    </row>
    <row r="27" customFormat="false" ht="24" hidden="false" customHeight="true" outlineLevel="0" collapsed="false">
      <c r="B27" s="133"/>
      <c r="C27" s="134" t="s">
        <v>4024</v>
      </c>
      <c r="D27" s="134" t="s">
        <v>4025</v>
      </c>
      <c r="E27" s="134" t="s">
        <v>4026</v>
      </c>
      <c r="F27" s="134" t="s">
        <v>4027</v>
      </c>
      <c r="G27" s="134" t="s">
        <v>3970</v>
      </c>
    </row>
    <row r="28" customFormat="false" ht="24" hidden="false" customHeight="true" outlineLevel="0" collapsed="false">
      <c r="B28" s="133"/>
      <c r="C28" s="134" t="s">
        <v>317</v>
      </c>
      <c r="D28" s="134" t="s">
        <v>4028</v>
      </c>
      <c r="E28" s="134" t="s">
        <v>4029</v>
      </c>
      <c r="F28" s="134" t="s">
        <v>4030</v>
      </c>
      <c r="G28" s="134" t="s">
        <v>3970</v>
      </c>
    </row>
    <row r="29" customFormat="false" ht="24" hidden="false" customHeight="true" outlineLevel="0" collapsed="false">
      <c r="B29" s="133"/>
      <c r="C29" s="134" t="s">
        <v>319</v>
      </c>
      <c r="D29" s="134" t="s">
        <v>4031</v>
      </c>
      <c r="E29" s="134" t="s">
        <v>3977</v>
      </c>
      <c r="F29" s="134" t="s">
        <v>4032</v>
      </c>
      <c r="G29" s="134" t="s">
        <v>3970</v>
      </c>
    </row>
    <row r="30" customFormat="false" ht="24" hidden="false" customHeight="true" outlineLevel="0" collapsed="false">
      <c r="B30" s="133"/>
      <c r="C30" s="134" t="s">
        <v>321</v>
      </c>
      <c r="D30" s="134" t="s">
        <v>4033</v>
      </c>
      <c r="E30" s="134" t="s">
        <v>4034</v>
      </c>
      <c r="F30" s="134" t="s">
        <v>4016</v>
      </c>
      <c r="G30" s="134" t="s">
        <v>3970</v>
      </c>
    </row>
    <row r="31" customFormat="false" ht="24" hidden="false" customHeight="true" outlineLevel="0" collapsed="false">
      <c r="B31" s="133" t="s">
        <v>4035</v>
      </c>
      <c r="C31" s="134" t="s">
        <v>4036</v>
      </c>
      <c r="D31" s="134" t="s">
        <v>4037</v>
      </c>
      <c r="E31" s="134" t="s">
        <v>4038</v>
      </c>
      <c r="F31" s="134" t="s">
        <v>4039</v>
      </c>
      <c r="G31" s="134" t="s">
        <v>3970</v>
      </c>
    </row>
    <row r="32" customFormat="false" ht="24" hidden="false" customHeight="true" outlineLevel="0" collapsed="false">
      <c r="B32" s="133" t="s">
        <v>4040</v>
      </c>
      <c r="C32" s="134" t="s">
        <v>633</v>
      </c>
      <c r="D32" s="134" t="s">
        <v>4041</v>
      </c>
      <c r="E32" s="134" t="s">
        <v>3977</v>
      </c>
      <c r="F32" s="134" t="s">
        <v>4042</v>
      </c>
      <c r="G32" s="134" t="s">
        <v>3970</v>
      </c>
    </row>
    <row r="33" customFormat="false" ht="24" hidden="false" customHeight="true" outlineLevel="0" collapsed="false">
      <c r="B33" s="133"/>
      <c r="C33" s="134" t="s">
        <v>957</v>
      </c>
      <c r="D33" s="134" t="s">
        <v>4043</v>
      </c>
      <c r="E33" s="134" t="s">
        <v>3977</v>
      </c>
      <c r="F33" s="134" t="s">
        <v>4044</v>
      </c>
      <c r="G33" s="134" t="s">
        <v>3970</v>
      </c>
    </row>
    <row r="34" customFormat="false" ht="24" hidden="false" customHeight="true" outlineLevel="0" collapsed="false">
      <c r="B34" s="133"/>
      <c r="C34" s="134" t="s">
        <v>3992</v>
      </c>
      <c r="D34" s="134" t="s">
        <v>4045</v>
      </c>
      <c r="E34" s="134" t="s">
        <v>4046</v>
      </c>
      <c r="F34" s="134" t="s">
        <v>4047</v>
      </c>
      <c r="G34" s="134" t="s">
        <v>3970</v>
      </c>
    </row>
    <row r="35" customFormat="false" ht="24" hidden="false" customHeight="true" outlineLevel="0" collapsed="false">
      <c r="B35" s="133"/>
      <c r="C35" s="134" t="s">
        <v>4048</v>
      </c>
      <c r="D35" s="134" t="s">
        <v>4049</v>
      </c>
      <c r="E35" s="134" t="s">
        <v>4050</v>
      </c>
      <c r="F35" s="134" t="s">
        <v>4051</v>
      </c>
      <c r="G35" s="134" t="s">
        <v>3970</v>
      </c>
    </row>
    <row r="36" customFormat="false" ht="24" hidden="false" customHeight="true" outlineLevel="0" collapsed="false">
      <c r="B36" s="133"/>
      <c r="C36" s="134" t="s">
        <v>321</v>
      </c>
      <c r="D36" s="134" t="s">
        <v>4052</v>
      </c>
      <c r="E36" s="134" t="s">
        <v>322</v>
      </c>
      <c r="F36" s="134" t="s">
        <v>4016</v>
      </c>
      <c r="G36" s="134" t="s">
        <v>3970</v>
      </c>
    </row>
    <row r="37" customFormat="false" ht="24" hidden="false" customHeight="true" outlineLevel="0" collapsed="false">
      <c r="B37" s="133" t="s">
        <v>4053</v>
      </c>
      <c r="C37" s="134" t="s">
        <v>4054</v>
      </c>
      <c r="D37" s="134" t="s">
        <v>4055</v>
      </c>
      <c r="E37" s="134" t="s">
        <v>3977</v>
      </c>
      <c r="F37" s="134" t="s">
        <v>4056</v>
      </c>
      <c r="G37" s="134" t="s">
        <v>3970</v>
      </c>
    </row>
    <row r="38" customFormat="false" ht="24" hidden="false" customHeight="true" outlineLevel="0" collapsed="false">
      <c r="B38" s="133"/>
      <c r="C38" s="134" t="s">
        <v>4057</v>
      </c>
      <c r="D38" s="134" t="s">
        <v>4058</v>
      </c>
      <c r="E38" s="134" t="s">
        <v>4059</v>
      </c>
      <c r="F38" s="134" t="s">
        <v>4060</v>
      </c>
      <c r="G38" s="134" t="s">
        <v>3970</v>
      </c>
    </row>
    <row r="39" customFormat="false" ht="24" hidden="false" customHeight="true" outlineLevel="0" collapsed="false">
      <c r="B39" s="133" t="s">
        <v>4061</v>
      </c>
      <c r="C39" s="134" t="s">
        <v>4062</v>
      </c>
      <c r="D39" s="134" t="s">
        <v>4063</v>
      </c>
      <c r="E39" s="134" t="s">
        <v>4064</v>
      </c>
      <c r="F39" s="134" t="s">
        <v>4065</v>
      </c>
      <c r="G39" s="134" t="s">
        <v>3970</v>
      </c>
    </row>
    <row r="40" customFormat="false" ht="24" hidden="false" customHeight="true" outlineLevel="0" collapsed="false">
      <c r="B40" s="133"/>
      <c r="C40" s="134" t="s">
        <v>4066</v>
      </c>
      <c r="D40" s="134" t="s">
        <v>4067</v>
      </c>
      <c r="E40" s="134" t="s">
        <v>227</v>
      </c>
      <c r="F40" s="134" t="s">
        <v>4068</v>
      </c>
      <c r="G40" s="134" t="s">
        <v>3970</v>
      </c>
    </row>
    <row r="41" customFormat="false" ht="24" hidden="false" customHeight="true" outlineLevel="0" collapsed="false">
      <c r="B41" s="133"/>
      <c r="C41" s="134" t="s">
        <v>4069</v>
      </c>
      <c r="D41" s="134" t="s">
        <v>4070</v>
      </c>
      <c r="E41" s="134" t="s">
        <v>227</v>
      </c>
      <c r="F41" s="134" t="s">
        <v>4071</v>
      </c>
      <c r="G41" s="134" t="s">
        <v>3970</v>
      </c>
    </row>
    <row r="42" customFormat="false" ht="24" hidden="false" customHeight="true" outlineLevel="0" collapsed="false">
      <c r="B42" s="133"/>
      <c r="C42" s="134" t="s">
        <v>4072</v>
      </c>
      <c r="D42" s="134" t="s">
        <v>4073</v>
      </c>
      <c r="E42" s="134" t="s">
        <v>4074</v>
      </c>
      <c r="F42" s="134" t="s">
        <v>4016</v>
      </c>
      <c r="G42" s="134" t="s">
        <v>3970</v>
      </c>
    </row>
    <row r="43" customFormat="false" ht="24" hidden="false" customHeight="true" outlineLevel="0" collapsed="false">
      <c r="B43" s="133" t="s">
        <v>4075</v>
      </c>
      <c r="C43" s="134" t="s">
        <v>4076</v>
      </c>
      <c r="D43" s="134" t="s">
        <v>4077</v>
      </c>
      <c r="E43" s="134" t="s">
        <v>3977</v>
      </c>
      <c r="F43" s="134" t="s">
        <v>4065</v>
      </c>
      <c r="G43" s="134" t="s">
        <v>3970</v>
      </c>
    </row>
    <row r="44" customFormat="false" ht="24" hidden="false" customHeight="true" outlineLevel="0" collapsed="false">
      <c r="B44" s="133"/>
      <c r="C44" s="134" t="s">
        <v>4078</v>
      </c>
      <c r="D44" s="134" t="s">
        <v>4079</v>
      </c>
      <c r="E44" s="134" t="s">
        <v>3977</v>
      </c>
      <c r="F44" s="134" t="s">
        <v>4080</v>
      </c>
      <c r="G44" s="134" t="s">
        <v>3970</v>
      </c>
    </row>
    <row r="45" customFormat="false" ht="24" hidden="false" customHeight="true" outlineLevel="0" collapsed="false">
      <c r="B45" s="133"/>
      <c r="C45" s="134" t="s">
        <v>4081</v>
      </c>
      <c r="D45" s="134" t="s">
        <v>4082</v>
      </c>
      <c r="E45" s="134" t="s">
        <v>227</v>
      </c>
      <c r="F45" s="134" t="s">
        <v>4083</v>
      </c>
      <c r="G45" s="134" t="s">
        <v>3970</v>
      </c>
    </row>
    <row r="46" customFormat="false" ht="24" hidden="false" customHeight="true" outlineLevel="0" collapsed="false">
      <c r="B46" s="133"/>
      <c r="C46" s="134" t="s">
        <v>4084</v>
      </c>
      <c r="D46" s="134" t="s">
        <v>4085</v>
      </c>
      <c r="E46" s="134" t="s">
        <v>4086</v>
      </c>
      <c r="F46" s="134" t="s">
        <v>4016</v>
      </c>
      <c r="G46" s="134" t="s">
        <v>3970</v>
      </c>
    </row>
    <row r="47" customFormat="false" ht="24" hidden="false" customHeight="true" outlineLevel="0" collapsed="false">
      <c r="B47" s="133" t="s">
        <v>4087</v>
      </c>
      <c r="C47" s="134" t="s">
        <v>1233</v>
      </c>
      <c r="D47" s="134" t="s">
        <v>4088</v>
      </c>
      <c r="E47" s="134" t="s">
        <v>3977</v>
      </c>
      <c r="F47" s="134" t="s">
        <v>4089</v>
      </c>
      <c r="G47" s="134" t="s">
        <v>3970</v>
      </c>
    </row>
    <row r="48" customFormat="false" ht="24" hidden="false" customHeight="true" outlineLevel="0" collapsed="false">
      <c r="B48" s="133"/>
      <c r="C48" s="134" t="s">
        <v>4090</v>
      </c>
      <c r="D48" s="134" t="s">
        <v>4091</v>
      </c>
      <c r="E48" s="134" t="s">
        <v>4092</v>
      </c>
      <c r="F48" s="134" t="s">
        <v>4093</v>
      </c>
      <c r="G48" s="134" t="s">
        <v>3970</v>
      </c>
    </row>
    <row r="49" customFormat="false" ht="24" hidden="false" customHeight="true" outlineLevel="0" collapsed="false">
      <c r="B49" s="133"/>
      <c r="C49" s="134" t="s">
        <v>4094</v>
      </c>
      <c r="D49" s="134" t="s">
        <v>4095</v>
      </c>
      <c r="E49" s="134" t="s">
        <v>3977</v>
      </c>
      <c r="F49" s="134" t="s">
        <v>4096</v>
      </c>
      <c r="G49" s="134" t="s">
        <v>3970</v>
      </c>
    </row>
    <row r="50" customFormat="false" ht="24" hidden="false" customHeight="true" outlineLevel="0" collapsed="false">
      <c r="B50" s="133" t="s">
        <v>4097</v>
      </c>
      <c r="C50" s="134" t="s">
        <v>1233</v>
      </c>
      <c r="D50" s="134" t="s">
        <v>4098</v>
      </c>
      <c r="E50" s="134" t="s">
        <v>3977</v>
      </c>
      <c r="F50" s="134" t="s">
        <v>4099</v>
      </c>
      <c r="G50" s="134" t="s">
        <v>3970</v>
      </c>
    </row>
    <row r="51" customFormat="false" ht="24" hidden="false" customHeight="true" outlineLevel="0" collapsed="false">
      <c r="B51" s="133"/>
      <c r="C51" s="134" t="s">
        <v>4100</v>
      </c>
      <c r="D51" s="134" t="s">
        <v>4101</v>
      </c>
      <c r="E51" s="134" t="s">
        <v>4102</v>
      </c>
      <c r="F51" s="134" t="s">
        <v>4103</v>
      </c>
      <c r="G51" s="134" t="s">
        <v>3970</v>
      </c>
    </row>
    <row r="52" customFormat="false" ht="24" hidden="false" customHeight="true" outlineLevel="0" collapsed="false">
      <c r="B52" s="133"/>
      <c r="C52" s="134" t="s">
        <v>4104</v>
      </c>
      <c r="D52" s="134" t="s">
        <v>4105</v>
      </c>
      <c r="E52" s="134" t="s">
        <v>4106</v>
      </c>
      <c r="F52" s="134" t="s">
        <v>4107</v>
      </c>
      <c r="G52" s="134" t="s">
        <v>3970</v>
      </c>
    </row>
    <row r="54" customFormat="false" ht="15" hidden="false" customHeight="true" outlineLevel="0" collapsed="false">
      <c r="B54" s="135" t="s">
        <v>4108</v>
      </c>
    </row>
    <row r="55" customFormat="false" ht="15" hidden="false" customHeight="true" outlineLevel="0" collapsed="false">
      <c r="B55" s="14" t="s">
        <v>4109</v>
      </c>
      <c r="D55" s="136" t="s">
        <v>4110</v>
      </c>
    </row>
    <row r="56" customFormat="false" ht="15" hidden="false" customHeight="true" outlineLevel="0" collapsed="false">
      <c r="B56" s="14" t="s">
        <v>4111</v>
      </c>
      <c r="D56" s="136" t="s">
        <v>4112</v>
      </c>
    </row>
    <row r="57" customFormat="false" ht="15" hidden="false" customHeight="true" outlineLevel="0" collapsed="false">
      <c r="B57" s="14" t="s">
        <v>4113</v>
      </c>
      <c r="D57" s="136" t="s">
        <v>4114</v>
      </c>
    </row>
    <row r="58" customFormat="false" ht="15" hidden="false" customHeight="true" outlineLevel="0" collapsed="false">
      <c r="B58" s="14" t="s">
        <v>4115</v>
      </c>
      <c r="D58" s="136" t="s">
        <v>4116</v>
      </c>
    </row>
    <row r="59" customFormat="false" ht="15" hidden="false" customHeight="true" outlineLevel="0" collapsed="false">
      <c r="B59" s="14" t="s">
        <v>4117</v>
      </c>
      <c r="D59" s="136" t="s">
        <v>4118</v>
      </c>
    </row>
    <row r="60" customFormat="false" ht="15" hidden="false" customHeight="true" outlineLevel="0" collapsed="false">
      <c r="B60" s="14" t="s">
        <v>4119</v>
      </c>
      <c r="D60" s="137" t="s">
        <v>4120</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4121</v>
      </c>
    </row>
    <row r="2" customFormat="false" ht="48" hidden="false" customHeight="true" outlineLevel="0" collapsed="false">
      <c r="B2" s="91" t="s">
        <v>4122</v>
      </c>
      <c r="C2" s="91"/>
      <c r="D2" s="91"/>
      <c r="E2" s="91"/>
      <c r="F2" s="91"/>
      <c r="G2" s="91"/>
    </row>
    <row r="4" customFormat="false" ht="15" hidden="false" customHeight="true" outlineLevel="0" collapsed="false">
      <c r="B4" s="113" t="s">
        <v>4123</v>
      </c>
    </row>
    <row r="5" customFormat="false" ht="15" hidden="false" customHeight="true" outlineLevel="0" collapsed="false">
      <c r="B5" s="138" t="s">
        <v>4124</v>
      </c>
      <c r="C5" s="138" t="s">
        <v>4125</v>
      </c>
      <c r="D5" s="138" t="s">
        <v>4126</v>
      </c>
      <c r="E5" s="138" t="s">
        <v>4127</v>
      </c>
      <c r="F5" s="138" t="s">
        <v>4128</v>
      </c>
    </row>
    <row r="6" customFormat="false" ht="15" hidden="false" customHeight="true" outlineLevel="0" collapsed="false">
      <c r="B6" s="1" t="s">
        <v>4129</v>
      </c>
      <c r="C6" s="94"/>
      <c r="D6" s="139"/>
      <c r="E6" s="139"/>
      <c r="F6" s="140"/>
    </row>
    <row r="7" customFormat="false" ht="15" hidden="false" customHeight="true" outlineLevel="0" collapsed="false">
      <c r="B7" s="1" t="s">
        <v>4130</v>
      </c>
      <c r="C7" s="94"/>
      <c r="D7" s="139"/>
      <c r="E7" s="139"/>
      <c r="F7" s="140"/>
    </row>
    <row r="8" customFormat="false" ht="15" hidden="false" customHeight="true" outlineLevel="0" collapsed="false">
      <c r="B8" s="1" t="s">
        <v>4131</v>
      </c>
      <c r="C8" s="94"/>
      <c r="D8" s="139"/>
      <c r="E8" s="139"/>
      <c r="F8" s="140"/>
    </row>
    <row r="9" customFormat="false" ht="15" hidden="false" customHeight="true" outlineLevel="0" collapsed="false">
      <c r="B9" s="1" t="s">
        <v>4132</v>
      </c>
      <c r="C9" s="94"/>
      <c r="D9" s="139"/>
      <c r="E9" s="139"/>
      <c r="F9" s="140"/>
    </row>
    <row r="10" customFormat="false" ht="15" hidden="false" customHeight="true" outlineLevel="0" collapsed="false">
      <c r="B10" s="1" t="s">
        <v>4133</v>
      </c>
      <c r="C10" s="94"/>
      <c r="D10" s="139"/>
      <c r="E10" s="139"/>
      <c r="F10" s="140"/>
    </row>
    <row r="11" customFormat="false" ht="15" hidden="false" customHeight="true" outlineLevel="0" collapsed="false">
      <c r="B11" s="1" t="s">
        <v>4134</v>
      </c>
      <c r="C11" s="94"/>
      <c r="D11" s="139"/>
      <c r="E11" s="139"/>
      <c r="F11" s="140"/>
    </row>
    <row r="12" customFormat="false" ht="15" hidden="false" customHeight="true" outlineLevel="0" collapsed="false">
      <c r="B12" s="1" t="s">
        <v>4135</v>
      </c>
      <c r="C12" s="94"/>
      <c r="D12" s="139"/>
      <c r="E12" s="139"/>
      <c r="F12" s="140"/>
    </row>
    <row r="13" customFormat="false" ht="15" hidden="false" customHeight="true" outlineLevel="0" collapsed="false">
      <c r="B13" s="1" t="s">
        <v>4136</v>
      </c>
      <c r="C13" s="94"/>
      <c r="D13" s="139"/>
      <c r="E13" s="139"/>
      <c r="F13" s="140"/>
    </row>
    <row r="15" customFormat="false" ht="15" hidden="false" customHeight="true" outlineLevel="0" collapsed="false">
      <c r="B15" s="113" t="s">
        <v>4137</v>
      </c>
      <c r="D15" s="141" t="n">
        <f aca="false">SUM(D6:D13)</f>
        <v>0</v>
      </c>
    </row>
    <row r="16" customFormat="false" ht="15" hidden="false" customHeight="true" outlineLevel="0" collapsed="false">
      <c r="B16" s="1" t="s">
        <v>4138</v>
      </c>
      <c r="D16" s="141" t="n">
        <f aca="false">SUM(E6:E13)</f>
        <v>0</v>
      </c>
    </row>
    <row r="17" customFormat="false" ht="15" hidden="false" customHeight="true" outlineLevel="0" collapsed="false">
      <c r="B17" s="1" t="s">
        <v>4139</v>
      </c>
      <c r="D17" s="142" t="str">
        <f aca="false">IF(COUNT(F6:F13)=0,"",SUMPRODUCT(F6:F13,(D6:D13&gt;0)*D6:D13+(1-(D6:D13&gt;0)))/SUMPRODUCT((F6:F13&lt;&gt;"")*((D6:D13&gt;0)*D6:D13+(1-(D6:D13&gt;0)))))</f>
        <v/>
      </c>
    </row>
    <row r="19" customFormat="false" ht="15" hidden="false" customHeight="true" outlineLevel="0" collapsed="false">
      <c r="B19" s="113" t="s">
        <v>4140</v>
      </c>
    </row>
    <row r="20" customFormat="false" ht="15" hidden="false" customHeight="true" outlineLevel="0" collapsed="false">
      <c r="B20" s="138" t="s">
        <v>4141</v>
      </c>
      <c r="C20" s="138" t="s">
        <v>4125</v>
      </c>
      <c r="D20" s="138" t="s">
        <v>4126</v>
      </c>
      <c r="E20" s="138" t="s">
        <v>4127</v>
      </c>
      <c r="F20" s="138" t="s">
        <v>4128</v>
      </c>
    </row>
    <row r="21" customFormat="false" ht="15" hidden="false" customHeight="true" outlineLevel="0" collapsed="false">
      <c r="B21" s="1" t="s">
        <v>4142</v>
      </c>
      <c r="C21" s="94"/>
      <c r="D21" s="139"/>
      <c r="E21" s="139"/>
      <c r="F21" s="140"/>
    </row>
    <row r="22" customFormat="false" ht="15" hidden="false" customHeight="true" outlineLevel="0" collapsed="false">
      <c r="B22" s="1" t="s">
        <v>4143</v>
      </c>
      <c r="C22" s="94"/>
      <c r="D22" s="139"/>
      <c r="E22" s="139"/>
      <c r="F22" s="140"/>
    </row>
    <row r="23" customFormat="false" ht="15" hidden="false" customHeight="true" outlineLevel="0" collapsed="false">
      <c r="B23" s="1" t="s">
        <v>4144</v>
      </c>
      <c r="C23" s="94"/>
      <c r="D23" s="139"/>
      <c r="E23" s="139"/>
      <c r="F23" s="140"/>
    </row>
    <row r="24" customFormat="false" ht="15" hidden="false" customHeight="true" outlineLevel="0" collapsed="false">
      <c r="B24" s="1" t="s">
        <v>4145</v>
      </c>
      <c r="C24" s="94"/>
      <c r="D24" s="139"/>
      <c r="E24" s="139"/>
      <c r="F24" s="140"/>
    </row>
    <row r="25" customFormat="false" ht="15" hidden="false" customHeight="true" outlineLevel="0" collapsed="false">
      <c r="B25" s="1" t="s">
        <v>4146</v>
      </c>
      <c r="C25" s="94"/>
      <c r="D25" s="139"/>
      <c r="E25" s="139"/>
      <c r="F25" s="140"/>
    </row>
    <row r="26" customFormat="false" ht="15" hidden="false" customHeight="true" outlineLevel="0" collapsed="false">
      <c r="B26" s="1" t="s">
        <v>4147</v>
      </c>
      <c r="C26" s="94"/>
      <c r="D26" s="139"/>
      <c r="E26" s="139"/>
      <c r="F26" s="140"/>
    </row>
    <row r="27" customFormat="false" ht="15" hidden="false" customHeight="true" outlineLevel="0" collapsed="false">
      <c r="B27" s="1" t="s">
        <v>4148</v>
      </c>
      <c r="C27" s="94"/>
      <c r="D27" s="139"/>
      <c r="E27" s="139"/>
      <c r="F27" s="140"/>
    </row>
    <row r="28" customFormat="false" ht="15" hidden="false" customHeight="true" outlineLevel="0" collapsed="false">
      <c r="B28" s="1" t="s">
        <v>4149</v>
      </c>
      <c r="C28" s="94"/>
      <c r="D28" s="139"/>
      <c r="E28" s="139"/>
      <c r="F28" s="140"/>
    </row>
    <row r="30" customFormat="false" ht="15" hidden="false" customHeight="true" outlineLevel="0" collapsed="false">
      <c r="B30" s="1" t="s">
        <v>4150</v>
      </c>
      <c r="D30" s="141" t="n">
        <f aca="false">SUM(D21:D28)</f>
        <v>0</v>
      </c>
    </row>
    <row r="31" customFormat="false" ht="15" hidden="false" customHeight="true" outlineLevel="0" collapsed="false">
      <c r="B31" s="1" t="s">
        <v>4151</v>
      </c>
      <c r="D31" s="141" t="n">
        <f aca="false">SUM(E21:E28)</f>
        <v>0</v>
      </c>
    </row>
    <row r="32" customFormat="false" ht="15" hidden="false" customHeight="true" outlineLevel="0" collapsed="false">
      <c r="B32" s="1" t="s">
        <v>4152</v>
      </c>
      <c r="D32" s="141" t="n">
        <f aca="false">Cards_Owed_Total+Loans_Owed_Total</f>
        <v>0</v>
      </c>
    </row>
    <row r="33" customFormat="false" ht="15" hidden="false" customHeight="true" outlineLevel="0" collapsed="false">
      <c r="B33" s="1" t="s">
        <v>4153</v>
      </c>
      <c r="D33" s="141" t="n">
        <f aca="false">Cards_Pay_Total+Loans_Pay_Total</f>
        <v>0</v>
      </c>
    </row>
    <row r="34" customFormat="false" ht="15" hidden="false" customHeight="true" outlineLevel="0" collapsed="false">
      <c r="B34" s="1" t="s">
        <v>4154</v>
      </c>
      <c r="D34" s="142" t="str">
        <f aca="false">IF(COUNT(F21:F28)=0,"",SUMPRODUCT(F21:F28,(D21:D28&gt;0)*D21:D28+(1-(D21:D28&gt;0)))/SUMPRODUCT((F21:F28&lt;&gt;"")*((D21:D28&gt;0)*D21:D28+(1-(D21:D28&gt;0)))))</f>
        <v/>
      </c>
    </row>
    <row r="35" customFormat="false" ht="15" hidden="false" customHeight="true" outlineLevel="0" collapsed="false">
      <c r="B35" s="113" t="s">
        <v>1160</v>
      </c>
    </row>
    <row r="36" customFormat="false" ht="27.75" hidden="false" customHeight="true" outlineLevel="0" collapsed="false">
      <c r="B36" s="138" t="s">
        <v>4155</v>
      </c>
      <c r="C36" s="138" t="s">
        <v>4156</v>
      </c>
      <c r="D36" s="138" t="s">
        <v>4157</v>
      </c>
      <c r="E36" s="138" t="s">
        <v>4158</v>
      </c>
      <c r="F36" s="138" t="s">
        <v>4159</v>
      </c>
      <c r="G36" s="138" t="s">
        <v>4160</v>
      </c>
    </row>
    <row r="37" customFormat="false" ht="15" hidden="false" customHeight="true" outlineLevel="0" collapsed="false">
      <c r="B37" s="1" t="s">
        <v>4161</v>
      </c>
      <c r="C37" s="94"/>
      <c r="D37" s="139"/>
      <c r="E37" s="139"/>
      <c r="F37" s="139"/>
      <c r="G37" s="143" t="str">
        <f aca="false">IF(E37="","",IF(E37&gt;0,IF(F37&lt;&gt;"",MIN(F37,E37),E37*AS_OwnShare),0))</f>
        <v/>
      </c>
    </row>
    <row r="38" customFormat="false" ht="15" hidden="false" customHeight="true" outlineLevel="0" collapsed="false">
      <c r="B38" s="1" t="s">
        <v>4162</v>
      </c>
      <c r="C38" s="94"/>
      <c r="D38" s="139"/>
      <c r="E38" s="139"/>
      <c r="F38" s="139"/>
      <c r="G38" s="143" t="str">
        <f aca="false">IF(E38="","",IF(E38&gt;0,IF(F38&lt;&gt;"",MIN(F38,E38),E38*AS_OwnShare),0))</f>
        <v/>
      </c>
    </row>
    <row r="39" customFormat="false" ht="15" hidden="false" customHeight="true" outlineLevel="0" collapsed="false">
      <c r="B39" s="1" t="s">
        <v>4163</v>
      </c>
      <c r="C39" s="94"/>
      <c r="D39" s="139"/>
      <c r="E39" s="139"/>
      <c r="F39" s="139"/>
      <c r="G39" s="143" t="str">
        <f aca="false">IF(E39="","",IF(E39&gt;0,IF(F39&lt;&gt;"",MIN(F39,E39),E39*AS_OwnShare),0))</f>
        <v/>
      </c>
    </row>
    <row r="40" customFormat="false" ht="15" hidden="false" customHeight="true" outlineLevel="0" collapsed="false">
      <c r="B40" s="1" t="s">
        <v>4164</v>
      </c>
      <c r="C40" s="94"/>
      <c r="D40" s="139"/>
      <c r="E40" s="139"/>
      <c r="F40" s="139"/>
      <c r="G40" s="143" t="str">
        <f aca="false">IF(E40="","",IF(E40&gt;0,IF(F40&lt;&gt;"",MIN(F40,E40),E40*AS_OwnShare),0))</f>
        <v/>
      </c>
    </row>
    <row r="41" customFormat="false" ht="15" hidden="false" customHeight="true" outlineLevel="0" collapsed="false">
      <c r="B41" s="1" t="s">
        <v>4165</v>
      </c>
      <c r="C41" s="94"/>
      <c r="D41" s="139"/>
      <c r="E41" s="139"/>
      <c r="F41" s="139"/>
      <c r="G41" s="143" t="str">
        <f aca="false">IF(E41="","",IF(E41&gt;0,IF(F41&lt;&gt;"",MIN(F41,E41),E41*AS_OwnShare),0))</f>
        <v/>
      </c>
    </row>
    <row r="42" customFormat="false" ht="15" hidden="false" customHeight="true" outlineLevel="0" collapsed="false">
      <c r="B42" s="1" t="s">
        <v>4166</v>
      </c>
      <c r="C42" s="94"/>
      <c r="D42" s="139"/>
      <c r="E42" s="139"/>
      <c r="F42" s="139"/>
      <c r="G42" s="143" t="str">
        <f aca="false">IF(E42="","",IF(E42&gt;0,IF(F42&lt;&gt;"",MIN(F42,E42),E42*AS_OwnShare),0))</f>
        <v/>
      </c>
    </row>
    <row r="43" customFormat="false" ht="15" hidden="false" customHeight="true" outlineLevel="0" collapsed="false">
      <c r="B43" s="1" t="s">
        <v>4167</v>
      </c>
      <c r="C43" s="94"/>
      <c r="D43" s="139"/>
      <c r="E43" s="139"/>
      <c r="F43" s="139"/>
      <c r="G43" s="143" t="str">
        <f aca="false">IF(E43="","",IF(E43&gt;0,IF(F43&lt;&gt;"",MIN(F43,E43),E43*AS_OwnShare),0))</f>
        <v/>
      </c>
    </row>
    <row r="44" customFormat="false" ht="15" hidden="false" customHeight="true" outlineLevel="0" collapsed="false">
      <c r="B44" s="1" t="s">
        <v>4168</v>
      </c>
      <c r="C44" s="94"/>
      <c r="D44" s="139"/>
      <c r="E44" s="139"/>
      <c r="F44" s="139"/>
      <c r="G44" s="143" t="str">
        <f aca="false">IF(E44="","",IF(E44&gt;0,IF(F44&lt;&gt;"",MIN(F44,E44),E44*AS_OwnShare),0))</f>
        <v/>
      </c>
    </row>
    <row r="46" customFormat="false" ht="15" hidden="false" customHeight="true" outlineLevel="0" collapsed="false">
      <c r="B46" s="1" t="s">
        <v>4169</v>
      </c>
      <c r="D46" s="141" t="n">
        <f aca="false">SUM(D37:D44)</f>
        <v>0</v>
      </c>
    </row>
    <row r="47" customFormat="false" ht="15" hidden="false" customHeight="true" outlineLevel="0" collapsed="false">
      <c r="B47" s="1" t="s">
        <v>4170</v>
      </c>
      <c r="D47" s="141" t="n">
        <f aca="false">SUM(E37:E44)</f>
        <v>0</v>
      </c>
    </row>
    <row r="48" customFormat="false" ht="15" hidden="false" customHeight="true" outlineLevel="0" collapsed="false">
      <c r="B48" s="1" t="s">
        <v>4171</v>
      </c>
      <c r="D48" s="141" t="n">
        <f aca="false">SUM(G37:G44)</f>
        <v>0</v>
      </c>
    </row>
    <row r="49" customFormat="false" ht="15" hidden="false" customHeight="true" outlineLevel="0" collapsed="false">
      <c r="B49" s="1" t="s">
        <v>4172</v>
      </c>
      <c r="D49" s="95" t="n">
        <f aca="false">IF(AND(SUMPRODUCT((E37:E44&gt;0)*ISNUMBER(F37:F44))&gt;0,OR(SUMPRODUCT(--(E37:E44&gt;0))=SUMPRODUCT((E37:E44&gt;0)*ISNUMBER(F37:F44)),Has_a_ownShare=1)),1,0)</f>
        <v>0</v>
      </c>
    </row>
    <row r="50" customFormat="false" ht="15" hidden="false" customHeight="true" outlineLevel="0" collapsed="false">
      <c r="B50" s="113" t="s">
        <v>4173</v>
      </c>
    </row>
    <row r="51" customFormat="false" ht="15" hidden="false" customHeight="true" outlineLevel="0" collapsed="false">
      <c r="B51" s="93" t="s">
        <v>4174</v>
      </c>
      <c r="C51" s="93" t="s">
        <v>4175</v>
      </c>
      <c r="D51" s="93" t="s">
        <v>4176</v>
      </c>
    </row>
    <row r="52" customFormat="false" ht="15" hidden="false" customHeight="true" outlineLevel="0" collapsed="false">
      <c r="B52" s="1" t="s">
        <v>4177</v>
      </c>
      <c r="C52" s="139"/>
      <c r="D52" s="94"/>
    </row>
    <row r="53" customFormat="false" ht="15" hidden="false" customHeight="true" outlineLevel="0" collapsed="false">
      <c r="B53" s="1" t="s">
        <v>4178</v>
      </c>
      <c r="C53" s="139"/>
      <c r="D53" s="94"/>
    </row>
    <row r="54" customFormat="false" ht="15" hidden="false" customHeight="true" outlineLevel="0" collapsed="false">
      <c r="B54" s="1" t="s">
        <v>4179</v>
      </c>
      <c r="C54" s="139"/>
      <c r="D54" s="94"/>
    </row>
    <row r="55" customFormat="false" ht="15" hidden="false" customHeight="true" outlineLevel="0" collapsed="false">
      <c r="B55" s="1" t="s">
        <v>4180</v>
      </c>
      <c r="C55" s="139"/>
      <c r="D55" s="94"/>
    </row>
    <row r="56" customFormat="false" ht="15" hidden="false" customHeight="true" outlineLevel="0" collapsed="false">
      <c r="B56" s="1" t="s">
        <v>4181</v>
      </c>
      <c r="D56" s="141" t="n">
        <f aca="false">SUM(C52:C55)</f>
        <v>0</v>
      </c>
    </row>
    <row r="57" customFormat="false" ht="15" hidden="false" customHeight="true" outlineLevel="0" collapsed="false">
      <c r="B57" s="93" t="s">
        <v>4174</v>
      </c>
      <c r="C57" s="93" t="s">
        <v>4182</v>
      </c>
      <c r="D57" s="93" t="s">
        <v>4183</v>
      </c>
    </row>
    <row r="58" customFormat="false" ht="15" hidden="false" customHeight="true" outlineLevel="0" collapsed="false">
      <c r="B58" s="1" t="s">
        <v>4184</v>
      </c>
      <c r="C58" s="139"/>
      <c r="D58" s="94"/>
    </row>
    <row r="59" customFormat="false" ht="15" hidden="false" customHeight="true" outlineLevel="0" collapsed="false">
      <c r="B59" s="1" t="s">
        <v>4185</v>
      </c>
      <c r="C59" s="139"/>
      <c r="D59" s="94"/>
    </row>
    <row r="60" customFormat="false" ht="15" hidden="false" customHeight="true" outlineLevel="0" collapsed="false">
      <c r="B60" s="1" t="s">
        <v>4186</v>
      </c>
      <c r="C60" s="139"/>
      <c r="D60" s="94"/>
    </row>
    <row r="61" customFormat="false" ht="15" hidden="false" customHeight="true" outlineLevel="0" collapsed="false">
      <c r="B61" s="1" t="s">
        <v>4187</v>
      </c>
      <c r="C61" s="139"/>
      <c r="D61" s="94"/>
    </row>
    <row r="62" customFormat="false" ht="15" hidden="false" customHeight="true" outlineLevel="0" collapsed="false">
      <c r="B62" s="1" t="s">
        <v>4188</v>
      </c>
      <c r="D62" s="141" t="n">
        <f aca="false">SUMPRODUCT((C58:C61&lt;&gt;"")*C58:C61)+IF(N('C21 Life cover'!$G$11)&gt;0,SUMPRODUCT((C58:C61="")*D58:D61)*N('C21 Life cover'!$G$11),0)</f>
        <v>0</v>
      </c>
    </row>
    <row r="63" customFormat="false" ht="15" hidden="false" customHeight="true" outlineLevel="0" collapsed="false">
      <c r="B63" s="1" t="s">
        <v>4189</v>
      </c>
      <c r="D63" s="141" t="n">
        <f aca="false">Cover_Life_Total+Cover_Work_Total</f>
        <v>0</v>
      </c>
    </row>
    <row r="64" customFormat="false" ht="15" hidden="false" customHeight="true" outlineLevel="0" collapsed="false">
      <c r="B64" s="93" t="s">
        <v>4174</v>
      </c>
      <c r="C64" s="93" t="s">
        <v>4190</v>
      </c>
      <c r="D64" s="93" t="s">
        <v>4176</v>
      </c>
    </row>
    <row r="65" customFormat="false" ht="15" hidden="false" customHeight="true" outlineLevel="0" collapsed="false">
      <c r="B65" s="1" t="s">
        <v>4191</v>
      </c>
      <c r="C65" s="139"/>
      <c r="D65" s="94"/>
    </row>
    <row r="66" customFormat="false" ht="15" hidden="false" customHeight="true" outlineLevel="0" collapsed="false">
      <c r="B66" s="1" t="s">
        <v>4192</v>
      </c>
      <c r="C66" s="139"/>
      <c r="D66" s="94"/>
    </row>
    <row r="67" customFormat="false" ht="15" hidden="false" customHeight="true" outlineLevel="0" collapsed="false">
      <c r="B67" s="1" t="s">
        <v>4193</v>
      </c>
      <c r="C67" s="139"/>
      <c r="D67" s="94"/>
    </row>
    <row r="68" customFormat="false" ht="15" hidden="false" customHeight="true" outlineLevel="0" collapsed="false">
      <c r="B68" s="1" t="s">
        <v>4194</v>
      </c>
      <c r="C68" s="139"/>
      <c r="D68" s="94"/>
    </row>
    <row r="69" customFormat="false" ht="15" hidden="false" customHeight="true" outlineLevel="0" collapsed="false">
      <c r="B69" s="1" t="s">
        <v>4195</v>
      </c>
      <c r="D69" s="141" t="n">
        <f aca="false">SUM(C65:C68)</f>
        <v>0</v>
      </c>
    </row>
    <row r="70" customFormat="false" ht="15" hidden="false" customHeight="true" outlineLevel="0" collapsed="false">
      <c r="B70" s="93" t="s">
        <v>4174</v>
      </c>
      <c r="C70" s="93" t="s">
        <v>4175</v>
      </c>
      <c r="D70" s="93" t="s">
        <v>4176</v>
      </c>
    </row>
    <row r="71" customFormat="false" ht="15" hidden="false" customHeight="true" outlineLevel="0" collapsed="false">
      <c r="B71" s="1" t="s">
        <v>4196</v>
      </c>
      <c r="C71" s="139"/>
      <c r="D71" s="94"/>
    </row>
    <row r="72" customFormat="false" ht="15" hidden="false" customHeight="true" outlineLevel="0" collapsed="false">
      <c r="B72" s="1" t="s">
        <v>4197</v>
      </c>
      <c r="C72" s="139"/>
      <c r="D72" s="94"/>
    </row>
    <row r="73" customFormat="false" ht="15" hidden="false" customHeight="true" outlineLevel="0" collapsed="false">
      <c r="B73" s="1" t="s">
        <v>4198</v>
      </c>
      <c r="C73" s="139"/>
      <c r="D73" s="94"/>
    </row>
    <row r="74" customFormat="false" ht="15" hidden="false" customHeight="true" outlineLevel="0" collapsed="false">
      <c r="B74" s="1" t="s">
        <v>4199</v>
      </c>
      <c r="C74" s="139"/>
      <c r="D74" s="94"/>
    </row>
    <row r="75" customFormat="false" ht="15" hidden="false" customHeight="true" outlineLevel="0" collapsed="false">
      <c r="B75" s="1" t="s">
        <v>4200</v>
      </c>
      <c r="D75" s="141" t="n">
        <f aca="false">SUM(C71:C74)</f>
        <v>0</v>
      </c>
    </row>
    <row r="76" customFormat="false" ht="15" hidden="false" customHeight="true" outlineLevel="0" collapsed="false">
      <c r="B76" s="93" t="s">
        <v>3472</v>
      </c>
      <c r="C76" s="93" t="s">
        <v>4201</v>
      </c>
    </row>
    <row r="77" customFormat="false" ht="15" hidden="false" customHeight="true" outlineLevel="0" collapsed="false">
      <c r="B77" s="1" t="s">
        <v>4202</v>
      </c>
      <c r="C77" s="139"/>
    </row>
    <row r="78" customFormat="false" ht="15" hidden="false" customHeight="true" outlineLevel="0" collapsed="false">
      <c r="B78" s="1" t="s">
        <v>4203</v>
      </c>
      <c r="C78" s="139"/>
    </row>
    <row r="79" customFormat="false" ht="15" hidden="false" customHeight="true" outlineLevel="0" collapsed="false">
      <c r="B79" s="1" t="s">
        <v>4204</v>
      </c>
      <c r="C79" s="139"/>
    </row>
    <row r="80" customFormat="false" ht="15" hidden="false" customHeight="true" outlineLevel="0" collapsed="false">
      <c r="B80" s="1" t="s">
        <v>4205</v>
      </c>
      <c r="C80" s="139"/>
    </row>
    <row r="81" customFormat="false" ht="15" hidden="false" customHeight="true" outlineLevel="0" collapsed="false">
      <c r="B81" s="1" t="s">
        <v>4206</v>
      </c>
      <c r="D81" s="141" t="n">
        <f aca="false">SUM(C77:C80)</f>
        <v>0</v>
      </c>
    </row>
    <row r="84" customFormat="false" ht="15" hidden="false" customHeight="true" outlineLevel="0" collapsed="false">
      <c r="B84" s="113" t="s">
        <v>4207</v>
      </c>
    </row>
    <row r="85" customFormat="false" ht="54.75" hidden="false" customHeight="true" outlineLevel="0" collapsed="false">
      <c r="B85" s="138" t="s">
        <v>529</v>
      </c>
      <c r="C85" s="138" t="s">
        <v>4125</v>
      </c>
      <c r="D85" s="138" t="s">
        <v>4208</v>
      </c>
      <c r="E85" s="138" t="s">
        <v>4127</v>
      </c>
      <c r="F85" s="138" t="s">
        <v>416</v>
      </c>
      <c r="G85" s="138" t="s">
        <v>4209</v>
      </c>
      <c r="H85" s="138" t="s">
        <v>4210</v>
      </c>
      <c r="I85" s="138" t="s">
        <v>4211</v>
      </c>
    </row>
    <row r="86" customFormat="false" ht="15" hidden="false" customHeight="true" outlineLevel="0" collapsed="false">
      <c r="B86" s="1" t="s">
        <v>4212</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4213</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4214</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4215</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4216</v>
      </c>
      <c r="D90" s="95" t="n">
        <f aca="false">SUMIF(D86:D89,"&gt;0")</f>
        <v>0</v>
      </c>
    </row>
    <row r="91" customFormat="false" ht="15" hidden="false" customHeight="true" outlineLevel="0" collapsed="false">
      <c r="B91" s="1" t="s">
        <v>4217</v>
      </c>
      <c r="D91" s="95" t="n">
        <f aca="false">SUM(I86:I89)</f>
        <v>0</v>
      </c>
    </row>
    <row r="92" customFormat="false" ht="15" hidden="false" customHeight="true" outlineLevel="0" collapsed="false">
      <c r="B92" s="1" t="s">
        <v>4218</v>
      </c>
      <c r="D92" s="145" t="n">
        <f aca="false">IF(D90&gt;0,SUMPRODUCT((D86:D89&gt;0)*D86:D89*H86:H89)/D90,0)</f>
        <v>0</v>
      </c>
    </row>
    <row r="93" customFormat="false" ht="15" hidden="false" customHeight="true" outlineLevel="0" collapsed="false">
      <c r="B93" s="1" t="s">
        <v>4219</v>
      </c>
      <c r="D93" s="95" t="n">
        <f aca="false">IF(SUMPRODUCT((N(+D86:D89)&gt;0)*(N(+E86:E89)&lt;=0)*(N(+F86:F89)&lt;=0))&gt;0,1,0)</f>
        <v>0</v>
      </c>
    </row>
    <row r="94" customFormat="false" ht="15" hidden="false" customHeight="true" outlineLevel="0" collapsed="false">
      <c r="B94" s="1" t="s">
        <v>4220</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4221</v>
      </c>
    </row>
    <row r="2" customFormat="false" ht="75" hidden="false" customHeight="true" outlineLevel="0" collapsed="false">
      <c r="B2" s="91" t="s">
        <v>4222</v>
      </c>
      <c r="C2" s="91"/>
      <c r="D2" s="91"/>
      <c r="E2" s="91"/>
      <c r="F2" s="91"/>
      <c r="G2" s="91"/>
      <c r="H2" s="91"/>
      <c r="I2" s="91"/>
      <c r="J2" s="91"/>
      <c r="K2" s="91"/>
    </row>
    <row r="3" customFormat="false" ht="15" hidden="false" customHeight="true" outlineLevel="0" collapsed="false">
      <c r="B3" s="23" t="s">
        <v>4223</v>
      </c>
    </row>
    <row r="4" customFormat="false" ht="15" hidden="false" customHeight="true" outlineLevel="0" collapsed="false">
      <c r="B4" s="113" t="s">
        <v>4224</v>
      </c>
      <c r="C4" s="94"/>
    </row>
    <row r="6" customFormat="false" ht="81.75" hidden="false" customHeight="true" outlineLevel="0" collapsed="false">
      <c r="B6" s="100" t="s">
        <v>4225</v>
      </c>
      <c r="C6" s="100" t="s">
        <v>4226</v>
      </c>
      <c r="D6" s="100" t="s">
        <v>4227</v>
      </c>
      <c r="E6" s="100" t="s">
        <v>4228</v>
      </c>
      <c r="F6" s="100" t="s">
        <v>4229</v>
      </c>
      <c r="G6" s="100" t="s">
        <v>4230</v>
      </c>
      <c r="H6" s="100" t="s">
        <v>4231</v>
      </c>
      <c r="I6" s="100" t="s">
        <v>4232</v>
      </c>
      <c r="J6" s="100" t="s">
        <v>4233</v>
      </c>
      <c r="K6" s="100" t="s">
        <v>4234</v>
      </c>
      <c r="L6" s="93" t="s">
        <v>4235</v>
      </c>
      <c r="M6" s="93" t="s">
        <v>4236</v>
      </c>
    </row>
    <row r="7" customFormat="false" ht="15" hidden="false" customHeight="true" outlineLevel="0" collapsed="false">
      <c r="B7" s="146" t="s">
        <v>4237</v>
      </c>
    </row>
    <row r="8" customFormat="false" ht="15" hidden="false" customHeight="true" outlineLevel="0" collapsed="false">
      <c r="B8" s="1" t="s">
        <v>4238</v>
      </c>
      <c r="C8" s="140" t="n">
        <v>0.02</v>
      </c>
      <c r="G8" s="94" t="s">
        <v>4239</v>
      </c>
      <c r="H8" s="23" t="s">
        <v>4240</v>
      </c>
      <c r="I8" s="23" t="s">
        <v>4241</v>
      </c>
      <c r="J8" s="23"/>
      <c r="K8" s="23" t="s">
        <v>4242</v>
      </c>
    </row>
    <row r="9" customFormat="false" ht="15" hidden="false" customHeight="true" outlineLevel="0" collapsed="false">
      <c r="B9" s="1" t="s">
        <v>4243</v>
      </c>
      <c r="C9" s="140" t="n">
        <v>0.03</v>
      </c>
      <c r="F9" s="140" t="n">
        <v>0.025</v>
      </c>
      <c r="G9" s="94" t="s">
        <v>4244</v>
      </c>
      <c r="H9" s="23" t="s">
        <v>4245</v>
      </c>
      <c r="I9" s="23" t="s">
        <v>4246</v>
      </c>
      <c r="J9" s="23" t="s">
        <v>4247</v>
      </c>
      <c r="K9" s="23" t="s">
        <v>4242</v>
      </c>
    </row>
    <row r="10" customFormat="false" ht="15" hidden="false" customHeight="true" outlineLevel="0" collapsed="false">
      <c r="B10" s="1" t="s">
        <v>4248</v>
      </c>
      <c r="C10" s="140" t="n">
        <v>0.01</v>
      </c>
      <c r="F10" s="140" t="n">
        <v>0.007</v>
      </c>
      <c r="G10" s="94" t="s">
        <v>4249</v>
      </c>
      <c r="H10" s="23" t="s">
        <v>4250</v>
      </c>
      <c r="I10" s="23" t="s">
        <v>4251</v>
      </c>
      <c r="J10" s="23"/>
      <c r="K10" s="23" t="s">
        <v>4242</v>
      </c>
    </row>
    <row r="11" customFormat="false" ht="15" hidden="false" customHeight="true" outlineLevel="0" collapsed="false">
      <c r="B11" s="1" t="s">
        <v>4252</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4253</v>
      </c>
      <c r="I11" s="23" t="s">
        <v>4246</v>
      </c>
      <c r="J11" s="23" t="s">
        <v>4254</v>
      </c>
      <c r="K11" s="23" t="s">
        <v>4242</v>
      </c>
    </row>
    <row r="12" customFormat="false" ht="15" hidden="false" customHeight="true" outlineLevel="0" collapsed="false">
      <c r="B12" s="1" t="s">
        <v>4255</v>
      </c>
      <c r="C12" s="140" t="n">
        <v>0.05</v>
      </c>
      <c r="G12" s="94" t="s">
        <v>4256</v>
      </c>
      <c r="H12" s="23" t="s">
        <v>4257</v>
      </c>
      <c r="I12" s="23" t="s">
        <v>4246</v>
      </c>
      <c r="J12" s="23" t="s">
        <v>4258</v>
      </c>
      <c r="K12" s="23" t="s">
        <v>4242</v>
      </c>
    </row>
    <row r="13" customFormat="false" ht="15" hidden="false" customHeight="true" outlineLevel="0" collapsed="false">
      <c r="B13" s="1" t="s">
        <v>4259</v>
      </c>
      <c r="C13" s="140" t="n">
        <v>0.045</v>
      </c>
      <c r="F13" s="140" t="n">
        <v>0.04</v>
      </c>
      <c r="G13" s="94" t="s">
        <v>4260</v>
      </c>
      <c r="H13" s="23" t="s">
        <v>4261</v>
      </c>
      <c r="I13" s="23" t="s">
        <v>4246</v>
      </c>
      <c r="J13" s="23" t="s">
        <v>4262</v>
      </c>
      <c r="K13" s="23" t="s">
        <v>4242</v>
      </c>
    </row>
    <row r="14" customFormat="false" ht="15" hidden="false" customHeight="true" outlineLevel="0" collapsed="false">
      <c r="B14" s="1" t="s">
        <v>4263</v>
      </c>
      <c r="C14" s="140" t="n">
        <v>0.0315</v>
      </c>
      <c r="F14" s="140" t="n">
        <v>0.028</v>
      </c>
      <c r="G14" s="94" t="s">
        <v>4264</v>
      </c>
      <c r="H14" s="23" t="s">
        <v>4261</v>
      </c>
      <c r="I14" s="23" t="s">
        <v>4246</v>
      </c>
      <c r="J14" s="23" t="s">
        <v>4265</v>
      </c>
      <c r="K14" s="23" t="s">
        <v>4242</v>
      </c>
    </row>
    <row r="15" customFormat="false" ht="15" hidden="false" customHeight="true" outlineLevel="0" collapsed="false">
      <c r="B15" s="146" t="s">
        <v>3387</v>
      </c>
    </row>
    <row r="16" customFormat="false" ht="15" hidden="false" customHeight="true" outlineLevel="0" collapsed="false">
      <c r="B16" s="1" t="s">
        <v>4266</v>
      </c>
      <c r="C16" s="140" t="n">
        <v>0.03</v>
      </c>
      <c r="G16" s="94" t="s">
        <v>4267</v>
      </c>
      <c r="H16" s="23" t="s">
        <v>4268</v>
      </c>
      <c r="I16" s="23" t="s">
        <v>4246</v>
      </c>
      <c r="J16" s="23" t="s">
        <v>4269</v>
      </c>
      <c r="K16" s="23" t="s">
        <v>4270</v>
      </c>
    </row>
    <row r="17" customFormat="false" ht="15" hidden="false" customHeight="true" outlineLevel="0" collapsed="false">
      <c r="B17" s="1" t="s">
        <v>4271</v>
      </c>
      <c r="C17" s="140" t="n">
        <v>0.02</v>
      </c>
      <c r="G17" s="94" t="s">
        <v>4272</v>
      </c>
      <c r="H17" s="23" t="s">
        <v>4273</v>
      </c>
      <c r="I17" s="23" t="s">
        <v>4246</v>
      </c>
      <c r="J17" s="23" t="s">
        <v>4274</v>
      </c>
      <c r="K17" s="23" t="s">
        <v>4270</v>
      </c>
    </row>
    <row r="18" customFormat="false" ht="15" hidden="false" customHeight="true" outlineLevel="0" collapsed="false">
      <c r="B18" s="1" t="s">
        <v>4275</v>
      </c>
      <c r="C18" s="140" t="n">
        <v>0.01</v>
      </c>
      <c r="G18" s="94" t="s">
        <v>4276</v>
      </c>
      <c r="H18" s="23" t="s">
        <v>4277</v>
      </c>
      <c r="I18" s="23" t="s">
        <v>4246</v>
      </c>
      <c r="J18" s="23"/>
      <c r="K18" s="23" t="s">
        <v>4270</v>
      </c>
    </row>
    <row r="19" customFormat="false" ht="15" hidden="false" customHeight="true" outlineLevel="0" collapsed="false">
      <c r="B19" s="146" t="s">
        <v>4278</v>
      </c>
    </row>
    <row r="20" customFormat="false" ht="15" hidden="false" customHeight="true" outlineLevel="0" collapsed="false">
      <c r="B20" s="1" t="s">
        <v>4279</v>
      </c>
      <c r="C20" s="140" t="n">
        <v>0.5</v>
      </c>
      <c r="G20" s="94" t="s">
        <v>4280</v>
      </c>
      <c r="H20" s="23" t="s">
        <v>4281</v>
      </c>
      <c r="I20" s="23" t="s">
        <v>4246</v>
      </c>
      <c r="J20" s="23" t="s">
        <v>4282</v>
      </c>
      <c r="K20" s="23" t="s">
        <v>4283</v>
      </c>
    </row>
    <row r="21" customFormat="false" ht="15" hidden="false" customHeight="true" outlineLevel="0" collapsed="false">
      <c r="B21" s="1" t="s">
        <v>4284</v>
      </c>
      <c r="C21" s="94" t="n">
        <v>25</v>
      </c>
      <c r="G21" s="94" t="s">
        <v>4285</v>
      </c>
      <c r="H21" s="23" t="s">
        <v>4286</v>
      </c>
      <c r="I21" s="23" t="s">
        <v>4246</v>
      </c>
      <c r="J21" s="23" t="s">
        <v>4287</v>
      </c>
      <c r="K21" s="23" t="s">
        <v>4288</v>
      </c>
    </row>
    <row r="22" customFormat="false" ht="15" hidden="false" customHeight="true" outlineLevel="0" collapsed="false">
      <c r="B22" s="1" t="s">
        <v>4289</v>
      </c>
      <c r="C22" s="140" t="n">
        <v>0.8</v>
      </c>
      <c r="G22" s="94" t="s">
        <v>4290</v>
      </c>
      <c r="H22" s="23" t="s">
        <v>4291</v>
      </c>
      <c r="I22" s="23" t="s">
        <v>4246</v>
      </c>
      <c r="J22" s="23"/>
      <c r="K22" s="23" t="s">
        <v>4283</v>
      </c>
    </row>
    <row r="23" customFormat="false" ht="15" hidden="false" customHeight="true" outlineLevel="0" collapsed="false">
      <c r="B23" s="1" t="s">
        <v>4292</v>
      </c>
      <c r="C23" s="140" t="n">
        <v>0.25</v>
      </c>
      <c r="G23" s="94" t="s">
        <v>4293</v>
      </c>
      <c r="H23" s="23" t="s">
        <v>4294</v>
      </c>
      <c r="I23" s="23" t="s">
        <v>4295</v>
      </c>
      <c r="J23" s="23"/>
      <c r="K23" s="23" t="s">
        <v>4283</v>
      </c>
    </row>
    <row r="24" customFormat="false" ht="15" hidden="false" customHeight="true" outlineLevel="0" collapsed="false">
      <c r="B24" s="146" t="s">
        <v>4296</v>
      </c>
    </row>
    <row r="25" customFormat="false" ht="15" hidden="false" customHeight="true" outlineLevel="0" collapsed="false">
      <c r="B25" s="1" t="s">
        <v>4297</v>
      </c>
      <c r="C25" s="94" t="n">
        <v>6</v>
      </c>
      <c r="G25" s="94" t="s">
        <v>4298</v>
      </c>
      <c r="H25" s="23" t="s">
        <v>4299</v>
      </c>
      <c r="I25" s="23" t="s">
        <v>4246</v>
      </c>
      <c r="J25" s="23" t="s">
        <v>4300</v>
      </c>
      <c r="K25" s="23" t="s">
        <v>4301</v>
      </c>
    </row>
    <row r="26" customFormat="false" ht="15" hidden="false" customHeight="true" outlineLevel="0" collapsed="false">
      <c r="B26" s="1" t="s">
        <v>4302</v>
      </c>
      <c r="C26" s="94" t="n">
        <v>3</v>
      </c>
      <c r="G26" s="94" t="s">
        <v>4303</v>
      </c>
      <c r="H26" s="23" t="s">
        <v>4304</v>
      </c>
      <c r="I26" s="23" t="s">
        <v>4246</v>
      </c>
      <c r="J26" s="23"/>
      <c r="K26" s="23" t="s">
        <v>4301</v>
      </c>
    </row>
    <row r="27" customFormat="false" ht="15" hidden="false" customHeight="true" outlineLevel="0" collapsed="false">
      <c r="B27" s="1" t="s">
        <v>4305</v>
      </c>
      <c r="C27" s="94" t="n">
        <v>5</v>
      </c>
      <c r="G27" s="94" t="s">
        <v>4306</v>
      </c>
      <c r="H27" s="23" t="s">
        <v>4307</v>
      </c>
      <c r="I27" s="23" t="s">
        <v>4246</v>
      </c>
      <c r="J27" s="23" t="s">
        <v>4308</v>
      </c>
      <c r="K27" s="23" t="s">
        <v>4309</v>
      </c>
    </row>
    <row r="28" customFormat="false" ht="15" hidden="false" customHeight="true" outlineLevel="0" collapsed="false">
      <c r="B28" s="1" t="s">
        <v>4310</v>
      </c>
      <c r="C28" s="140" t="n">
        <v>0.4</v>
      </c>
      <c r="G28" s="94" t="s">
        <v>4311</v>
      </c>
      <c r="H28" s="23" t="s">
        <v>4312</v>
      </c>
      <c r="I28" s="23" t="s">
        <v>4246</v>
      </c>
      <c r="J28" s="23"/>
      <c r="K28" s="23" t="s">
        <v>4313</v>
      </c>
    </row>
    <row r="29" customFormat="false" ht="15" hidden="false" customHeight="true" outlineLevel="0" collapsed="false">
      <c r="B29" s="1" t="s">
        <v>4314</v>
      </c>
      <c r="C29" s="140" t="n">
        <v>0.5</v>
      </c>
      <c r="G29" s="94" t="s">
        <v>4315</v>
      </c>
      <c r="H29" s="23" t="s">
        <v>4316</v>
      </c>
      <c r="I29" s="23" t="s">
        <v>4246</v>
      </c>
      <c r="J29" s="23" t="s">
        <v>4317</v>
      </c>
      <c r="K29" s="23" t="s">
        <v>4313</v>
      </c>
    </row>
    <row r="30" customFormat="false" ht="15" hidden="false" customHeight="true" outlineLevel="0" collapsed="false">
      <c r="B30" s="1" t="s">
        <v>4318</v>
      </c>
      <c r="C30" s="139" t="n">
        <v>300</v>
      </c>
      <c r="G30" s="94" t="s">
        <v>4319</v>
      </c>
      <c r="H30" s="23" t="s">
        <v>4316</v>
      </c>
      <c r="I30" s="23" t="s">
        <v>4246</v>
      </c>
      <c r="J30" s="23" t="s">
        <v>4320</v>
      </c>
      <c r="K30" s="23" t="s">
        <v>4321</v>
      </c>
    </row>
    <row r="31" customFormat="false" ht="15" hidden="false" customHeight="true" outlineLevel="0" collapsed="false">
      <c r="B31" s="146" t="s">
        <v>80</v>
      </c>
    </row>
    <row r="32" customFormat="false" ht="15" hidden="false" customHeight="true" outlineLevel="0" collapsed="false">
      <c r="B32" s="1" t="s">
        <v>4322</v>
      </c>
      <c r="C32" s="140" t="n">
        <v>0.6</v>
      </c>
      <c r="G32" s="94" t="s">
        <v>4323</v>
      </c>
      <c r="H32" s="23" t="s">
        <v>4324</v>
      </c>
      <c r="I32" s="23" t="s">
        <v>4246</v>
      </c>
      <c r="J32" s="23"/>
      <c r="K32" s="23" t="s">
        <v>4325</v>
      </c>
    </row>
    <row r="33" customFormat="false" ht="15" hidden="false" customHeight="true" outlineLevel="0" collapsed="false">
      <c r="B33" s="1" t="s">
        <v>4326</v>
      </c>
      <c r="C33" s="94" t="n">
        <v>15</v>
      </c>
      <c r="G33" s="94" t="s">
        <v>4327</v>
      </c>
      <c r="H33" s="23" t="s">
        <v>4324</v>
      </c>
      <c r="I33" s="23" t="s">
        <v>4246</v>
      </c>
      <c r="J33" s="23"/>
      <c r="K33" s="23" t="s">
        <v>4328</v>
      </c>
    </row>
    <row r="34" customFormat="false" ht="15" hidden="false" customHeight="true" outlineLevel="0" collapsed="false">
      <c r="B34" s="146" t="s">
        <v>4329</v>
      </c>
    </row>
    <row r="35" customFormat="false" ht="15" hidden="false" customHeight="true" outlineLevel="0" collapsed="false">
      <c r="B35" s="1" t="s">
        <v>4330</v>
      </c>
      <c r="C35" s="148" t="n">
        <v>0.02</v>
      </c>
      <c r="D35" s="148" t="n">
        <v>0.04</v>
      </c>
      <c r="E35" s="148" t="n">
        <v>0.06</v>
      </c>
      <c r="G35" s="94" t="s">
        <v>4331</v>
      </c>
      <c r="H35" s="23" t="s">
        <v>4332</v>
      </c>
      <c r="I35" s="23" t="s">
        <v>4246</v>
      </c>
      <c r="J35" s="23" t="s">
        <v>4333</v>
      </c>
      <c r="K35" s="23" t="s">
        <v>4334</v>
      </c>
    </row>
    <row r="36" customFormat="false" ht="15" hidden="false" customHeight="true" outlineLevel="0" collapsed="false">
      <c r="B36" s="1" t="s">
        <v>4335</v>
      </c>
      <c r="C36" s="148" t="n">
        <v>0.05</v>
      </c>
      <c r="D36" s="148" t="n">
        <v>0.1</v>
      </c>
      <c r="E36" s="148" t="n">
        <v>0.16</v>
      </c>
      <c r="G36" s="94" t="s">
        <v>4331</v>
      </c>
      <c r="H36" s="23" t="s">
        <v>4332</v>
      </c>
      <c r="I36" s="23" t="s">
        <v>4246</v>
      </c>
      <c r="J36" s="23" t="s">
        <v>4336</v>
      </c>
      <c r="K36" s="23" t="s">
        <v>4334</v>
      </c>
    </row>
    <row r="37" customFormat="false" ht="15" hidden="false" customHeight="true" outlineLevel="0" collapsed="false">
      <c r="B37" s="1" t="s">
        <v>4337</v>
      </c>
      <c r="C37" s="148" t="n">
        <v>0.5</v>
      </c>
      <c r="D37" s="148" t="n">
        <v>0.3</v>
      </c>
      <c r="E37" s="148" t="n">
        <v>0.2</v>
      </c>
      <c r="G37" s="94" t="s">
        <v>4338</v>
      </c>
      <c r="H37" s="23" t="s">
        <v>4339</v>
      </c>
      <c r="I37" s="23" t="s">
        <v>4246</v>
      </c>
      <c r="J37" s="23"/>
      <c r="K37" s="23" t="s">
        <v>4334</v>
      </c>
    </row>
    <row r="38" customFormat="false" ht="15" hidden="false" customHeight="true" outlineLevel="0" collapsed="false">
      <c r="B38" s="146" t="s">
        <v>4340</v>
      </c>
    </row>
    <row r="39" customFormat="false" ht="15" hidden="false" customHeight="true" outlineLevel="0" collapsed="false">
      <c r="B39" s="1" t="s">
        <v>4341</v>
      </c>
      <c r="C39" s="94" t="s">
        <v>4342</v>
      </c>
      <c r="G39" s="94" t="s">
        <v>4343</v>
      </c>
      <c r="H39" s="23" t="s">
        <v>4344</v>
      </c>
      <c r="I39" s="23" t="s">
        <v>4246</v>
      </c>
      <c r="J39" s="23" t="s">
        <v>4345</v>
      </c>
      <c r="K39" s="23" t="s">
        <v>4346</v>
      </c>
    </row>
    <row r="40" customFormat="false" ht="15" hidden="false" customHeight="true" outlineLevel="0" collapsed="false">
      <c r="B40" s="1" t="s">
        <v>4347</v>
      </c>
      <c r="C40" s="94" t="s">
        <v>4342</v>
      </c>
      <c r="G40" s="94" t="s">
        <v>4348</v>
      </c>
      <c r="H40" s="23" t="s">
        <v>4349</v>
      </c>
      <c r="I40" s="23" t="s">
        <v>4246</v>
      </c>
      <c r="J40" s="23" t="s">
        <v>4350</v>
      </c>
      <c r="K40" s="23" t="s">
        <v>4346</v>
      </c>
    </row>
    <row r="41" customFormat="false" ht="15" hidden="false" customHeight="true" outlineLevel="0" collapsed="false">
      <c r="B41" s="1" t="s">
        <v>4351</v>
      </c>
      <c r="C41" s="94" t="s">
        <v>4352</v>
      </c>
      <c r="G41" s="94" t="s">
        <v>4353</v>
      </c>
      <c r="H41" s="23" t="s">
        <v>4354</v>
      </c>
      <c r="I41" s="23" t="s">
        <v>4246</v>
      </c>
      <c r="J41" s="23"/>
      <c r="K41" s="23" t="s">
        <v>4346</v>
      </c>
    </row>
    <row r="42" customFormat="false" ht="15" hidden="false" customHeight="true" outlineLevel="0" collapsed="false">
      <c r="B42" s="1" t="s">
        <v>4355</v>
      </c>
      <c r="C42" s="94" t="s">
        <v>1931</v>
      </c>
      <c r="G42" s="94" t="s">
        <v>4356</v>
      </c>
      <c r="H42" s="23" t="s">
        <v>4357</v>
      </c>
      <c r="I42" s="23" t="s">
        <v>4246</v>
      </c>
      <c r="J42" s="23"/>
      <c r="K42" s="23" t="s">
        <v>4346</v>
      </c>
    </row>
    <row r="43" customFormat="false" ht="15" hidden="false" customHeight="true" outlineLevel="0" collapsed="false">
      <c r="B43" s="1" t="s">
        <v>4358</v>
      </c>
      <c r="C43" s="94" t="n">
        <v>5</v>
      </c>
      <c r="G43" s="94" t="s">
        <v>4359</v>
      </c>
      <c r="H43" s="23" t="s">
        <v>4360</v>
      </c>
      <c r="I43" s="23" t="s">
        <v>4246</v>
      </c>
      <c r="J43" s="23"/>
      <c r="K43" s="23" t="s">
        <v>4361</v>
      </c>
    </row>
    <row r="44" customFormat="false" ht="15" hidden="false" customHeight="true" outlineLevel="0" collapsed="false">
      <c r="B44" s="1" t="s">
        <v>4362</v>
      </c>
      <c r="C44" s="94" t="n">
        <v>2</v>
      </c>
      <c r="G44" s="94" t="s">
        <v>4363</v>
      </c>
      <c r="H44" s="23" t="s">
        <v>4364</v>
      </c>
      <c r="I44" s="23" t="s">
        <v>4246</v>
      </c>
      <c r="J44" s="23"/>
      <c r="K44" s="23" t="s">
        <v>4365</v>
      </c>
    </row>
    <row r="45" customFormat="false" ht="15" hidden="false" customHeight="true" outlineLevel="0" collapsed="false">
      <c r="B45" s="146" t="s">
        <v>4366</v>
      </c>
    </row>
    <row r="46" customFormat="false" ht="15" hidden="false" customHeight="true" outlineLevel="0" collapsed="false">
      <c r="B46" s="1" t="s">
        <v>4367</v>
      </c>
      <c r="C46" s="140" t="n">
        <v>0.0348</v>
      </c>
      <c r="D46" s="140"/>
      <c r="G46" s="94" t="s">
        <v>4368</v>
      </c>
      <c r="H46" s="23" t="s">
        <v>4369</v>
      </c>
      <c r="I46" s="23" t="s">
        <v>4370</v>
      </c>
      <c r="J46" s="23" t="s">
        <v>4371</v>
      </c>
      <c r="K46" s="23" t="s">
        <v>4372</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4373</v>
      </c>
      <c r="C47" s="140" t="n">
        <v>0.0672</v>
      </c>
      <c r="D47" s="140"/>
      <c r="G47" s="94" t="s">
        <v>4374</v>
      </c>
      <c r="H47" s="23" t="s">
        <v>4369</v>
      </c>
      <c r="I47" s="23" t="s">
        <v>4370</v>
      </c>
      <c r="J47" s="23" t="s">
        <v>4375</v>
      </c>
      <c r="K47" s="23" t="s">
        <v>4372</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4376</v>
      </c>
      <c r="C48" s="140"/>
      <c r="D48" s="140"/>
      <c r="G48" s="94" t="s">
        <v>4377</v>
      </c>
      <c r="H48" s="23" t="s">
        <v>4369</v>
      </c>
      <c r="I48" s="23" t="s">
        <v>4378</v>
      </c>
      <c r="J48" s="23" t="s">
        <v>4379</v>
      </c>
      <c r="K48" s="23" t="s">
        <v>4372</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4380</v>
      </c>
      <c r="C49" s="140" t="n">
        <v>0.0192</v>
      </c>
      <c r="D49" s="140"/>
      <c r="G49" s="94" t="s">
        <v>4381</v>
      </c>
      <c r="H49" s="23" t="s">
        <v>4369</v>
      </c>
      <c r="I49" s="23" t="s">
        <v>4370</v>
      </c>
      <c r="J49" s="23" t="s">
        <v>4382</v>
      </c>
      <c r="K49" s="23" t="s">
        <v>4372</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4383</v>
      </c>
      <c r="C50" s="139"/>
      <c r="D50" s="139"/>
      <c r="G50" s="94" t="s">
        <v>4384</v>
      </c>
      <c r="H50" s="23" t="s">
        <v>4384</v>
      </c>
      <c r="I50" s="23" t="s">
        <v>4378</v>
      </c>
      <c r="J50" s="23"/>
      <c r="K50" s="23" t="s">
        <v>4385</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4386</v>
      </c>
      <c r="C51" s="140" t="n">
        <v>0.01</v>
      </c>
      <c r="D51" s="140"/>
      <c r="G51" s="94" t="s">
        <v>4387</v>
      </c>
      <c r="H51" s="23" t="s">
        <v>4388</v>
      </c>
      <c r="I51" s="23" t="s">
        <v>4246</v>
      </c>
      <c r="J51" s="23" t="s">
        <v>4389</v>
      </c>
      <c r="K51" s="23" t="s">
        <v>4372</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4390</v>
      </c>
    </row>
    <row r="53" customFormat="false" ht="15" hidden="false" customHeight="true" outlineLevel="0" collapsed="false">
      <c r="B53" s="1" t="s">
        <v>4391</v>
      </c>
      <c r="C53" s="94" t="n">
        <v>83</v>
      </c>
      <c r="G53" s="94" t="s">
        <v>4392</v>
      </c>
      <c r="H53" s="23" t="s">
        <v>4393</v>
      </c>
      <c r="I53" s="23" t="s">
        <v>4394</v>
      </c>
      <c r="J53" s="23"/>
      <c r="K53" s="23" t="s">
        <v>4395</v>
      </c>
    </row>
    <row r="54" customFormat="false" ht="15" hidden="false" customHeight="true" outlineLevel="0" collapsed="false">
      <c r="B54" s="1" t="s">
        <v>4396</v>
      </c>
      <c r="C54" s="94" t="n">
        <v>86</v>
      </c>
      <c r="G54" s="94" t="s">
        <v>4392</v>
      </c>
      <c r="H54" s="23" t="s">
        <v>4393</v>
      </c>
      <c r="I54" s="23" t="s">
        <v>4397</v>
      </c>
      <c r="J54" s="23"/>
      <c r="K54" s="23" t="s">
        <v>4395</v>
      </c>
    </row>
    <row r="55" customFormat="false" ht="15" hidden="false" customHeight="true" outlineLevel="0" collapsed="false">
      <c r="B55" s="146" t="s">
        <v>4398</v>
      </c>
    </row>
    <row r="56" customFormat="false" ht="15" hidden="false" customHeight="true" outlineLevel="0" collapsed="false">
      <c r="B56" s="1" t="s">
        <v>4399</v>
      </c>
      <c r="C56" s="114" t="n">
        <v>0.039</v>
      </c>
      <c r="G56" s="1" t="s">
        <v>4400</v>
      </c>
    </row>
    <row r="57" customFormat="false" ht="15" hidden="false" customHeight="true" outlineLevel="0" collapsed="false">
      <c r="B57" s="1" t="s">
        <v>4401</v>
      </c>
      <c r="C57" s="149" t="n">
        <v>0.23</v>
      </c>
      <c r="G57" s="1" t="s">
        <v>4402</v>
      </c>
      <c r="H57" s="1" t="s">
        <v>4403</v>
      </c>
      <c r="I57" s="1" t="s">
        <v>4404</v>
      </c>
    </row>
    <row r="59" customFormat="false" ht="15" hidden="false" customHeight="true" outlineLevel="0" collapsed="false">
      <c r="B59" s="1" t="s">
        <v>4405</v>
      </c>
      <c r="C59" s="94" t="n">
        <v>60</v>
      </c>
      <c r="G59" s="94" t="s">
        <v>4406</v>
      </c>
      <c r="H59" s="23" t="s">
        <v>4407</v>
      </c>
      <c r="I59" s="23" t="s">
        <v>4246</v>
      </c>
      <c r="J59" s="23" t="s">
        <v>4408</v>
      </c>
      <c r="K59" s="23" t="s">
        <v>4409</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4410</v>
      </c>
    </row>
    <row r="2" customFormat="false" ht="15" hidden="false" customHeight="true" outlineLevel="0" collapsed="false">
      <c r="B2" s="150" t="s">
        <v>4411</v>
      </c>
    </row>
    <row r="3" customFormat="false" ht="39.75" hidden="false" customHeight="true" outlineLevel="0" collapsed="false">
      <c r="B3" s="151" t="s">
        <v>4412</v>
      </c>
      <c r="C3" s="151"/>
      <c r="D3" s="151"/>
      <c r="E3" s="151"/>
      <c r="F3" s="151"/>
      <c r="G3" s="151"/>
    </row>
    <row r="4" customFormat="false" ht="15" hidden="false" customHeight="true" outlineLevel="0" collapsed="false">
      <c r="B4" s="23" t="s">
        <v>4413</v>
      </c>
    </row>
    <row r="5" customFormat="false" ht="15" hidden="false" customHeight="true" outlineLevel="0" collapsed="false">
      <c r="B5" s="15" t="s">
        <v>4414</v>
      </c>
      <c r="C5" s="16"/>
      <c r="D5" s="16"/>
      <c r="E5" s="16"/>
      <c r="F5" s="16"/>
      <c r="G5" s="16"/>
      <c r="H5" s="16"/>
    </row>
    <row r="6" customFormat="false" ht="15" hidden="false" customHeight="true" outlineLevel="0" collapsed="false">
      <c r="B6" s="18" t="s">
        <v>4415</v>
      </c>
      <c r="C6" s="18" t="s">
        <v>1521</v>
      </c>
      <c r="D6" s="18" t="s">
        <v>4416</v>
      </c>
      <c r="E6" s="18" t="s">
        <v>4417</v>
      </c>
      <c r="F6" s="18" t="s">
        <v>4418</v>
      </c>
      <c r="G6" s="18" t="s">
        <v>4419</v>
      </c>
      <c r="H6" s="18" t="s">
        <v>4420</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4421</v>
      </c>
    </row>
    <row r="8" customFormat="false" ht="15" hidden="false" customHeight="true" outlineLevel="0" collapsed="false">
      <c r="B8" s="15" t="s">
        <v>4422</v>
      </c>
      <c r="C8" s="16"/>
      <c r="D8" s="16"/>
      <c r="E8" s="16"/>
      <c r="F8" s="16"/>
      <c r="G8" s="16"/>
      <c r="H8" s="16"/>
    </row>
    <row r="9" customFormat="false" ht="15" hidden="false" customHeight="true" outlineLevel="0" collapsed="false">
      <c r="B9" s="18" t="s">
        <v>4415</v>
      </c>
      <c r="C9" s="18" t="s">
        <v>1521</v>
      </c>
      <c r="D9" s="18" t="s">
        <v>4416</v>
      </c>
      <c r="E9" s="18" t="s">
        <v>4417</v>
      </c>
      <c r="F9" s="18" t="s">
        <v>4418</v>
      </c>
      <c r="G9" s="18" t="s">
        <v>4419</v>
      </c>
      <c r="H9" s="18" t="s">
        <v>4420</v>
      </c>
    </row>
    <row r="10" customFormat="false" ht="24" hidden="false" customHeight="true" outlineLevel="0" collapsed="false">
      <c r="B10" s="9" t="s">
        <v>4423</v>
      </c>
      <c r="C10" s="153" t="n">
        <v>44000</v>
      </c>
      <c r="D10" s="19" t="s">
        <v>4424</v>
      </c>
      <c r="E10" s="152" t="s">
        <v>4425</v>
      </c>
      <c r="F10" s="19" t="s">
        <v>4426</v>
      </c>
      <c r="G10" s="154" t="s">
        <v>4427</v>
      </c>
      <c r="H10" s="152" t="s">
        <v>4428</v>
      </c>
    </row>
    <row r="11" customFormat="false" ht="24" hidden="false" customHeight="true" outlineLevel="0" collapsed="false">
      <c r="B11" s="9" t="s">
        <v>4429</v>
      </c>
      <c r="C11" s="153" t="n">
        <v>48000</v>
      </c>
      <c r="D11" s="19" t="s">
        <v>4430</v>
      </c>
      <c r="E11" s="152" t="s">
        <v>4431</v>
      </c>
      <c r="F11" s="19" t="s">
        <v>4426</v>
      </c>
      <c r="G11" s="154" t="s">
        <v>4432</v>
      </c>
      <c r="H11" s="152" t="s">
        <v>4433</v>
      </c>
    </row>
    <row r="12" customFormat="false" ht="24" hidden="false" customHeight="true" outlineLevel="0" collapsed="false">
      <c r="B12" s="9" t="s">
        <v>4434</v>
      </c>
      <c r="C12" s="153" t="n">
        <v>53000</v>
      </c>
      <c r="D12" s="19" t="s">
        <v>4430</v>
      </c>
      <c r="E12" s="152" t="s">
        <v>4425</v>
      </c>
      <c r="F12" s="19" t="s">
        <v>4426</v>
      </c>
      <c r="G12" s="154" t="s">
        <v>4427</v>
      </c>
      <c r="H12" s="152" t="s">
        <v>4435</v>
      </c>
    </row>
    <row r="13" customFormat="false" ht="24" hidden="false" customHeight="true" outlineLevel="0" collapsed="false">
      <c r="B13" s="9" t="s">
        <v>4436</v>
      </c>
      <c r="C13" s="153" t="n">
        <v>35000</v>
      </c>
      <c r="D13" s="19" t="s">
        <v>4430</v>
      </c>
      <c r="E13" s="152" t="s">
        <v>4425</v>
      </c>
      <c r="F13" s="19" t="s">
        <v>4426</v>
      </c>
      <c r="G13" s="154" t="s">
        <v>4427</v>
      </c>
      <c r="H13" s="152" t="s">
        <v>4437</v>
      </c>
    </row>
    <row r="14" customFormat="false" ht="24" hidden="false" customHeight="true" outlineLevel="0" collapsed="false">
      <c r="B14" s="9" t="s">
        <v>4438</v>
      </c>
      <c r="C14" s="155" t="n">
        <v>0.2</v>
      </c>
      <c r="D14" s="19" t="s">
        <v>4430</v>
      </c>
      <c r="E14" s="152" t="s">
        <v>4425</v>
      </c>
      <c r="F14" s="19" t="s">
        <v>4246</v>
      </c>
      <c r="G14" s="154" t="s">
        <v>4427</v>
      </c>
      <c r="H14" s="152" t="s">
        <v>4439</v>
      </c>
    </row>
    <row r="15" customFormat="false" ht="24" hidden="false" customHeight="true" outlineLevel="0" collapsed="false">
      <c r="B15" s="9" t="s">
        <v>4440</v>
      </c>
      <c r="C15" s="155" t="n">
        <v>0.4</v>
      </c>
      <c r="D15" s="19" t="s">
        <v>4441</v>
      </c>
      <c r="E15" s="152" t="s">
        <v>4425</v>
      </c>
      <c r="F15" s="19" t="s">
        <v>4246</v>
      </c>
      <c r="G15" s="154" t="s">
        <v>4427</v>
      </c>
      <c r="H15" s="152" t="s">
        <v>4439</v>
      </c>
    </row>
    <row r="16" customFormat="false" ht="24" hidden="false" customHeight="true" outlineLevel="0" collapsed="false">
      <c r="B16" s="9" t="s">
        <v>4442</v>
      </c>
      <c r="C16" s="153" t="n">
        <v>2000</v>
      </c>
      <c r="D16" s="19" t="s">
        <v>4430</v>
      </c>
      <c r="E16" s="152" t="s">
        <v>4425</v>
      </c>
      <c r="F16" s="19" t="s">
        <v>4246</v>
      </c>
      <c r="G16" s="154" t="s">
        <v>4427</v>
      </c>
      <c r="H16" s="152" t="s">
        <v>4443</v>
      </c>
    </row>
    <row r="17" customFormat="false" ht="24" hidden="false" customHeight="true" outlineLevel="0" collapsed="false">
      <c r="B17" s="9" t="s">
        <v>4444</v>
      </c>
      <c r="C17" s="153" t="n">
        <v>4000</v>
      </c>
      <c r="D17" s="19" t="s">
        <v>4430</v>
      </c>
      <c r="E17" s="152" t="s">
        <v>4425</v>
      </c>
      <c r="F17" s="19" t="s">
        <v>4246</v>
      </c>
      <c r="G17" s="154" t="s">
        <v>4427</v>
      </c>
      <c r="H17" s="152" t="s">
        <v>4443</v>
      </c>
    </row>
    <row r="18" customFormat="false" ht="24" hidden="false" customHeight="true" outlineLevel="0" collapsed="false">
      <c r="B18" s="9" t="s">
        <v>4445</v>
      </c>
      <c r="C18" s="153" t="n">
        <v>2000</v>
      </c>
      <c r="D18" s="19" t="s">
        <v>4430</v>
      </c>
      <c r="E18" s="152" t="s">
        <v>4446</v>
      </c>
      <c r="F18" s="19" t="s">
        <v>4246</v>
      </c>
      <c r="G18" s="154" t="s">
        <v>4427</v>
      </c>
      <c r="H18" s="152" t="s">
        <v>4447</v>
      </c>
    </row>
    <row r="19" customFormat="false" ht="24" hidden="false" customHeight="true" outlineLevel="0" collapsed="false">
      <c r="B19" s="9" t="s">
        <v>4448</v>
      </c>
      <c r="C19" s="155" t="n">
        <v>0.2</v>
      </c>
      <c r="D19" s="19" t="s">
        <v>4430</v>
      </c>
      <c r="E19" s="152" t="s">
        <v>4449</v>
      </c>
      <c r="F19" s="19" t="s">
        <v>4246</v>
      </c>
      <c r="G19" s="154" t="s">
        <v>4427</v>
      </c>
      <c r="H19" s="152" t="s">
        <v>4447</v>
      </c>
    </row>
    <row r="20" customFormat="false" ht="24" hidden="false" customHeight="true" outlineLevel="0" collapsed="false">
      <c r="B20" s="9" t="s">
        <v>4450</v>
      </c>
      <c r="C20" s="153" t="n">
        <v>1900</v>
      </c>
      <c r="D20" s="19" t="s">
        <v>4430</v>
      </c>
      <c r="E20" s="152" t="s">
        <v>4431</v>
      </c>
      <c r="F20" s="19" t="s">
        <v>4426</v>
      </c>
      <c r="G20" s="154" t="s">
        <v>4432</v>
      </c>
      <c r="H20" s="152" t="s">
        <v>4433</v>
      </c>
    </row>
    <row r="21" customFormat="false" ht="24" hidden="false" customHeight="true" outlineLevel="0" collapsed="false">
      <c r="B21" s="9" t="s">
        <v>4451</v>
      </c>
      <c r="C21" s="153" t="n">
        <v>1000</v>
      </c>
      <c r="D21" s="19" t="s">
        <v>4430</v>
      </c>
      <c r="E21" s="152" t="s">
        <v>4431</v>
      </c>
      <c r="F21" s="19" t="s">
        <v>4452</v>
      </c>
      <c r="G21" s="154" t="s">
        <v>4432</v>
      </c>
      <c r="H21" s="152" t="s">
        <v>4453</v>
      </c>
    </row>
    <row r="22" customFormat="false" ht="24" hidden="false" customHeight="true" outlineLevel="0" collapsed="false">
      <c r="B22" s="9" t="s">
        <v>4454</v>
      </c>
      <c r="C22" s="153" t="n">
        <v>2000</v>
      </c>
      <c r="D22" s="19" t="s">
        <v>4430</v>
      </c>
      <c r="E22" s="152" t="s">
        <v>4431</v>
      </c>
      <c r="F22" s="19" t="s">
        <v>4452</v>
      </c>
      <c r="G22" s="154" t="s">
        <v>4432</v>
      </c>
      <c r="H22" s="152" t="s">
        <v>4453</v>
      </c>
    </row>
    <row r="23" customFormat="false" ht="24" hidden="false" customHeight="true" outlineLevel="0" collapsed="false">
      <c r="B23" s="9" t="s">
        <v>4455</v>
      </c>
      <c r="C23" s="153" t="n">
        <v>1950</v>
      </c>
      <c r="D23" s="19" t="s">
        <v>4430</v>
      </c>
      <c r="E23" s="152" t="s">
        <v>4431</v>
      </c>
      <c r="F23" s="19" t="s">
        <v>4246</v>
      </c>
      <c r="G23" s="154" t="s">
        <v>4456</v>
      </c>
      <c r="H23" s="152" t="s">
        <v>4457</v>
      </c>
    </row>
    <row r="24" customFormat="false" ht="15" hidden="false" customHeight="true" outlineLevel="0" collapsed="false">
      <c r="B24" s="15" t="s">
        <v>4458</v>
      </c>
      <c r="C24" s="16"/>
      <c r="D24" s="16"/>
      <c r="E24" s="16"/>
      <c r="F24" s="16"/>
      <c r="G24" s="16"/>
      <c r="H24" s="16"/>
    </row>
    <row r="25" customFormat="false" ht="15" hidden="false" customHeight="true" outlineLevel="0" collapsed="false">
      <c r="B25" s="18" t="s">
        <v>4415</v>
      </c>
      <c r="C25" s="18" t="s">
        <v>1521</v>
      </c>
      <c r="D25" s="18" t="s">
        <v>4416</v>
      </c>
      <c r="E25" s="18" t="s">
        <v>4417</v>
      </c>
      <c r="F25" s="18" t="s">
        <v>4418</v>
      </c>
      <c r="G25" s="18" t="s">
        <v>4419</v>
      </c>
      <c r="H25" s="18" t="s">
        <v>4420</v>
      </c>
    </row>
    <row r="26" customFormat="false" ht="24" hidden="false" customHeight="true" outlineLevel="0" collapsed="false">
      <c r="B26" s="9" t="s">
        <v>4459</v>
      </c>
      <c r="C26" s="153" t="n">
        <v>13000</v>
      </c>
      <c r="D26" s="19" t="s">
        <v>4430</v>
      </c>
      <c r="E26" s="152" t="s">
        <v>4425</v>
      </c>
      <c r="F26" s="19" t="s">
        <v>4246</v>
      </c>
      <c r="G26" s="154" t="s">
        <v>4427</v>
      </c>
      <c r="H26" s="152" t="s">
        <v>4460</v>
      </c>
    </row>
    <row r="27" customFormat="false" ht="24" hidden="false" customHeight="true" outlineLevel="0" collapsed="false">
      <c r="B27" s="9" t="s">
        <v>4461</v>
      </c>
      <c r="C27" s="153" t="n">
        <v>12012</v>
      </c>
      <c r="D27" s="19" t="s">
        <v>4430</v>
      </c>
      <c r="E27" s="152" t="s">
        <v>4425</v>
      </c>
      <c r="F27" s="19" t="s">
        <v>4426</v>
      </c>
      <c r="G27" s="154" t="s">
        <v>4427</v>
      </c>
      <c r="H27" s="152" t="s">
        <v>4462</v>
      </c>
    </row>
    <row r="28" customFormat="false" ht="24" hidden="false" customHeight="true" outlineLevel="0" collapsed="false">
      <c r="B28" s="9" t="s">
        <v>4463</v>
      </c>
      <c r="C28" s="153" t="n">
        <v>28700</v>
      </c>
      <c r="D28" s="19" t="s">
        <v>4430</v>
      </c>
      <c r="E28" s="152" t="s">
        <v>4425</v>
      </c>
      <c r="F28" s="19" t="s">
        <v>4426</v>
      </c>
      <c r="G28" s="154" t="s">
        <v>4427</v>
      </c>
      <c r="H28" s="152" t="s">
        <v>4462</v>
      </c>
    </row>
    <row r="29" customFormat="false" ht="24" hidden="false" customHeight="true" outlineLevel="0" collapsed="false">
      <c r="B29" s="9" t="s">
        <v>4464</v>
      </c>
      <c r="C29" s="153" t="n">
        <v>70044</v>
      </c>
      <c r="D29" s="19" t="s">
        <v>4430</v>
      </c>
      <c r="E29" s="152" t="s">
        <v>4425</v>
      </c>
      <c r="F29" s="19" t="s">
        <v>4426</v>
      </c>
      <c r="G29" s="154" t="s">
        <v>4427</v>
      </c>
      <c r="H29" s="152" t="s">
        <v>4462</v>
      </c>
    </row>
    <row r="30" customFormat="false" ht="24" hidden="false" customHeight="true" outlineLevel="0" collapsed="false">
      <c r="B30" s="9" t="s">
        <v>4465</v>
      </c>
      <c r="C30" s="156" t="n">
        <v>0.005</v>
      </c>
      <c r="D30" s="19" t="s">
        <v>4430</v>
      </c>
      <c r="E30" s="152" t="s">
        <v>4425</v>
      </c>
      <c r="F30" s="19" t="s">
        <v>4246</v>
      </c>
      <c r="G30" s="154" t="s">
        <v>4427</v>
      </c>
      <c r="H30" s="152" t="s">
        <v>4462</v>
      </c>
    </row>
    <row r="31" customFormat="false" ht="24" hidden="false" customHeight="true" outlineLevel="0" collapsed="false">
      <c r="B31" s="9" t="s">
        <v>4466</v>
      </c>
      <c r="C31" s="156" t="n">
        <v>0.02</v>
      </c>
      <c r="D31" s="19" t="s">
        <v>4430</v>
      </c>
      <c r="E31" s="152" t="s">
        <v>4425</v>
      </c>
      <c r="F31" s="19" t="s">
        <v>4246</v>
      </c>
      <c r="G31" s="154" t="s">
        <v>4427</v>
      </c>
      <c r="H31" s="152" t="s">
        <v>4462</v>
      </c>
    </row>
    <row r="32" customFormat="false" ht="24" hidden="false" customHeight="true" outlineLevel="0" collapsed="false">
      <c r="B32" s="9" t="s">
        <v>4467</v>
      </c>
      <c r="C32" s="156" t="n">
        <v>0.03</v>
      </c>
      <c r="D32" s="19" t="s">
        <v>4430</v>
      </c>
      <c r="E32" s="152" t="s">
        <v>4425</v>
      </c>
      <c r="F32" s="19" t="s">
        <v>4246</v>
      </c>
      <c r="G32" s="154" t="s">
        <v>4427</v>
      </c>
      <c r="H32" s="152" t="s">
        <v>4462</v>
      </c>
    </row>
    <row r="33" customFormat="false" ht="24" hidden="false" customHeight="true" outlineLevel="0" collapsed="false">
      <c r="B33" s="9" t="s">
        <v>4468</v>
      </c>
      <c r="C33" s="156" t="n">
        <v>0.08</v>
      </c>
      <c r="D33" s="19" t="s">
        <v>4430</v>
      </c>
      <c r="E33" s="152" t="s">
        <v>4425</v>
      </c>
      <c r="F33" s="19" t="s">
        <v>4246</v>
      </c>
      <c r="G33" s="154" t="s">
        <v>4427</v>
      </c>
      <c r="H33" s="152" t="s">
        <v>4462</v>
      </c>
    </row>
    <row r="34" customFormat="false" ht="39.75" hidden="false" customHeight="true" outlineLevel="0" collapsed="false">
      <c r="B34" s="17" t="s">
        <v>4469</v>
      </c>
      <c r="C34" s="17"/>
      <c r="D34" s="17"/>
      <c r="E34" s="152" t="s">
        <v>4425</v>
      </c>
    </row>
    <row r="35" customFormat="false" ht="15" hidden="false" customHeight="true" outlineLevel="0" collapsed="false">
      <c r="B35" s="15" t="s">
        <v>4470</v>
      </c>
      <c r="C35" s="16"/>
      <c r="D35" s="16"/>
      <c r="E35" s="16"/>
      <c r="F35" s="16"/>
      <c r="G35" s="16"/>
      <c r="H35" s="16"/>
    </row>
    <row r="36" customFormat="false" ht="15" hidden="false" customHeight="true" outlineLevel="0" collapsed="false">
      <c r="B36" s="18" t="s">
        <v>4415</v>
      </c>
      <c r="C36" s="18" t="s">
        <v>1521</v>
      </c>
      <c r="D36" s="18" t="s">
        <v>4416</v>
      </c>
      <c r="E36" s="18" t="s">
        <v>4417</v>
      </c>
      <c r="F36" s="18" t="s">
        <v>4418</v>
      </c>
      <c r="G36" s="18" t="s">
        <v>4419</v>
      </c>
      <c r="H36" s="18" t="s">
        <v>4420</v>
      </c>
    </row>
    <row r="37" customFormat="false" ht="24" hidden="false" customHeight="true" outlineLevel="0" collapsed="false">
      <c r="B37" s="9" t="s">
        <v>4471</v>
      </c>
      <c r="C37" s="157" t="n">
        <v>0.0435</v>
      </c>
      <c r="D37" s="19" t="s">
        <v>4430</v>
      </c>
      <c r="E37" s="152" t="s">
        <v>4472</v>
      </c>
      <c r="F37" s="19" t="s">
        <v>4473</v>
      </c>
      <c r="G37" s="154" t="s">
        <v>4427</v>
      </c>
      <c r="H37" s="152" t="s">
        <v>4474</v>
      </c>
    </row>
    <row r="38" customFormat="false" ht="24" hidden="false" customHeight="true" outlineLevel="0" collapsed="false">
      <c r="B38" s="9" t="s">
        <v>4475</v>
      </c>
      <c r="C38" s="158" t="n">
        <v>0.042375</v>
      </c>
      <c r="D38" s="19" t="s">
        <v>4476</v>
      </c>
      <c r="E38" s="152" t="s">
        <v>4472</v>
      </c>
      <c r="F38" s="19" t="s">
        <v>4246</v>
      </c>
      <c r="G38" s="154" t="s">
        <v>4427</v>
      </c>
      <c r="H38" s="152" t="s">
        <v>4477</v>
      </c>
    </row>
    <row r="39" customFormat="false" ht="24" hidden="false" customHeight="true" outlineLevel="0" collapsed="false">
      <c r="B39" s="9" t="s">
        <v>4478</v>
      </c>
      <c r="C39" s="153" t="n">
        <v>352</v>
      </c>
      <c r="D39" s="19" t="s">
        <v>4430</v>
      </c>
      <c r="E39" s="152" t="s">
        <v>4479</v>
      </c>
      <c r="F39" s="19" t="s">
        <v>4246</v>
      </c>
      <c r="G39" s="154" t="s">
        <v>4427</v>
      </c>
      <c r="H39" s="152" t="s">
        <v>4480</v>
      </c>
    </row>
    <row r="40" customFormat="false" ht="24" hidden="false" customHeight="true" outlineLevel="0" collapsed="false">
      <c r="B40" s="9" t="s">
        <v>4481</v>
      </c>
      <c r="C40" s="153" t="n">
        <v>12</v>
      </c>
      <c r="D40" s="19" t="s">
        <v>4430</v>
      </c>
      <c r="E40" s="152" t="s">
        <v>4449</v>
      </c>
      <c r="F40" s="19" t="s">
        <v>4246</v>
      </c>
      <c r="G40" s="154" t="s">
        <v>4427</v>
      </c>
      <c r="H40" s="152" t="s">
        <v>4480</v>
      </c>
    </row>
    <row r="41" customFormat="false" ht="24" hidden="false" customHeight="true" outlineLevel="0" collapsed="false">
      <c r="B41" s="9" t="s">
        <v>4482</v>
      </c>
      <c r="C41" s="153" t="n">
        <v>424</v>
      </c>
      <c r="D41" s="19" t="s">
        <v>4430</v>
      </c>
      <c r="E41" s="152" t="s">
        <v>4449</v>
      </c>
      <c r="F41" s="19" t="s">
        <v>4246</v>
      </c>
      <c r="G41" s="154" t="s">
        <v>4427</v>
      </c>
      <c r="H41" s="152" t="s">
        <v>4480</v>
      </c>
    </row>
    <row r="42" customFormat="false" ht="24" hidden="false" customHeight="true" outlineLevel="0" collapsed="false">
      <c r="B42" s="9" t="s">
        <v>4483</v>
      </c>
      <c r="C42" s="159" t="n">
        <v>6</v>
      </c>
      <c r="D42" s="19" t="s">
        <v>4430</v>
      </c>
      <c r="E42" s="152" t="s">
        <v>4449</v>
      </c>
      <c r="F42" s="19" t="s">
        <v>4246</v>
      </c>
      <c r="G42" s="154" t="s">
        <v>4427</v>
      </c>
      <c r="H42" s="152" t="s">
        <v>4480</v>
      </c>
    </row>
    <row r="43" customFormat="false" ht="39.75" hidden="false" customHeight="true" outlineLevel="0" collapsed="false">
      <c r="B43" s="17" t="s">
        <v>4484</v>
      </c>
      <c r="C43" s="17"/>
      <c r="D43" s="17"/>
      <c r="E43" s="152" t="s">
        <v>4485</v>
      </c>
    </row>
    <row r="44" customFormat="false" ht="15" hidden="false" customHeight="true" outlineLevel="0" collapsed="false">
      <c r="B44" s="15" t="s">
        <v>4486</v>
      </c>
      <c r="C44" s="16"/>
      <c r="D44" s="16"/>
      <c r="E44" s="16"/>
      <c r="F44" s="16"/>
      <c r="G44" s="16"/>
      <c r="H44" s="16"/>
    </row>
    <row r="45" customFormat="false" ht="15" hidden="false" customHeight="true" outlineLevel="0" collapsed="false">
      <c r="B45" s="18" t="s">
        <v>4415</v>
      </c>
      <c r="C45" s="18" t="s">
        <v>1521</v>
      </c>
      <c r="D45" s="18" t="s">
        <v>4416</v>
      </c>
      <c r="E45" s="18" t="s">
        <v>4417</v>
      </c>
      <c r="F45" s="18" t="s">
        <v>4418</v>
      </c>
      <c r="G45" s="18" t="s">
        <v>4419</v>
      </c>
      <c r="H45" s="18" t="s">
        <v>4420</v>
      </c>
    </row>
    <row r="46" customFormat="false" ht="15" hidden="false" customHeight="true" outlineLevel="0" collapsed="false">
      <c r="B46" s="9" t="s">
        <v>4487</v>
      </c>
      <c r="C46" s="160" t="n">
        <v>0</v>
      </c>
      <c r="D46" s="155" t="n">
        <v>0.15</v>
      </c>
      <c r="E46" s="161" t="s">
        <v>4488</v>
      </c>
      <c r="F46" s="14" t="s">
        <v>4489</v>
      </c>
      <c r="G46" s="162" t="s">
        <v>4432</v>
      </c>
      <c r="H46" s="161" t="s">
        <v>4490</v>
      </c>
    </row>
    <row r="47" customFormat="false" ht="15" hidden="false" customHeight="true" outlineLevel="0" collapsed="false">
      <c r="B47" s="9" t="s">
        <v>4491</v>
      </c>
      <c r="C47" s="160" t="n">
        <v>30</v>
      </c>
      <c r="D47" s="155" t="n">
        <v>0.2</v>
      </c>
      <c r="E47" s="161" t="s">
        <v>4488</v>
      </c>
      <c r="F47" s="14" t="s">
        <v>4489</v>
      </c>
      <c r="G47" s="162" t="s">
        <v>4432</v>
      </c>
      <c r="H47" s="161" t="s">
        <v>4490</v>
      </c>
    </row>
    <row r="48" customFormat="false" ht="15" hidden="false" customHeight="true" outlineLevel="0" collapsed="false">
      <c r="B48" s="9" t="s">
        <v>4492</v>
      </c>
      <c r="C48" s="160" t="n">
        <v>40</v>
      </c>
      <c r="D48" s="155" t="n">
        <v>0.25</v>
      </c>
      <c r="E48" s="161" t="s">
        <v>4488</v>
      </c>
      <c r="F48" s="14" t="s">
        <v>4489</v>
      </c>
      <c r="G48" s="162" t="s">
        <v>4432</v>
      </c>
      <c r="H48" s="161" t="s">
        <v>4490</v>
      </c>
    </row>
    <row r="49" customFormat="false" ht="15" hidden="false" customHeight="true" outlineLevel="0" collapsed="false">
      <c r="B49" s="9" t="s">
        <v>4493</v>
      </c>
      <c r="C49" s="160" t="n">
        <v>50</v>
      </c>
      <c r="D49" s="155" t="n">
        <v>0.3</v>
      </c>
      <c r="E49" s="161" t="s">
        <v>4488</v>
      </c>
      <c r="F49" s="14" t="s">
        <v>4489</v>
      </c>
      <c r="G49" s="162" t="s">
        <v>4432</v>
      </c>
      <c r="H49" s="161" t="s">
        <v>4490</v>
      </c>
    </row>
    <row r="50" customFormat="false" ht="15" hidden="false" customHeight="true" outlineLevel="0" collapsed="false">
      <c r="B50" s="9" t="s">
        <v>4494</v>
      </c>
      <c r="C50" s="160" t="n">
        <v>55</v>
      </c>
      <c r="D50" s="155" t="n">
        <v>0.35</v>
      </c>
      <c r="E50" s="161" t="s">
        <v>4488</v>
      </c>
      <c r="F50" s="14" t="s">
        <v>4489</v>
      </c>
      <c r="G50" s="162" t="s">
        <v>4432</v>
      </c>
      <c r="H50" s="161" t="s">
        <v>4490</v>
      </c>
    </row>
    <row r="51" customFormat="false" ht="15" hidden="false" customHeight="true" outlineLevel="0" collapsed="false">
      <c r="B51" s="9" t="s">
        <v>4495</v>
      </c>
      <c r="C51" s="160" t="n">
        <v>60</v>
      </c>
      <c r="D51" s="155" t="n">
        <v>0.4</v>
      </c>
      <c r="E51" s="161" t="s">
        <v>4488</v>
      </c>
      <c r="F51" s="14" t="s">
        <v>4489</v>
      </c>
      <c r="G51" s="162" t="s">
        <v>4432</v>
      </c>
      <c r="H51" s="161" t="s">
        <v>4490</v>
      </c>
    </row>
    <row r="52" customFormat="false" ht="24" hidden="false" customHeight="true" outlineLevel="0" collapsed="false">
      <c r="B52" s="9" t="s">
        <v>4496</v>
      </c>
      <c r="C52" s="153" t="n">
        <v>115000</v>
      </c>
      <c r="D52" s="19" t="s">
        <v>138</v>
      </c>
      <c r="E52" s="152" t="s">
        <v>4488</v>
      </c>
      <c r="F52" s="19" t="s">
        <v>4489</v>
      </c>
      <c r="G52" s="154" t="s">
        <v>4432</v>
      </c>
      <c r="H52" s="152" t="s">
        <v>4497</v>
      </c>
    </row>
    <row r="53" customFormat="false" ht="24" hidden="false" customHeight="true" outlineLevel="0" collapsed="false">
      <c r="B53" s="9" t="s">
        <v>4498</v>
      </c>
      <c r="C53" s="155" t="n">
        <v>0.25</v>
      </c>
      <c r="D53" s="19" t="s">
        <v>59</v>
      </c>
      <c r="E53" s="152" t="s">
        <v>4499</v>
      </c>
      <c r="F53" s="19" t="s">
        <v>4500</v>
      </c>
      <c r="G53" s="154" t="s">
        <v>4432</v>
      </c>
      <c r="H53" s="152" t="s">
        <v>4501</v>
      </c>
    </row>
    <row r="54" customFormat="false" ht="24" hidden="false" customHeight="true" outlineLevel="0" collapsed="false">
      <c r="B54" s="9" t="s">
        <v>4502</v>
      </c>
      <c r="C54" s="153" t="n">
        <v>200000</v>
      </c>
      <c r="D54" s="19" t="s">
        <v>59</v>
      </c>
      <c r="E54" s="152" t="s">
        <v>4499</v>
      </c>
      <c r="F54" s="19" t="s">
        <v>4500</v>
      </c>
      <c r="G54" s="154" t="s">
        <v>4432</v>
      </c>
      <c r="H54" s="152" t="s">
        <v>4501</v>
      </c>
    </row>
    <row r="55" customFormat="false" ht="24" hidden="false" customHeight="true" outlineLevel="0" collapsed="false">
      <c r="B55" s="9" t="s">
        <v>4503</v>
      </c>
      <c r="C55" s="153" t="n">
        <v>500000</v>
      </c>
      <c r="D55" s="19" t="s">
        <v>59</v>
      </c>
      <c r="E55" s="152" t="s">
        <v>4499</v>
      </c>
      <c r="F55" s="19" t="s">
        <v>4500</v>
      </c>
      <c r="G55" s="154" t="s">
        <v>4432</v>
      </c>
      <c r="H55" s="152" t="s">
        <v>4501</v>
      </c>
    </row>
    <row r="56" customFormat="false" ht="24" hidden="false" customHeight="true" outlineLevel="0" collapsed="false">
      <c r="B56" s="9" t="s">
        <v>4504</v>
      </c>
      <c r="C56" s="155" t="n">
        <v>0.2</v>
      </c>
      <c r="D56" s="19" t="s">
        <v>59</v>
      </c>
      <c r="E56" s="152" t="s">
        <v>4499</v>
      </c>
      <c r="F56" s="19" t="s">
        <v>4500</v>
      </c>
      <c r="G56" s="154" t="s">
        <v>4432</v>
      </c>
      <c r="H56" s="152" t="s">
        <v>4501</v>
      </c>
    </row>
    <row r="57" customFormat="false" ht="24" hidden="false" customHeight="true" outlineLevel="0" collapsed="false">
      <c r="B57" s="9" t="s">
        <v>4505</v>
      </c>
      <c r="C57" s="153" t="n">
        <v>2200000</v>
      </c>
      <c r="D57" s="19" t="s">
        <v>4506</v>
      </c>
      <c r="E57" s="152" t="s">
        <v>4499</v>
      </c>
      <c r="F57" s="19" t="s">
        <v>4426</v>
      </c>
      <c r="G57" s="154" t="s">
        <v>4432</v>
      </c>
      <c r="H57" s="152" t="s">
        <v>4507</v>
      </c>
    </row>
    <row r="58" customFormat="false" ht="24" hidden="false" customHeight="true" outlineLevel="0" collapsed="false">
      <c r="B58" s="9" t="s">
        <v>4508</v>
      </c>
      <c r="C58" s="155" t="n">
        <v>0.4</v>
      </c>
      <c r="D58" s="19" t="s">
        <v>4506</v>
      </c>
      <c r="E58" s="152" t="s">
        <v>4499</v>
      </c>
      <c r="F58" s="19" t="s">
        <v>4509</v>
      </c>
      <c r="G58" s="154" t="s">
        <v>4432</v>
      </c>
      <c r="H58" s="152" t="s">
        <v>4507</v>
      </c>
    </row>
    <row r="59" customFormat="false" ht="24" hidden="false" customHeight="true" outlineLevel="0" collapsed="false">
      <c r="B59" s="9" t="s">
        <v>4510</v>
      </c>
      <c r="C59" s="159" t="n">
        <v>60</v>
      </c>
      <c r="D59" s="19" t="s">
        <v>4506</v>
      </c>
      <c r="E59" s="152" t="s">
        <v>4511</v>
      </c>
      <c r="F59" s="19" t="s">
        <v>4509</v>
      </c>
      <c r="G59" s="154" t="s">
        <v>4512</v>
      </c>
      <c r="H59" s="152" t="s">
        <v>4513</v>
      </c>
    </row>
    <row r="60" customFormat="false" ht="39.75" hidden="false" customHeight="true" outlineLevel="0" collapsed="false">
      <c r="B60" s="17" t="s">
        <v>4514</v>
      </c>
      <c r="C60" s="17"/>
      <c r="D60" s="17"/>
      <c r="E60" s="152" t="s">
        <v>4515</v>
      </c>
    </row>
    <row r="61" customFormat="false" ht="15" hidden="false" customHeight="true" outlineLevel="0" collapsed="false">
      <c r="B61" s="15" t="s">
        <v>4516</v>
      </c>
      <c r="C61" s="16"/>
      <c r="D61" s="16"/>
      <c r="E61" s="16"/>
      <c r="F61" s="16"/>
      <c r="G61" s="16"/>
      <c r="H61" s="16"/>
    </row>
    <row r="62" customFormat="false" ht="15" hidden="false" customHeight="true" outlineLevel="0" collapsed="false">
      <c r="B62" s="18" t="s">
        <v>4415</v>
      </c>
      <c r="C62" s="18" t="s">
        <v>1521</v>
      </c>
      <c r="D62" s="18" t="s">
        <v>4416</v>
      </c>
      <c r="E62" s="18" t="s">
        <v>4417</v>
      </c>
      <c r="F62" s="18" t="s">
        <v>4418</v>
      </c>
      <c r="G62" s="18" t="s">
        <v>4419</v>
      </c>
      <c r="H62" s="18" t="s">
        <v>4420</v>
      </c>
    </row>
    <row r="63" customFormat="false" ht="24" hidden="false" customHeight="true" outlineLevel="0" collapsed="false">
      <c r="B63" s="9" t="s">
        <v>4517</v>
      </c>
      <c r="C63" s="163" t="n">
        <v>299.3</v>
      </c>
      <c r="D63" s="19" t="s">
        <v>4518</v>
      </c>
      <c r="E63" s="152" t="s">
        <v>4519</v>
      </c>
      <c r="F63" s="19" t="s">
        <v>4426</v>
      </c>
      <c r="G63" s="154" t="s">
        <v>4427</v>
      </c>
      <c r="H63" s="152" t="s">
        <v>4520</v>
      </c>
    </row>
    <row r="64" customFormat="false" ht="24" hidden="false" customHeight="true" outlineLevel="0" collapsed="false">
      <c r="B64" s="9" t="s">
        <v>4521</v>
      </c>
      <c r="C64" s="163" t="n">
        <f aca="false">State_Pension_Week*Weeks_Per_Year</f>
        <v>15563.6</v>
      </c>
      <c r="D64" s="19" t="s">
        <v>4522</v>
      </c>
      <c r="E64" s="152" t="s">
        <v>4519</v>
      </c>
      <c r="F64" s="19" t="s">
        <v>4426</v>
      </c>
      <c r="G64" s="154" t="s">
        <v>4427</v>
      </c>
      <c r="H64" s="152" t="s">
        <v>4520</v>
      </c>
    </row>
    <row r="65" customFormat="false" ht="24" hidden="false" customHeight="true" outlineLevel="0" collapsed="false">
      <c r="B65" s="9" t="s">
        <v>4523</v>
      </c>
      <c r="C65" s="159" t="n">
        <v>66</v>
      </c>
      <c r="D65" s="19" t="s">
        <v>4524</v>
      </c>
      <c r="E65" s="152" t="s">
        <v>4525</v>
      </c>
      <c r="F65" s="19" t="s">
        <v>4509</v>
      </c>
      <c r="G65" s="154" t="s">
        <v>4427</v>
      </c>
      <c r="H65" s="152" t="s">
        <v>4526</v>
      </c>
    </row>
    <row r="66" customFormat="false" ht="24" hidden="false" customHeight="true" outlineLevel="0" collapsed="false">
      <c r="B66" s="9" t="s">
        <v>4527</v>
      </c>
      <c r="C66" s="163" t="n">
        <v>259.5</v>
      </c>
      <c r="D66" s="19" t="s">
        <v>78</v>
      </c>
      <c r="E66" s="152" t="s">
        <v>4528</v>
      </c>
      <c r="F66" s="19" t="s">
        <v>4426</v>
      </c>
      <c r="G66" s="154" t="s">
        <v>4432</v>
      </c>
      <c r="H66" s="152" t="s">
        <v>4529</v>
      </c>
    </row>
    <row r="67" customFormat="false" ht="24" hidden="false" customHeight="true" outlineLevel="0" collapsed="false">
      <c r="B67" s="9" t="s">
        <v>4530</v>
      </c>
      <c r="C67" s="163" t="n">
        <v>299.3</v>
      </c>
      <c r="D67" s="19" t="s">
        <v>4531</v>
      </c>
      <c r="E67" s="152" t="s">
        <v>4449</v>
      </c>
      <c r="F67" s="19" t="s">
        <v>4426</v>
      </c>
      <c r="G67" s="154" t="s">
        <v>4432</v>
      </c>
      <c r="H67" s="152" t="s">
        <v>4529</v>
      </c>
    </row>
    <row r="68" customFormat="false" ht="24" hidden="false" customHeight="true" outlineLevel="0" collapsed="false">
      <c r="B68" s="9" t="s">
        <v>4532</v>
      </c>
      <c r="C68" s="163" t="n">
        <v>254</v>
      </c>
      <c r="D68" s="19" t="s">
        <v>81</v>
      </c>
      <c r="E68" s="152" t="s">
        <v>4533</v>
      </c>
      <c r="F68" s="19" t="s">
        <v>4426</v>
      </c>
      <c r="G68" s="154" t="s">
        <v>4432</v>
      </c>
      <c r="H68" s="152" t="s">
        <v>4534</v>
      </c>
    </row>
    <row r="69" customFormat="false" ht="24" hidden="false" customHeight="true" outlineLevel="0" collapsed="false">
      <c r="B69" s="9" t="s">
        <v>4535</v>
      </c>
      <c r="C69" s="155" t="n">
        <v>0.75</v>
      </c>
      <c r="D69" s="19" t="s">
        <v>81</v>
      </c>
      <c r="E69" s="152" t="s">
        <v>4536</v>
      </c>
      <c r="F69" s="19" t="s">
        <v>4537</v>
      </c>
      <c r="G69" s="154" t="s">
        <v>4538</v>
      </c>
      <c r="H69" s="152" t="s">
        <v>4539</v>
      </c>
    </row>
    <row r="70" customFormat="false" ht="24" hidden="false" customHeight="true" outlineLevel="0" collapsed="false">
      <c r="B70" s="9" t="s">
        <v>4540</v>
      </c>
      <c r="C70" s="159" t="n">
        <v>52</v>
      </c>
      <c r="D70" s="19" t="s">
        <v>4541</v>
      </c>
      <c r="E70" s="152" t="s">
        <v>4542</v>
      </c>
      <c r="F70" s="19" t="s">
        <v>4378</v>
      </c>
      <c r="G70" s="152" t="s">
        <v>3</v>
      </c>
      <c r="H70" s="152" t="s">
        <v>4378</v>
      </c>
    </row>
    <row r="71" customFormat="false" ht="15" hidden="false" customHeight="true" outlineLevel="0" collapsed="false">
      <c r="B71" s="15" t="s">
        <v>4543</v>
      </c>
      <c r="C71" s="16"/>
      <c r="D71" s="16"/>
      <c r="E71" s="16"/>
      <c r="F71" s="16"/>
      <c r="G71" s="16"/>
      <c r="H71" s="16"/>
    </row>
    <row r="72" customFormat="false" ht="15" hidden="false" customHeight="true" outlineLevel="0" collapsed="false">
      <c r="B72" s="18" t="s">
        <v>4415</v>
      </c>
      <c r="C72" s="18" t="s">
        <v>1521</v>
      </c>
      <c r="D72" s="18" t="s">
        <v>4416</v>
      </c>
      <c r="E72" s="18" t="s">
        <v>4417</v>
      </c>
      <c r="F72" s="18" t="s">
        <v>4418</v>
      </c>
      <c r="G72" s="18" t="s">
        <v>4419</v>
      </c>
      <c r="H72" s="18" t="s">
        <v>4420</v>
      </c>
    </row>
    <row r="73" customFormat="false" ht="24" hidden="false" customHeight="true" outlineLevel="0" collapsed="false">
      <c r="B73" s="9" t="s">
        <v>4544</v>
      </c>
      <c r="C73" s="155" t="n">
        <v>0.33</v>
      </c>
      <c r="D73" s="19" t="s">
        <v>4545</v>
      </c>
      <c r="E73" s="152" t="s">
        <v>4546</v>
      </c>
      <c r="F73" s="19" t="s">
        <v>4246</v>
      </c>
      <c r="G73" s="154" t="s">
        <v>4432</v>
      </c>
      <c r="H73" s="152" t="s">
        <v>4547</v>
      </c>
    </row>
    <row r="74" customFormat="false" ht="24" hidden="false" customHeight="true" outlineLevel="0" collapsed="false">
      <c r="B74" s="9" t="s">
        <v>4548</v>
      </c>
      <c r="C74" s="155" t="n">
        <v>0.38</v>
      </c>
      <c r="D74" s="19" t="s">
        <v>4545</v>
      </c>
      <c r="E74" s="152" t="s">
        <v>4549</v>
      </c>
      <c r="F74" s="19" t="s">
        <v>4426</v>
      </c>
      <c r="G74" s="154" t="s">
        <v>4427</v>
      </c>
      <c r="H74" s="152" t="s">
        <v>4550</v>
      </c>
    </row>
    <row r="75" customFormat="false" ht="24" hidden="false" customHeight="true" outlineLevel="0" collapsed="false">
      <c r="B75" s="9" t="s">
        <v>4551</v>
      </c>
      <c r="C75" s="159" t="n">
        <v>8</v>
      </c>
      <c r="D75" s="19" t="s">
        <v>4552</v>
      </c>
      <c r="E75" s="152" t="s">
        <v>4553</v>
      </c>
      <c r="F75" s="19" t="s">
        <v>4246</v>
      </c>
      <c r="G75" s="154" t="s">
        <v>4432</v>
      </c>
      <c r="H75" s="152" t="s">
        <v>4554</v>
      </c>
    </row>
    <row r="76" customFormat="false" ht="24" hidden="false" customHeight="true" outlineLevel="0" collapsed="false">
      <c r="B76" s="9" t="s">
        <v>4555</v>
      </c>
      <c r="C76" s="155" t="n">
        <v>0.01</v>
      </c>
      <c r="D76" s="19" t="s">
        <v>4556</v>
      </c>
      <c r="E76" s="152" t="s">
        <v>4557</v>
      </c>
      <c r="F76" s="19" t="s">
        <v>4246</v>
      </c>
      <c r="G76" s="154" t="s">
        <v>4427</v>
      </c>
      <c r="H76" s="152" t="s">
        <v>4558</v>
      </c>
    </row>
    <row r="77" customFormat="false" ht="15" hidden="false" customHeight="true" outlineLevel="0" collapsed="false">
      <c r="B77" s="15" t="s">
        <v>4559</v>
      </c>
      <c r="C77" s="16"/>
      <c r="D77" s="16"/>
      <c r="E77" s="16"/>
      <c r="F77" s="16"/>
      <c r="G77" s="16"/>
      <c r="H77" s="16"/>
    </row>
    <row r="78" customFormat="false" ht="15" hidden="false" customHeight="true" outlineLevel="0" collapsed="false">
      <c r="B78" s="18" t="s">
        <v>4415</v>
      </c>
      <c r="C78" s="18" t="s">
        <v>1521</v>
      </c>
      <c r="D78" s="18" t="s">
        <v>4416</v>
      </c>
      <c r="E78" s="18" t="s">
        <v>4417</v>
      </c>
      <c r="F78" s="18" t="s">
        <v>4418</v>
      </c>
      <c r="G78" s="18" t="s">
        <v>4419</v>
      </c>
      <c r="H78" s="18" t="s">
        <v>4420</v>
      </c>
    </row>
    <row r="79" customFormat="false" ht="24" hidden="false" customHeight="true" outlineLevel="0" collapsed="false">
      <c r="B79" s="9" t="s">
        <v>4560</v>
      </c>
      <c r="C79" s="164" t="n">
        <v>4</v>
      </c>
      <c r="D79" s="19" t="s">
        <v>34</v>
      </c>
      <c r="E79" s="152" t="s">
        <v>4561</v>
      </c>
      <c r="F79" s="19" t="s">
        <v>4562</v>
      </c>
      <c r="G79" s="154" t="s">
        <v>4427</v>
      </c>
      <c r="H79" s="152" t="s">
        <v>4563</v>
      </c>
    </row>
    <row r="80" customFormat="false" ht="24" hidden="false" customHeight="true" outlineLevel="0" collapsed="false">
      <c r="B80" s="9" t="s">
        <v>4564</v>
      </c>
      <c r="C80" s="164" t="n">
        <v>3.5</v>
      </c>
      <c r="D80" s="19" t="s">
        <v>34</v>
      </c>
      <c r="E80" s="152" t="s">
        <v>4561</v>
      </c>
      <c r="F80" s="19" t="s">
        <v>4562</v>
      </c>
      <c r="G80" s="154" t="s">
        <v>4427</v>
      </c>
      <c r="H80" s="152" t="s">
        <v>4563</v>
      </c>
    </row>
    <row r="81" customFormat="false" ht="24" hidden="false" customHeight="true" outlineLevel="0" collapsed="false">
      <c r="B81" s="9" t="s">
        <v>4565</v>
      </c>
      <c r="C81" s="155" t="n">
        <v>0.9</v>
      </c>
      <c r="D81" s="19" t="s">
        <v>4566</v>
      </c>
      <c r="E81" s="152" t="s">
        <v>4561</v>
      </c>
      <c r="F81" s="19" t="s">
        <v>4562</v>
      </c>
      <c r="G81" s="154" t="s">
        <v>4427</v>
      </c>
      <c r="H81" s="152" t="s">
        <v>4567</v>
      </c>
    </row>
    <row r="82" customFormat="false" ht="24" hidden="false" customHeight="true" outlineLevel="0" collapsed="false">
      <c r="B82" s="9" t="s">
        <v>4568</v>
      </c>
      <c r="C82" s="155" t="n">
        <f aca="false">1-LTV_Max</f>
        <v>0.1</v>
      </c>
      <c r="D82" s="19" t="s">
        <v>4569</v>
      </c>
      <c r="E82" s="152" t="s">
        <v>4570</v>
      </c>
      <c r="F82" s="19" t="s">
        <v>4562</v>
      </c>
      <c r="G82" s="154" t="s">
        <v>4427</v>
      </c>
      <c r="H82" s="152" t="s">
        <v>4571</v>
      </c>
    </row>
    <row r="83" customFormat="false" ht="39.75" hidden="false" customHeight="true" outlineLevel="0" collapsed="false">
      <c r="B83" s="17" t="s">
        <v>4572</v>
      </c>
      <c r="C83" s="17"/>
      <c r="D83" s="17"/>
      <c r="E83" s="152" t="s">
        <v>4573</v>
      </c>
    </row>
    <row r="84" customFormat="false" ht="24" hidden="false" customHeight="true" outlineLevel="0" collapsed="false">
      <c r="B84" s="9" t="s">
        <v>4574</v>
      </c>
      <c r="C84" s="155" t="n">
        <v>0.01</v>
      </c>
      <c r="D84" s="19" t="s">
        <v>4575</v>
      </c>
      <c r="E84" s="152" t="s">
        <v>4576</v>
      </c>
      <c r="F84" s="19" t="s">
        <v>4577</v>
      </c>
      <c r="G84" s="154" t="s">
        <v>4432</v>
      </c>
      <c r="H84" s="152" t="s">
        <v>4578</v>
      </c>
    </row>
    <row r="85" customFormat="false" ht="24" hidden="false" customHeight="true" outlineLevel="0" collapsed="false">
      <c r="B85" s="9" t="s">
        <v>4579</v>
      </c>
      <c r="C85" s="153" t="n">
        <v>1000000</v>
      </c>
      <c r="D85" s="19" t="s">
        <v>4575</v>
      </c>
      <c r="E85" s="152" t="s">
        <v>4576</v>
      </c>
      <c r="F85" s="19" t="s">
        <v>4577</v>
      </c>
      <c r="G85" s="154" t="s">
        <v>4432</v>
      </c>
      <c r="H85" s="152" t="s">
        <v>4578</v>
      </c>
    </row>
    <row r="86" customFormat="false" ht="24" hidden="false" customHeight="true" outlineLevel="0" collapsed="false">
      <c r="B86" s="9" t="s">
        <v>4580</v>
      </c>
      <c r="C86" s="155" t="n">
        <v>0.02</v>
      </c>
      <c r="D86" s="19" t="s">
        <v>4575</v>
      </c>
      <c r="E86" s="152" t="s">
        <v>4576</v>
      </c>
      <c r="F86" s="19" t="s">
        <v>4577</v>
      </c>
      <c r="G86" s="154" t="s">
        <v>4432</v>
      </c>
      <c r="H86" s="152" t="s">
        <v>4578</v>
      </c>
    </row>
    <row r="87" customFormat="false" ht="24" hidden="false" customHeight="true" outlineLevel="0" collapsed="false">
      <c r="B87" s="9" t="s">
        <v>4581</v>
      </c>
      <c r="C87" s="153" t="n">
        <v>1500000</v>
      </c>
      <c r="D87" s="19" t="s">
        <v>4575</v>
      </c>
      <c r="E87" s="152" t="s">
        <v>4576</v>
      </c>
      <c r="F87" s="19" t="s">
        <v>4577</v>
      </c>
      <c r="G87" s="154" t="s">
        <v>4432</v>
      </c>
      <c r="H87" s="152" t="s">
        <v>4578</v>
      </c>
    </row>
    <row r="88" customFormat="false" ht="24" hidden="false" customHeight="true" outlineLevel="0" collapsed="false">
      <c r="B88" s="9" t="s">
        <v>4582</v>
      </c>
      <c r="C88" s="155" t="n">
        <v>0.06</v>
      </c>
      <c r="D88" s="19" t="s">
        <v>4575</v>
      </c>
      <c r="E88" s="152" t="s">
        <v>4576</v>
      </c>
      <c r="F88" s="19" t="s">
        <v>4577</v>
      </c>
      <c r="G88" s="154" t="s">
        <v>4432</v>
      </c>
      <c r="H88" s="152" t="s">
        <v>4578</v>
      </c>
    </row>
    <row r="89" customFormat="false" ht="39.75" hidden="false" customHeight="true" outlineLevel="0" collapsed="false">
      <c r="B89" s="17" t="s">
        <v>4583</v>
      </c>
      <c r="C89" s="17"/>
      <c r="D89" s="17"/>
      <c r="E89" s="152" t="s">
        <v>4584</v>
      </c>
    </row>
    <row r="90" customFormat="false" ht="15" hidden="false" customHeight="true" outlineLevel="0" collapsed="false">
      <c r="B90" s="15" t="s">
        <v>4585</v>
      </c>
      <c r="C90" s="16"/>
      <c r="D90" s="16"/>
      <c r="E90" s="16"/>
      <c r="F90" s="16"/>
      <c r="G90" s="16"/>
      <c r="H90" s="16"/>
    </row>
    <row r="91" customFormat="false" ht="15" hidden="false" customHeight="true" outlineLevel="0" collapsed="false">
      <c r="B91" s="18" t="s">
        <v>4415</v>
      </c>
      <c r="C91" s="18" t="s">
        <v>1521</v>
      </c>
      <c r="D91" s="18" t="s">
        <v>4416</v>
      </c>
      <c r="E91" s="18" t="s">
        <v>4417</v>
      </c>
      <c r="F91" s="18" t="s">
        <v>4418</v>
      </c>
      <c r="G91" s="18" t="s">
        <v>4419</v>
      </c>
      <c r="H91" s="18" t="s">
        <v>4420</v>
      </c>
    </row>
    <row r="92" customFormat="false" ht="24" hidden="false" customHeight="true" outlineLevel="0" collapsed="false">
      <c r="B92" s="9" t="s">
        <v>4586</v>
      </c>
      <c r="C92" s="155" t="n">
        <v>0.7</v>
      </c>
      <c r="D92" s="19" t="s">
        <v>76</v>
      </c>
      <c r="E92" s="152" t="s">
        <v>4587</v>
      </c>
      <c r="F92" s="19" t="s">
        <v>4378</v>
      </c>
      <c r="G92" s="152" t="s">
        <v>3</v>
      </c>
      <c r="H92" s="152" t="s">
        <v>4378</v>
      </c>
    </row>
    <row r="93" customFormat="false" ht="24" hidden="false" customHeight="true" outlineLevel="0" collapsed="false">
      <c r="B93" s="9" t="s">
        <v>4588</v>
      </c>
      <c r="C93" s="155" t="n">
        <v>0.4</v>
      </c>
      <c r="D93" s="19" t="s">
        <v>76</v>
      </c>
      <c r="E93" s="152" t="s">
        <v>4589</v>
      </c>
      <c r="F93" s="19" t="s">
        <v>4378</v>
      </c>
      <c r="G93" s="152" t="s">
        <v>3</v>
      </c>
      <c r="H93" s="152" t="s">
        <v>4378</v>
      </c>
    </row>
    <row r="94" customFormat="false" ht="24" hidden="false" customHeight="true" outlineLevel="0" collapsed="false">
      <c r="B94" s="9" t="s">
        <v>4590</v>
      </c>
      <c r="C94" s="159" t="n">
        <v>365</v>
      </c>
      <c r="D94" s="19" t="s">
        <v>4591</v>
      </c>
      <c r="E94" s="152" t="s">
        <v>4592</v>
      </c>
      <c r="F94" s="19" t="s">
        <v>4378</v>
      </c>
      <c r="G94" s="152" t="s">
        <v>3</v>
      </c>
      <c r="H94" s="152" t="s">
        <v>4378</v>
      </c>
    </row>
    <row r="95" customFormat="false" ht="24" hidden="false" customHeight="true" outlineLevel="0" collapsed="false">
      <c r="B95" s="9" t="s">
        <v>4593</v>
      </c>
      <c r="C95" s="155" t="n">
        <v>0.8</v>
      </c>
      <c r="D95" s="19" t="s">
        <v>4594</v>
      </c>
      <c r="E95" s="152" t="s">
        <v>4592</v>
      </c>
      <c r="F95" s="19" t="s">
        <v>4378</v>
      </c>
      <c r="G95" s="152" t="s">
        <v>3</v>
      </c>
      <c r="H95" s="152" t="s">
        <v>4378</v>
      </c>
    </row>
    <row r="96" customFormat="false" ht="15" hidden="false" customHeight="true" outlineLevel="0" collapsed="false">
      <c r="B96" s="15" t="s">
        <v>4595</v>
      </c>
      <c r="C96" s="16"/>
      <c r="D96" s="16"/>
      <c r="E96" s="16"/>
      <c r="F96" s="16"/>
      <c r="G96" s="16"/>
      <c r="H96" s="16"/>
    </row>
    <row r="97" customFormat="false" ht="15" hidden="false" customHeight="true" outlineLevel="0" collapsed="false">
      <c r="B97" s="18" t="s">
        <v>4415</v>
      </c>
      <c r="C97" s="18" t="s">
        <v>1521</v>
      </c>
      <c r="D97" s="18" t="s">
        <v>4416</v>
      </c>
      <c r="E97" s="18" t="s">
        <v>4417</v>
      </c>
      <c r="F97" s="18" t="s">
        <v>4418</v>
      </c>
      <c r="G97" s="18" t="s">
        <v>4419</v>
      </c>
      <c r="H97" s="18" t="s">
        <v>4420</v>
      </c>
    </row>
    <row r="98" customFormat="false" ht="24" hidden="false" customHeight="true" outlineLevel="0" collapsed="false">
      <c r="B98" s="9" t="s">
        <v>4596</v>
      </c>
      <c r="C98" s="159" t="n">
        <v>1200</v>
      </c>
      <c r="D98" s="19" t="s">
        <v>4597</v>
      </c>
      <c r="E98" s="152" t="s">
        <v>4598</v>
      </c>
      <c r="F98" s="19" t="s">
        <v>4378</v>
      </c>
      <c r="G98" s="152" t="s">
        <v>3</v>
      </c>
      <c r="H98" s="152" t="s">
        <v>4378</v>
      </c>
    </row>
    <row r="99" customFormat="false" ht="24" hidden="false" customHeight="true" outlineLevel="0" collapsed="false">
      <c r="B99" s="9" t="s">
        <v>4599</v>
      </c>
      <c r="C99" s="159" t="n">
        <v>60</v>
      </c>
      <c r="D99" s="19" t="s">
        <v>150</v>
      </c>
      <c r="E99" s="152" t="s">
        <v>4598</v>
      </c>
      <c r="F99" s="19" t="s">
        <v>4378</v>
      </c>
      <c r="G99" s="152" t="s">
        <v>3</v>
      </c>
      <c r="H99" s="152" t="s">
        <v>4378</v>
      </c>
    </row>
    <row r="100" customFormat="false" ht="24" hidden="false" customHeight="true" outlineLevel="0" collapsed="false">
      <c r="B100" s="9" t="s">
        <v>4600</v>
      </c>
      <c r="C100" s="159" t="n">
        <v>5</v>
      </c>
      <c r="D100" s="19" t="s">
        <v>83</v>
      </c>
      <c r="E100" s="152" t="s">
        <v>4598</v>
      </c>
      <c r="F100" s="19" t="s">
        <v>4378</v>
      </c>
      <c r="G100" s="152" t="s">
        <v>3</v>
      </c>
      <c r="H100" s="152" t="s">
        <v>4378</v>
      </c>
    </row>
    <row r="101" customFormat="false" ht="24" hidden="false" customHeight="true" outlineLevel="0" collapsed="false">
      <c r="B101" s="9" t="s">
        <v>4601</v>
      </c>
      <c r="C101" s="159" t="n">
        <v>10</v>
      </c>
      <c r="D101" s="19" t="s">
        <v>83</v>
      </c>
      <c r="E101" s="152" t="s">
        <v>4598</v>
      </c>
      <c r="F101" s="19" t="s">
        <v>4378</v>
      </c>
      <c r="G101" s="152" t="s">
        <v>3</v>
      </c>
      <c r="H101" s="152" t="s">
        <v>4378</v>
      </c>
    </row>
    <row r="102" customFormat="false" ht="24" hidden="false" customHeight="true" outlineLevel="0" collapsed="false">
      <c r="B102" s="9" t="s">
        <v>4602</v>
      </c>
      <c r="C102" s="159" t="n">
        <v>15</v>
      </c>
      <c r="D102" s="19" t="s">
        <v>83</v>
      </c>
      <c r="E102" s="152" t="s">
        <v>4598</v>
      </c>
      <c r="F102" s="19" t="s">
        <v>4378</v>
      </c>
      <c r="G102" s="152" t="s">
        <v>3</v>
      </c>
      <c r="H102" s="152" t="s">
        <v>4378</v>
      </c>
    </row>
    <row r="103" customFormat="false" ht="24" hidden="false" customHeight="true" outlineLevel="0" collapsed="false">
      <c r="B103" s="9" t="s">
        <v>4603</v>
      </c>
      <c r="C103" s="165" t="n">
        <v>1.645</v>
      </c>
      <c r="D103" s="19" t="s">
        <v>76</v>
      </c>
      <c r="E103" s="152" t="s">
        <v>4604</v>
      </c>
      <c r="F103" s="19" t="s">
        <v>4378</v>
      </c>
      <c r="G103" s="152" t="s">
        <v>3</v>
      </c>
      <c r="H103" s="152" t="s">
        <v>4605</v>
      </c>
    </row>
    <row r="104" customFormat="false" ht="15" hidden="false" customHeight="true" outlineLevel="0" collapsed="false">
      <c r="B104" s="9" t="s">
        <v>4606</v>
      </c>
      <c r="C104" s="160" t="s">
        <v>2936</v>
      </c>
      <c r="D104" s="14" t="s">
        <v>76</v>
      </c>
      <c r="E104" s="161" t="s">
        <v>4607</v>
      </c>
      <c r="G104" s="56" t="s">
        <v>3</v>
      </c>
    </row>
    <row r="105" customFormat="false" ht="15" hidden="false" customHeight="true" outlineLevel="0" collapsed="false">
      <c r="B105" s="9" t="s">
        <v>4608</v>
      </c>
      <c r="C105" s="160" t="s">
        <v>2938</v>
      </c>
      <c r="D105" s="14" t="s">
        <v>76</v>
      </c>
      <c r="E105" s="161" t="s">
        <v>4607</v>
      </c>
      <c r="G105" s="56" t="s">
        <v>3</v>
      </c>
    </row>
    <row r="106" customFormat="false" ht="15" hidden="false" customHeight="true" outlineLevel="0" collapsed="false">
      <c r="B106" s="9" t="s">
        <v>4609</v>
      </c>
      <c r="C106" s="160" t="s">
        <v>4610</v>
      </c>
      <c r="D106" s="14" t="s">
        <v>76</v>
      </c>
      <c r="E106" s="161" t="s">
        <v>4607</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4611</v>
      </c>
      <c r="D121" s="19" t="s">
        <v>122</v>
      </c>
      <c r="E121" s="19" t="s">
        <v>123</v>
      </c>
    </row>
    <row r="123" customFormat="false" ht="15" hidden="false" customHeight="true" outlineLevel="0" collapsed="false">
      <c r="B123" s="15" t="s">
        <v>4612</v>
      </c>
    </row>
    <row r="124" customFormat="false" ht="81.75" hidden="false" customHeight="true" outlineLevel="0" collapsed="false">
      <c r="B124" s="117"/>
    </row>
    <row r="125" customFormat="false" ht="15" hidden="false" customHeight="true" outlineLevel="0" collapsed="false">
      <c r="B125" s="9" t="s">
        <v>4613</v>
      </c>
      <c r="C125" s="160" t="n">
        <v>2026</v>
      </c>
      <c r="D125" s="14" t="s">
        <v>4614</v>
      </c>
      <c r="E125" s="161"/>
      <c r="G125" s="56"/>
    </row>
    <row r="126" customFormat="false" ht="15" hidden="false" customHeight="true" outlineLevel="0" collapsed="false">
      <c r="B126" s="9" t="s">
        <v>4615</v>
      </c>
      <c r="C126" s="160" t="n">
        <v>2027</v>
      </c>
      <c r="D126" s="14" t="s">
        <v>4614</v>
      </c>
      <c r="E126" s="161"/>
      <c r="G126" s="56"/>
    </row>
    <row r="127" customFormat="false" ht="15" hidden="false" customHeight="true" outlineLevel="0" collapsed="false">
      <c r="B127" s="9" t="s">
        <v>4616</v>
      </c>
      <c r="C127" s="160" t="n">
        <v>50</v>
      </c>
      <c r="D127" s="14" t="s">
        <v>4617</v>
      </c>
      <c r="E127" s="161"/>
      <c r="G127" s="56"/>
    </row>
    <row r="128" customFormat="false" ht="15" hidden="false" customHeight="true" outlineLevel="0" collapsed="false">
      <c r="B128" s="9" t="s">
        <v>4618</v>
      </c>
      <c r="C128" s="166" t="n">
        <v>200000</v>
      </c>
      <c r="D128" s="14" t="s">
        <v>4619</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4620</v>
      </c>
    </row>
    <row r="2" customFormat="false" ht="63.75" hidden="false" customHeight="true" outlineLevel="0" collapsed="false">
      <c r="B2" s="91" t="s">
        <v>4621</v>
      </c>
      <c r="C2" s="91"/>
      <c r="D2" s="91"/>
      <c r="E2" s="91"/>
      <c r="F2" s="91"/>
      <c r="G2" s="91"/>
      <c r="H2" s="91"/>
    </row>
    <row r="4" customFormat="false" ht="15" hidden="false" customHeight="true" outlineLevel="0" collapsed="false">
      <c r="B4" s="100" t="s">
        <v>4622</v>
      </c>
      <c r="C4" s="100" t="s">
        <v>4623</v>
      </c>
      <c r="D4" s="100" t="s">
        <v>4624</v>
      </c>
      <c r="E4" s="100" t="s">
        <v>1522</v>
      </c>
      <c r="F4" s="100" t="s">
        <v>4625</v>
      </c>
      <c r="G4" s="100" t="s">
        <v>4626</v>
      </c>
      <c r="H4" s="100" t="s">
        <v>4627</v>
      </c>
    </row>
    <row r="5" customFormat="false" ht="27.75" hidden="false" customHeight="true" outlineLevel="0" collapsed="false">
      <c r="B5" s="117" t="s">
        <v>4628</v>
      </c>
      <c r="C5" s="117" t="s">
        <v>4629</v>
      </c>
      <c r="D5" s="117" t="s">
        <v>4630</v>
      </c>
      <c r="E5" s="117" t="s">
        <v>4631</v>
      </c>
      <c r="F5" s="117" t="s">
        <v>4632</v>
      </c>
      <c r="G5" s="117" t="s">
        <v>4633</v>
      </c>
      <c r="H5" s="117" t="s">
        <v>4634</v>
      </c>
    </row>
    <row r="6" customFormat="false" ht="27.75" hidden="false" customHeight="true" outlineLevel="0" collapsed="false">
      <c r="B6" s="117" t="s">
        <v>4628</v>
      </c>
      <c r="C6" s="117" t="s">
        <v>4635</v>
      </c>
      <c r="D6" s="117" t="s">
        <v>4636</v>
      </c>
      <c r="E6" s="117" t="s">
        <v>4637</v>
      </c>
      <c r="F6" s="117" t="s">
        <v>4638</v>
      </c>
      <c r="G6" s="117" t="s">
        <v>4639</v>
      </c>
      <c r="H6" s="117" t="s">
        <v>4634</v>
      </c>
    </row>
    <row r="7" customFormat="false" ht="27.75" hidden="false" customHeight="true" outlineLevel="0" collapsed="false">
      <c r="B7" s="117" t="s">
        <v>4640</v>
      </c>
      <c r="C7" s="117" t="s">
        <v>4641</v>
      </c>
      <c r="D7" s="117" t="s">
        <v>4642</v>
      </c>
      <c r="E7" s="117" t="s">
        <v>4643</v>
      </c>
      <c r="F7" s="117" t="s">
        <v>4644</v>
      </c>
      <c r="G7" s="117" t="s">
        <v>4639</v>
      </c>
      <c r="H7" s="117" t="s">
        <v>4634</v>
      </c>
    </row>
    <row r="8" customFormat="false" ht="27.75" hidden="false" customHeight="true" outlineLevel="0" collapsed="false">
      <c r="B8" s="117" t="s">
        <v>4640</v>
      </c>
      <c r="C8" s="117" t="s">
        <v>4645</v>
      </c>
      <c r="D8" s="117" t="s">
        <v>4646</v>
      </c>
      <c r="E8" s="117" t="s">
        <v>4647</v>
      </c>
      <c r="F8" s="117" t="s">
        <v>4648</v>
      </c>
      <c r="G8" s="117" t="s">
        <v>4639</v>
      </c>
      <c r="H8" s="117" t="s">
        <v>4634</v>
      </c>
    </row>
    <row r="9" customFormat="false" ht="54.75" hidden="false" customHeight="true" outlineLevel="0" collapsed="false">
      <c r="B9" s="117" t="s">
        <v>4640</v>
      </c>
      <c r="C9" s="117" t="s">
        <v>4649</v>
      </c>
      <c r="D9" s="117" t="s">
        <v>4650</v>
      </c>
      <c r="E9" s="117" t="s">
        <v>4651</v>
      </c>
      <c r="F9" s="117" t="s">
        <v>4652</v>
      </c>
      <c r="G9" s="117" t="s">
        <v>4653</v>
      </c>
      <c r="H9" s="117" t="s">
        <v>4634</v>
      </c>
    </row>
    <row r="10" customFormat="false" ht="41.25" hidden="false" customHeight="true" outlineLevel="0" collapsed="false">
      <c r="B10" s="117" t="s">
        <v>4654</v>
      </c>
      <c r="C10" s="117" t="s">
        <v>4655</v>
      </c>
      <c r="D10" s="117" t="s">
        <v>4656</v>
      </c>
      <c r="E10" s="117" t="s">
        <v>4657</v>
      </c>
      <c r="F10" s="117" t="s">
        <v>4658</v>
      </c>
      <c r="G10" s="117" t="s">
        <v>4639</v>
      </c>
      <c r="H10" s="117" t="s">
        <v>4634</v>
      </c>
    </row>
    <row r="11" customFormat="false" ht="41.25" hidden="false" customHeight="true" outlineLevel="0" collapsed="false">
      <c r="B11" s="117" t="s">
        <v>4654</v>
      </c>
      <c r="C11" s="117" t="s">
        <v>4659</v>
      </c>
      <c r="D11" s="117" t="s">
        <v>4660</v>
      </c>
      <c r="E11" s="117" t="s">
        <v>4661</v>
      </c>
      <c r="F11" s="117" t="s">
        <v>4662</v>
      </c>
      <c r="G11" s="117" t="s">
        <v>4653</v>
      </c>
      <c r="H11" s="117" t="s">
        <v>4634</v>
      </c>
    </row>
    <row r="12" customFormat="false" ht="41.25" hidden="false" customHeight="true" outlineLevel="0" collapsed="false">
      <c r="B12" s="117" t="s">
        <v>4654</v>
      </c>
      <c r="C12" s="117" t="s">
        <v>4663</v>
      </c>
      <c r="D12" s="117" t="s">
        <v>4664</v>
      </c>
      <c r="E12" s="117" t="s">
        <v>4665</v>
      </c>
      <c r="F12" s="117" t="s">
        <v>4632</v>
      </c>
      <c r="G12" s="117" t="s">
        <v>4633</v>
      </c>
      <c r="H12" s="117" t="s">
        <v>4634</v>
      </c>
    </row>
    <row r="13" customFormat="false" ht="41.25" hidden="false" customHeight="true" outlineLevel="0" collapsed="false">
      <c r="B13" s="117" t="s">
        <v>4666</v>
      </c>
      <c r="C13" s="117" t="s">
        <v>4667</v>
      </c>
      <c r="D13" s="117" t="s">
        <v>4668</v>
      </c>
      <c r="E13" s="117" t="s">
        <v>4669</v>
      </c>
      <c r="F13" s="117" t="s">
        <v>4670</v>
      </c>
      <c r="G13" s="117" t="s">
        <v>4653</v>
      </c>
      <c r="H13" s="117" t="s">
        <v>4634</v>
      </c>
    </row>
    <row r="14" customFormat="false" ht="41.25" hidden="false" customHeight="true" outlineLevel="0" collapsed="false">
      <c r="B14" s="117" t="s">
        <v>4666</v>
      </c>
      <c r="C14" s="117" t="s">
        <v>4671</v>
      </c>
      <c r="D14" s="117" t="s">
        <v>4672</v>
      </c>
      <c r="E14" s="117" t="s">
        <v>4673</v>
      </c>
      <c r="F14" s="117" t="s">
        <v>4674</v>
      </c>
      <c r="G14" s="117" t="s">
        <v>4653</v>
      </c>
      <c r="H14" s="117" t="s">
        <v>4634</v>
      </c>
    </row>
    <row r="15" customFormat="false" ht="41.25" hidden="false" customHeight="true" outlineLevel="0" collapsed="false">
      <c r="B15" s="117" t="s">
        <v>4666</v>
      </c>
      <c r="C15" s="117" t="s">
        <v>4675</v>
      </c>
      <c r="D15" s="117" t="s">
        <v>4676</v>
      </c>
      <c r="E15" s="117" t="s">
        <v>4677</v>
      </c>
      <c r="F15" s="117" t="s">
        <v>4678</v>
      </c>
      <c r="G15" s="117" t="s">
        <v>4653</v>
      </c>
      <c r="H15" s="117" t="s">
        <v>4634</v>
      </c>
    </row>
    <row r="16" customFormat="false" ht="27.75" hidden="false" customHeight="true" outlineLevel="0" collapsed="false">
      <c r="B16" s="117" t="s">
        <v>4666</v>
      </c>
      <c r="C16" s="117" t="s">
        <v>4679</v>
      </c>
      <c r="D16" s="117" t="s">
        <v>4680</v>
      </c>
      <c r="E16" s="117" t="s">
        <v>4681</v>
      </c>
      <c r="F16" s="117" t="s">
        <v>4682</v>
      </c>
      <c r="G16" s="117" t="s">
        <v>4639</v>
      </c>
      <c r="H16" s="117" t="s">
        <v>4634</v>
      </c>
    </row>
    <row r="17" customFormat="false" ht="41.25" hidden="false" customHeight="true" outlineLevel="0" collapsed="false">
      <c r="B17" s="117" t="s">
        <v>4683</v>
      </c>
      <c r="C17" s="117" t="s">
        <v>4684</v>
      </c>
      <c r="D17" s="117" t="s">
        <v>4685</v>
      </c>
      <c r="E17" s="117" t="s">
        <v>4686</v>
      </c>
      <c r="F17" s="117" t="s">
        <v>4687</v>
      </c>
      <c r="G17" s="117" t="s">
        <v>4653</v>
      </c>
      <c r="H17" s="117" t="s">
        <v>4634</v>
      </c>
    </row>
    <row r="18" customFormat="false" ht="27.75" hidden="false" customHeight="true" outlineLevel="0" collapsed="false">
      <c r="B18" s="117" t="s">
        <v>4688</v>
      </c>
      <c r="C18" s="117" t="s">
        <v>4689</v>
      </c>
      <c r="D18" s="117" t="s">
        <v>4690</v>
      </c>
      <c r="E18" s="117" t="s">
        <v>4691</v>
      </c>
      <c r="F18" s="117" t="s">
        <v>4692</v>
      </c>
      <c r="G18" s="117" t="s">
        <v>4639</v>
      </c>
      <c r="H18" s="117" t="s">
        <v>4634</v>
      </c>
    </row>
    <row r="19" customFormat="false" ht="27.75" hidden="false" customHeight="true" outlineLevel="0" collapsed="false">
      <c r="B19" s="117" t="s">
        <v>4688</v>
      </c>
      <c r="C19" s="117" t="s">
        <v>4693</v>
      </c>
      <c r="D19" s="117" t="s">
        <v>4694</v>
      </c>
      <c r="E19" s="117" t="s">
        <v>4695</v>
      </c>
      <c r="F19" s="117" t="s">
        <v>4696</v>
      </c>
      <c r="G19" s="117" t="s">
        <v>4653</v>
      </c>
      <c r="H19" s="117" t="s">
        <v>4634</v>
      </c>
    </row>
    <row r="20" customFormat="false" ht="41.25" hidden="false" customHeight="true" outlineLevel="0" collapsed="false">
      <c r="B20" s="117" t="s">
        <v>4688</v>
      </c>
      <c r="C20" s="117" t="s">
        <v>4697</v>
      </c>
      <c r="D20" s="117" t="s">
        <v>4698</v>
      </c>
      <c r="E20" s="117" t="s">
        <v>4699</v>
      </c>
      <c r="F20" s="117" t="s">
        <v>4700</v>
      </c>
      <c r="G20" s="117" t="s">
        <v>4653</v>
      </c>
      <c r="H20" s="117" t="s">
        <v>4634</v>
      </c>
    </row>
    <row r="21" customFormat="false" ht="27.75" hidden="false" customHeight="true" outlineLevel="0" collapsed="false">
      <c r="B21" s="117" t="s">
        <v>4688</v>
      </c>
      <c r="C21" s="117" t="s">
        <v>4701</v>
      </c>
      <c r="D21" s="117" t="s">
        <v>4702</v>
      </c>
      <c r="E21" s="117" t="s">
        <v>4703</v>
      </c>
      <c r="F21" s="117" t="s">
        <v>4704</v>
      </c>
      <c r="G21" s="117" t="s">
        <v>4653</v>
      </c>
      <c r="H21" s="117" t="s">
        <v>4634</v>
      </c>
    </row>
    <row r="22" customFormat="false" ht="27.75" hidden="false" customHeight="true" outlineLevel="0" collapsed="false">
      <c r="B22" s="117" t="s">
        <v>4705</v>
      </c>
      <c r="C22" s="117" t="s">
        <v>4706</v>
      </c>
      <c r="D22" s="117" t="s">
        <v>4707</v>
      </c>
      <c r="E22" s="117" t="s">
        <v>4708</v>
      </c>
      <c r="F22" s="117" t="s">
        <v>4709</v>
      </c>
      <c r="G22" s="117" t="s">
        <v>4653</v>
      </c>
      <c r="H22" s="117" t="s">
        <v>4634</v>
      </c>
    </row>
    <row r="23" customFormat="false" ht="27.75" hidden="false" customHeight="true" outlineLevel="0" collapsed="false">
      <c r="B23" s="117" t="s">
        <v>4705</v>
      </c>
      <c r="C23" s="117" t="s">
        <v>4710</v>
      </c>
      <c r="D23" s="117" t="s">
        <v>4711</v>
      </c>
      <c r="E23" s="117" t="s">
        <v>4712</v>
      </c>
      <c r="F23" s="117" t="s">
        <v>4713</v>
      </c>
      <c r="G23" s="117" t="s">
        <v>4653</v>
      </c>
      <c r="H23" s="117" t="s">
        <v>4634</v>
      </c>
    </row>
    <row r="24" customFormat="false" ht="27.75" hidden="false" customHeight="true" outlineLevel="0" collapsed="false">
      <c r="B24" s="117" t="s">
        <v>4714</v>
      </c>
      <c r="C24" s="117" t="s">
        <v>4715</v>
      </c>
      <c r="D24" s="117" t="s">
        <v>4716</v>
      </c>
      <c r="E24" s="117" t="s">
        <v>4717</v>
      </c>
      <c r="F24" s="117" t="s">
        <v>4718</v>
      </c>
      <c r="G24" s="117" t="s">
        <v>4653</v>
      </c>
      <c r="H24" s="117" t="s">
        <v>4634</v>
      </c>
    </row>
    <row r="25" customFormat="false" ht="27.75" hidden="false" customHeight="true" outlineLevel="0" collapsed="false">
      <c r="B25" s="117" t="s">
        <v>4714</v>
      </c>
      <c r="C25" s="117" t="s">
        <v>4719</v>
      </c>
      <c r="D25" s="117" t="s">
        <v>4720</v>
      </c>
      <c r="E25" s="117" t="s">
        <v>4721</v>
      </c>
      <c r="F25" s="117" t="s">
        <v>4632</v>
      </c>
      <c r="G25" s="117" t="s">
        <v>4633</v>
      </c>
      <c r="H25" s="117" t="s">
        <v>4634</v>
      </c>
    </row>
    <row r="26" customFormat="false" ht="41.25" hidden="false" customHeight="true" outlineLevel="0" collapsed="false">
      <c r="B26" s="117" t="s">
        <v>4714</v>
      </c>
      <c r="C26" s="117" t="s">
        <v>4722</v>
      </c>
      <c r="D26" s="117" t="s">
        <v>4723</v>
      </c>
      <c r="E26" s="117" t="s">
        <v>4724</v>
      </c>
      <c r="F26" s="117" t="s">
        <v>4725</v>
      </c>
      <c r="G26" s="117" t="s">
        <v>4653</v>
      </c>
      <c r="H26" s="117" t="s">
        <v>4634</v>
      </c>
    </row>
    <row r="27" customFormat="false" ht="54.75" hidden="false" customHeight="true" outlineLevel="0" collapsed="false">
      <c r="B27" s="117" t="s">
        <v>4714</v>
      </c>
      <c r="C27" s="117" t="s">
        <v>4726</v>
      </c>
      <c r="D27" s="117" t="s">
        <v>4727</v>
      </c>
      <c r="E27" s="117" t="s">
        <v>4728</v>
      </c>
      <c r="F27" s="117" t="s">
        <v>4729</v>
      </c>
      <c r="G27" s="117" t="s">
        <v>4653</v>
      </c>
      <c r="H27" s="117" t="s">
        <v>4634</v>
      </c>
    </row>
    <row r="28" customFormat="false" ht="27.75" hidden="false" customHeight="true" outlineLevel="0" collapsed="false">
      <c r="B28" s="117" t="s">
        <v>4714</v>
      </c>
      <c r="C28" s="117" t="s">
        <v>4730</v>
      </c>
      <c r="D28" s="117" t="s">
        <v>4731</v>
      </c>
      <c r="E28" s="117" t="s">
        <v>4732</v>
      </c>
      <c r="F28" s="117" t="s">
        <v>4733</v>
      </c>
      <c r="G28" s="117" t="s">
        <v>4633</v>
      </c>
      <c r="H28" s="117" t="s">
        <v>4634</v>
      </c>
    </row>
    <row r="29" customFormat="false" ht="27.75" hidden="false" customHeight="true" outlineLevel="0" collapsed="false">
      <c r="B29" s="117" t="s">
        <v>4714</v>
      </c>
      <c r="C29" s="117" t="s">
        <v>4734</v>
      </c>
      <c r="D29" s="117" t="s">
        <v>4735</v>
      </c>
      <c r="E29" s="117" t="s">
        <v>4736</v>
      </c>
      <c r="F29" s="117" t="s">
        <v>4737</v>
      </c>
      <c r="G29" s="117" t="s">
        <v>4653</v>
      </c>
      <c r="H29" s="117" t="s">
        <v>4634</v>
      </c>
    </row>
    <row r="30" customFormat="false" ht="41.25" hidden="false" customHeight="true" outlineLevel="0" collapsed="false">
      <c r="B30" s="117" t="s">
        <v>4714</v>
      </c>
      <c r="C30" s="117" t="s">
        <v>4738</v>
      </c>
      <c r="D30" s="117" t="s">
        <v>4739</v>
      </c>
      <c r="E30" s="117" t="s">
        <v>4740</v>
      </c>
      <c r="F30" s="117" t="s">
        <v>4741</v>
      </c>
      <c r="G30" s="117" t="s">
        <v>4653</v>
      </c>
      <c r="H30" s="117" t="s">
        <v>4634</v>
      </c>
    </row>
    <row r="31" customFormat="false" ht="27.75" hidden="false" customHeight="true" outlineLevel="0" collapsed="false">
      <c r="B31" s="117" t="s">
        <v>4714</v>
      </c>
      <c r="C31" s="117" t="s">
        <v>4742</v>
      </c>
      <c r="D31" s="117" t="s">
        <v>4743</v>
      </c>
      <c r="E31" s="117" t="s">
        <v>4744</v>
      </c>
      <c r="F31" s="117" t="s">
        <v>4632</v>
      </c>
      <c r="G31" s="117" t="s">
        <v>4633</v>
      </c>
      <c r="H31" s="117" t="s">
        <v>4634</v>
      </c>
    </row>
    <row r="32" customFormat="false" ht="27.75" hidden="false" customHeight="true" outlineLevel="0" collapsed="false">
      <c r="B32" s="117" t="s">
        <v>4745</v>
      </c>
      <c r="C32" s="117" t="s">
        <v>4746</v>
      </c>
      <c r="D32" s="117" t="s">
        <v>4747</v>
      </c>
      <c r="E32" s="117" t="s">
        <v>4748</v>
      </c>
      <c r="F32" s="117" t="s">
        <v>4749</v>
      </c>
      <c r="G32" s="117" t="s">
        <v>4639</v>
      </c>
      <c r="H32" s="117" t="s">
        <v>4634</v>
      </c>
    </row>
    <row r="33" customFormat="false" ht="27.75" hidden="false" customHeight="true" outlineLevel="0" collapsed="false">
      <c r="B33" s="117" t="s">
        <v>4745</v>
      </c>
      <c r="C33" s="117" t="s">
        <v>4750</v>
      </c>
      <c r="D33" s="117" t="s">
        <v>4751</v>
      </c>
      <c r="E33" s="117" t="s">
        <v>4752</v>
      </c>
      <c r="F33" s="117" t="s">
        <v>4753</v>
      </c>
      <c r="G33" s="117" t="s">
        <v>4653</v>
      </c>
      <c r="H33" s="117" t="s">
        <v>4634</v>
      </c>
    </row>
    <row r="34" customFormat="false" ht="41.25" hidden="false" customHeight="true" outlineLevel="0" collapsed="false">
      <c r="B34" s="117" t="s">
        <v>4754</v>
      </c>
      <c r="C34" s="117" t="s">
        <v>4755</v>
      </c>
      <c r="D34" s="117" t="s">
        <v>4756</v>
      </c>
      <c r="E34" s="117" t="s">
        <v>4757</v>
      </c>
      <c r="F34" s="117" t="s">
        <v>4758</v>
      </c>
      <c r="G34" s="117" t="s">
        <v>4653</v>
      </c>
      <c r="H34" s="117" t="s">
        <v>4634</v>
      </c>
    </row>
    <row r="35" customFormat="false" ht="41.25" hidden="false" customHeight="true" outlineLevel="0" collapsed="false">
      <c r="B35" s="117" t="s">
        <v>4759</v>
      </c>
      <c r="C35" s="117" t="s">
        <v>4760</v>
      </c>
      <c r="D35" s="117" t="s">
        <v>4761</v>
      </c>
      <c r="E35" s="117" t="s">
        <v>4762</v>
      </c>
      <c r="F35" s="117" t="s">
        <v>4763</v>
      </c>
      <c r="G35" s="117" t="s">
        <v>4639</v>
      </c>
      <c r="H35" s="117" t="s">
        <v>4634</v>
      </c>
    </row>
    <row r="36" customFormat="false" ht="27.75" hidden="false" customHeight="true" outlineLevel="0" collapsed="false">
      <c r="B36" s="117" t="s">
        <v>4764</v>
      </c>
      <c r="C36" s="117" t="s">
        <v>4765</v>
      </c>
      <c r="D36" s="117" t="s">
        <v>4766</v>
      </c>
      <c r="E36" s="117" t="s">
        <v>4767</v>
      </c>
      <c r="F36" s="117" t="s">
        <v>4704</v>
      </c>
      <c r="G36" s="117" t="s">
        <v>4653</v>
      </c>
      <c r="H36" s="117" t="s">
        <v>4634</v>
      </c>
    </row>
    <row r="37" customFormat="false" ht="27.75" hidden="false" customHeight="true" outlineLevel="0" collapsed="false">
      <c r="B37" s="117" t="s">
        <v>4764</v>
      </c>
      <c r="C37" s="117" t="s">
        <v>4768</v>
      </c>
      <c r="D37" s="117" t="s">
        <v>4769</v>
      </c>
      <c r="E37" s="117" t="s">
        <v>4770</v>
      </c>
      <c r="F37" s="117" t="s">
        <v>4771</v>
      </c>
      <c r="G37" s="117" t="s">
        <v>4653</v>
      </c>
      <c r="H37" s="117" t="s">
        <v>4634</v>
      </c>
    </row>
    <row r="38" customFormat="false" ht="27.75" hidden="false" customHeight="true" outlineLevel="0" collapsed="false">
      <c r="B38" s="117" t="s">
        <v>4772</v>
      </c>
      <c r="C38" s="117" t="s">
        <v>4773</v>
      </c>
      <c r="D38" s="117" t="s">
        <v>4774</v>
      </c>
      <c r="E38" s="117" t="s">
        <v>4775</v>
      </c>
      <c r="F38" s="117" t="s">
        <v>4776</v>
      </c>
      <c r="G38" s="117" t="s">
        <v>4639</v>
      </c>
      <c r="H38" s="117" t="s">
        <v>4634</v>
      </c>
    </row>
    <row r="40" customFormat="false" ht="15" hidden="false" customHeight="true" outlineLevel="0" collapsed="false">
      <c r="B40" s="113" t="s">
        <v>4777</v>
      </c>
    </row>
    <row r="41" customFormat="false" ht="15" hidden="false" customHeight="true" outlineLevel="0" collapsed="false">
      <c r="B41" s="1" t="s">
        <v>4778</v>
      </c>
      <c r="D41" s="102" t="n">
        <v>0.18</v>
      </c>
    </row>
    <row r="42" customFormat="false" ht="15" hidden="false" customHeight="true" outlineLevel="0" collapsed="false">
      <c r="B42" s="1" t="s">
        <v>4779</v>
      </c>
      <c r="D42" s="103" t="n">
        <v>50</v>
      </c>
    </row>
    <row r="43" customFormat="false" ht="15" hidden="false" customHeight="true" outlineLevel="0" collapsed="false">
      <c r="B43" s="1" t="s">
        <v>4780</v>
      </c>
      <c r="D43" s="108" t="n">
        <f aca="false">'Plan cashflow'!$G$8/12</f>
        <v>0</v>
      </c>
    </row>
    <row r="44" customFormat="false" ht="15" hidden="false" customHeight="true" outlineLevel="0" collapsed="false">
      <c r="B44" s="1" t="s">
        <v>4781</v>
      </c>
      <c r="D44" s="108" t="n">
        <f aca="false">MAX(Rep_Step,ROUND(Rep_SharePct*Rep_TakeHomeM/Rep_Step,0)*Rep_Step)</f>
        <v>50</v>
      </c>
    </row>
    <row r="45" customFormat="false" ht="15" hidden="false" customHeight="true" outlineLevel="0" collapsed="false">
      <c r="B45" s="1" t="s">
        <v>4782</v>
      </c>
      <c r="D45" s="108" t="n">
        <f aca="false">ROUND(Rep_MoreM/2,0)</f>
        <v>25</v>
      </c>
    </row>
    <row r="46" customFormat="false" ht="15" hidden="false" customHeight="true" outlineLevel="0" collapsed="false">
      <c r="B46" s="1" t="s">
        <v>4783</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4784</v>
      </c>
      <c r="D47" s="108" t="n">
        <f aca="false">MAX(0,INT((LOOKUP(F_Age,Relief_Age_From,Relief_Age_Pct)*MIN(F_Income,Relief_Earnings_Cap)-12*F_Own)/12))</f>
        <v>0</v>
      </c>
    </row>
    <row r="48" customFormat="false" ht="15" hidden="false" customHeight="true" outlineLevel="0" collapsed="false">
      <c r="B48" s="1" t="s">
        <v>4785</v>
      </c>
      <c r="D48" s="108" t="n">
        <f aca="false">ROUND(Rep_LimitM*(1-Rep_TaxRate),0)</f>
        <v>0</v>
      </c>
    </row>
    <row r="49" customFormat="false" ht="15" hidden="false" customHeight="true" outlineLevel="0" collapsed="false">
      <c r="B49" s="1" t="s">
        <v>4786</v>
      </c>
      <c r="D49" s="108" t="n">
        <f aca="false">ROUND(Rep_MoreM/(1-Rep_TaxRate),0)</f>
        <v>63</v>
      </c>
    </row>
    <row r="50" customFormat="false" ht="15" hidden="false" customHeight="true" outlineLevel="0" collapsed="false">
      <c r="B50" s="1" t="s">
        <v>4787</v>
      </c>
      <c r="D50" s="108" t="n">
        <f aca="false">ROUND(Rep_MoreM2/(1-Rep_TaxRate),0)</f>
        <v>31</v>
      </c>
    </row>
    <row r="52" customFormat="false" ht="15" hidden="false" customHeight="true" outlineLevel="0" collapsed="false">
      <c r="B52" s="113" t="s">
        <v>4788</v>
      </c>
    </row>
    <row r="53" customFormat="false" ht="15" hidden="false" customHeight="true" outlineLevel="0" collapsed="false">
      <c r="B53" s="93" t="s">
        <v>4789</v>
      </c>
      <c r="C53" s="93" t="s">
        <v>4790</v>
      </c>
      <c r="D53" s="93" t="s">
        <v>4791</v>
      </c>
      <c r="E53" s="93" t="s">
        <v>4792</v>
      </c>
    </row>
    <row r="54" customFormat="false" ht="15" hidden="false" customHeight="true" outlineLevel="0" collapsed="false">
      <c r="B54" s="117" t="s">
        <v>4793</v>
      </c>
      <c r="C54" s="117" t="s">
        <v>4794</v>
      </c>
      <c r="D54" s="117" t="s">
        <v>4795</v>
      </c>
      <c r="E54" s="117" t="s">
        <v>4796</v>
      </c>
    </row>
    <row r="55" customFormat="false" ht="54.75" hidden="false" customHeight="true" outlineLevel="0" collapsed="false">
      <c r="B55" s="117" t="s">
        <v>4797</v>
      </c>
      <c r="C55" s="117" t="s">
        <v>4722</v>
      </c>
      <c r="D55" s="117" t="s">
        <v>4798</v>
      </c>
      <c r="E55" s="117" t="s">
        <v>4799</v>
      </c>
    </row>
    <row r="56" customFormat="false" ht="15" hidden="false" customHeight="true" outlineLevel="0" collapsed="false">
      <c r="B56" s="117" t="s">
        <v>4800</v>
      </c>
      <c r="C56" s="117" t="s">
        <v>4801</v>
      </c>
      <c r="D56" s="117" t="s">
        <v>4802</v>
      </c>
      <c r="E56" s="117" t="s">
        <v>4799</v>
      </c>
    </row>
    <row r="57" customFormat="false" ht="41.25" hidden="false" customHeight="true" outlineLevel="0" collapsed="false">
      <c r="B57" s="117" t="s">
        <v>1422</v>
      </c>
      <c r="C57" s="117" t="s">
        <v>4726</v>
      </c>
      <c r="D57" s="117" t="s">
        <v>4803</v>
      </c>
      <c r="E57" s="117" t="s">
        <v>4799</v>
      </c>
    </row>
    <row r="58" customFormat="false" ht="41.25" hidden="false" customHeight="true" outlineLevel="0" collapsed="false">
      <c r="B58" s="117" t="s">
        <v>4804</v>
      </c>
      <c r="C58" s="117" t="s">
        <v>4730</v>
      </c>
      <c r="D58" s="117" t="s">
        <v>4805</v>
      </c>
      <c r="E58" s="117" t="s">
        <v>4799</v>
      </c>
    </row>
    <row r="59" customFormat="false" ht="41.25" hidden="false" customHeight="true" outlineLevel="0" collapsed="false">
      <c r="B59" s="117" t="s">
        <v>4806</v>
      </c>
      <c r="C59" s="117" t="s">
        <v>4807</v>
      </c>
      <c r="D59" s="117" t="s">
        <v>4808</v>
      </c>
      <c r="E59" s="117" t="s">
        <v>4799</v>
      </c>
    </row>
    <row r="60" customFormat="false" ht="41.25" hidden="false" customHeight="true" outlineLevel="0" collapsed="false">
      <c r="B60" s="117" t="s">
        <v>4809</v>
      </c>
      <c r="C60" s="117" t="s">
        <v>4810</v>
      </c>
      <c r="D60" s="117" t="s">
        <v>4811</v>
      </c>
      <c r="E60" s="117" t="s">
        <v>4799</v>
      </c>
    </row>
    <row r="61" customFormat="false" ht="27.75" hidden="false" customHeight="true" outlineLevel="0" collapsed="false">
      <c r="B61" s="117" t="s">
        <v>4812</v>
      </c>
      <c r="C61" s="117" t="s">
        <v>4813</v>
      </c>
      <c r="D61" s="117" t="s">
        <v>4814</v>
      </c>
      <c r="E61" s="117" t="s">
        <v>4799</v>
      </c>
    </row>
    <row r="62" customFormat="false" ht="41.25" hidden="false" customHeight="true" outlineLevel="0" collapsed="false">
      <c r="B62" s="117" t="s">
        <v>4815</v>
      </c>
      <c r="C62" s="117" t="s">
        <v>4816</v>
      </c>
      <c r="D62" s="117" t="s">
        <v>4817</v>
      </c>
      <c r="E62" s="117" t="s">
        <v>4799</v>
      </c>
    </row>
    <row r="64" customFormat="false" ht="33.75" hidden="false" customHeight="true" outlineLevel="0" collapsed="false">
      <c r="B64" s="169" t="s">
        <v>4818</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2026-10-09T15:48:29Z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