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s>
  <definedNames>
    <definedName function="false" hidden="true" localSheetId="37" name="_xlnm._FilterDatabase" vbProcedure="false">'Calculation register'!$B$4:$H$107</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results'!$C$216</definedName>
    <definedName function="false" hidden="false" name="Cat_N2" vbProcedure="false">'Plan results'!$C$217</definedName>
    <definedName function="false" hidden="false" name="Cat_N3" vbProcedure="false">'Plan results'!$C$218</definedName>
    <definedName function="false" hidden="false" name="Cat_N4" vbProcedure="false">'Plan results'!$C$219</definedName>
    <definedName function="false" hidden="false" name="Cat_N5" vbProcedure="false">'Plan results'!$C$220</definedName>
    <definedName function="false" hidden="false" name="Cat_N6" vbProcedure="false">'Plan results'!$C$221</definedName>
    <definedName function="false" hidden="false" name="Chap_Avg" vbProcedure="false">'Plan results'!$I$181:$I$190</definedName>
    <definedName function="false" hidden="false" name="Chap_Dec" vbProcedure="false">'Plan results'!$C$181:$C$190</definedName>
    <definedName function="false" hidden="false" name="Chap_Dip" vbProcedure="false">'Plan results'!$H$181:$H$190</definedName>
    <definedName function="false" hidden="false" name="Chap_From" vbProcedure="false">'Plan results'!$D$181:$D$190</definedName>
    <definedName function="false" hidden="false" name="Chap_Short" vbProcedure="false">'Plan results'!$G$181:$G$190</definedName>
    <definedName function="false" hidden="false" name="Chap_Story" vbProcedure="false">'Plan results'!$K$181:$K$190</definedName>
    <definedName function="false" hidden="false" name="Chap_To" vbProcedure="false">'Plan results'!$E$181:$E$190</definedName>
    <definedName function="false" hidden="false" name="Chap_Weather" vbProcedure="false">'Plan results'!$J$181:$J$190</definedName>
    <definedName function="false" hidden="false" name="Chart_DipYears" vbProcedure="false">'Plan results'!$C$171</definedName>
    <definedName function="false" hidden="false" name="Chart_FirstLivingAge" vbProcedure="false">'Plan results'!$C$177</definedName>
    <definedName function="false" hidden="false" name="Chart_FirstShortAge" vbProcedure="false">'Plan results'!$C$173</definedName>
    <definedName function="false" hidden="false" name="Chart_FirstShortAmt" vbProcedure="false">'Plan results'!$C$174</definedName>
    <definedName function="false" hidden="false" name="Chart_FirstShortIdx" vbProcedure="false">'Plan results'!$C$172</definedName>
    <definedName function="false" hidden="false" name="Chart_LivingShortYears" vbProcedure="false">'Plan results'!$C$176</definedName>
    <definedName function="false" hidden="false" name="Chart_ShortYears" vbProcedure="false">'Plan results'!$C$170</definedName>
    <definedName function="false" hidden="false" name="Chart_TotalShort" vbProcedure="false">'Plan results'!$C$175</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results'!$C$160</definedName>
    <definedName function="false" hidden="false" name="Expert_Key" vbProcedure="false">'Plan results'!$C$161</definedName>
    <definedName function="false" hidden="false" name="Expert_Type" vbProcedure="false">'Plan results'!$C$162</definedName>
    <definedName function="false" hidden="false" name="Fill_Example" vbProcedure="false">README!$C$3</definedName>
    <definedName function="false" hidden="false" name="Fin1_St" vbProcedure="false">'Plan results'!$C$140</definedName>
    <definedName function="false" hidden="false" name="Fin2_St" vbProcedure="false">'Plan results'!$C$141</definedName>
    <definedName function="false" hidden="false" name="Fin3_St" vbProcedure="false">'Plan results'!$C$142</definedName>
    <definedName function="false" hidden="false" name="Fin4_St" vbProcedure="false">'Plan results'!$C$143</definedName>
    <definedName function="false" hidden="false" name="Fin5_St" vbProcedure="false">'Plan results'!$C$144</definedName>
    <definedName function="false" hidden="false" name="Fin6_St" vbProcedure="false">'Plan results'!$C$145</definedName>
    <definedName function="false" hidden="false" name="Findings_Over" vbProcedure="false">'Plan results'!$C$28</definedName>
    <definedName function="false" hidden="false" name="Find_BestIdx" vbProcedure="false">'Plan results'!$C$30</definedName>
    <definedName function="false" hidden="false" name="Find_BestScore" vbProcedure="false">'Plan results'!$C$29</definedName>
    <definedName function="false" hidden="false" name="Find_Decision" vbProcedure="false">'Plan results'!$C$38</definedName>
    <definedName function="false" hidden="false" name="Find_ExtraFor" vbProcedure="false">'Plan results'!$C$34</definedName>
    <definedName function="false" hidden="false" name="Find_ExtraUsed" vbProcedure="false">'Plan results'!$C$35</definedName>
    <definedName function="false" hidden="false" name="Find_Gap" vbProcedure="false">'Plan results'!$C$37</definedName>
    <definedName function="false" hidden="false" name="Find_Strength" vbProcedure="false">'Plan results'!$C$36</definedName>
    <definedName function="false" hidden="false" name="Find_WorstIdx" vbProcedure="false">'Plan results'!$C$31</definedName>
    <definedName function="false" hidden="false" name="Find_WorstName" vbProcedure="false">'Plan results'!$C$33</definedName>
    <definedName function="false" hidden="false" name="Find_WorstPct" vbProcedure="false">'Plan results'!$C$32</definedName>
    <definedName function="false" hidden="false" name="Fin_Done" vbProcedure="false">'Plan results'!$C$146</definedName>
    <definedName function="false" hidden="false" name="Fin_Key" vbProcedure="false">'Plan results'!$Q$98:$Q$136</definedName>
    <definedName function="false" hidden="false" name="Fin_MinOK" vbProcedure="false">'Plan results'!$C$147</definedName>
    <definedName function="false" hidden="false" name="Fin_Quality" vbProcedure="false">'Plan results'!$C$148</definedName>
    <definedName function="false" hidden="false" name="Fin_Sec" vbProcedure="false">'Plan results'!$N$98:$N$136</definedName>
    <definedName function="false" hidden="false" name="Fin_Skipped" vbProcedure="false">'Plan results'!$C$149</definedName>
    <definedName function="false" hidden="false" name="Fnd1_Fin" vbProcedure="false">'Plan results'!$C$86</definedName>
    <definedName function="false" hidden="false" name="Fnd1_S" vbProcedure="false">'Plan results'!$C$48</definedName>
    <definedName function="false" hidden="false" name="Fnd1_St" vbProcedure="false">'Plan results'!$C$47</definedName>
    <definedName function="false" hidden="false" name="Fnd2_Fin" vbProcedure="false">'Plan results'!$C$82</definedName>
    <definedName function="false" hidden="false" name="Fnd2_S" vbProcedure="false">'Plan results'!$C$50</definedName>
    <definedName function="false" hidden="false" name="Fnd2_St" vbProcedure="false">'Plan results'!$C$49</definedName>
    <definedName function="false" hidden="false" name="Fnd3_Fin" vbProcedure="false">'Plan results'!$C$83</definedName>
    <definedName function="false" hidden="false" name="Fnd3_S" vbProcedure="false">'Plan results'!$C$69</definedName>
    <definedName function="false" hidden="false" name="Fnd3_St" vbProcedure="false">'Plan results'!$C$68</definedName>
    <definedName function="false" hidden="false" name="Fnd4_Fin" vbProcedure="false">'Plan results'!$C$84</definedName>
    <definedName function="false" hidden="false" name="Fnd4_S" vbProcedure="false">'Plan results'!$C$75</definedName>
    <definedName function="false" hidden="false" name="Fnd4_St" vbProcedure="false">'Plan results'!$C$74</definedName>
    <definedName function="false" hidden="false" name="Fnd5_Fin" vbProcedure="false">'Plan results'!$C$85</definedName>
    <definedName function="false" hidden="false" name="Fnd5_S" vbProcedure="false">'Plan results'!$C$81</definedName>
    <definedName function="false" hidden="false" name="Fnd5_St" vbProcedure="false">'Plan results'!$C$80</definedName>
    <definedName function="false" hidden="false" name="Fnd_NextD" vbProcedure="false">'Plan results'!$C$92</definedName>
    <definedName function="false" hidden="false" name="Fnd_NextN" vbProcedure="false">'Plan results'!$C$89</definedName>
    <definedName function="false" hidden="false" name="Fnd_NextT" vbProcedure="false">'Plan results'!$C$91</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results'!$C$20</definedName>
    <definedName function="false" hidden="false" name="Gate_Count" vbProcedure="false">'Plan results'!$C$17</definedName>
    <definedName function="false" hidden="false" name="Gate_FirstLabel" vbProcedure="false">'Plan results'!$C$21</definedName>
    <definedName function="false" hidden="false" name="Gate_Keys" vbProcedure="false">'Plan results'!$C$18</definedName>
    <definedName function="false" hidden="false" name="Gate_Names" vbProcedure="false">'Plan results'!$C$19</definedName>
    <definedName function="false" hidden="false" name="Gate_Ready" vbProcedure="false">'Plan results'!$C$23</definedName>
    <definedName function="false" hidden="false" name="Gate_Text" vbProcedure="false">'Plan results'!$C$22</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inputs'!$P$119</definedName>
    <definedName function="false" hidden="false" name="Goal10_amount" vbProcedure="false">'Plan inputs'!$Q$119</definedName>
    <definedName function="false" hidden="false" name="Goal10_auto" vbProcedure="false">'Plan inputs'!$U$119</definedName>
    <definedName function="false" hidden="false" name="Goal10_key" vbProcedure="false">'Plan inputs'!$N$119</definedName>
    <definedName function="false" hidden="false" name="Goal10_name" vbProcedure="false">'Plan inputs'!$O$119</definedName>
    <definedName function="false" hidden="false" name="Goal10_prio" vbProcedure="false">'Plan inputs'!$S$119</definedName>
    <definedName function="false" hidden="false" name="Goal10_rank" vbProcedure="false">'Plan inputs'!$T$119</definedName>
    <definedName function="false" hidden="false" name="Goal10_saved" vbProcedure="false">'Plan inputs'!$R$119</definedName>
    <definedName function="false" hidden="false" name="Goal11_age" vbProcedure="false">'Plan inputs'!$P$120</definedName>
    <definedName function="false" hidden="false" name="Goal11_amount" vbProcedure="false">'Plan inputs'!$Q$120</definedName>
    <definedName function="false" hidden="false" name="Goal11_auto" vbProcedure="false">'Plan inputs'!$U$120</definedName>
    <definedName function="false" hidden="false" name="Goal11_key" vbProcedure="false">'Plan inputs'!$N$120</definedName>
    <definedName function="false" hidden="false" name="Goal11_name" vbProcedure="false">'Plan inputs'!$O$120</definedName>
    <definedName function="false" hidden="false" name="Goal11_prio" vbProcedure="false">'Plan inputs'!$S$120</definedName>
    <definedName function="false" hidden="false" name="Goal11_rank" vbProcedure="false">'Plan inputs'!$T$120</definedName>
    <definedName function="false" hidden="false" name="Goal11_saved" vbProcedure="false">'Plan inputs'!$R$120</definedName>
    <definedName function="false" hidden="false" name="Goal12_age" vbProcedure="false">'Plan inputs'!$P$121</definedName>
    <definedName function="false" hidden="false" name="Goal12_amount" vbProcedure="false">'Plan inputs'!$Q$121</definedName>
    <definedName function="false" hidden="false" name="Goal12_auto" vbProcedure="false">'Plan inputs'!$U$121</definedName>
    <definedName function="false" hidden="false" name="Goal12_key" vbProcedure="false">'Plan inputs'!$N$121</definedName>
    <definedName function="false" hidden="false" name="Goal12_name" vbProcedure="false">'Plan inputs'!$O$121</definedName>
    <definedName function="false" hidden="false" name="Goal12_prio" vbProcedure="false">'Plan inputs'!$S$121</definedName>
    <definedName function="false" hidden="false" name="Goal12_rank" vbProcedure="false">'Plan inputs'!$T$121</definedName>
    <definedName function="false" hidden="false" name="Goal12_saved" vbProcedure="false">'Plan inputs'!$R$121</definedName>
    <definedName function="false" hidden="false" name="Goal13_age" vbProcedure="false">'Plan inputs'!$P$122</definedName>
    <definedName function="false" hidden="false" name="Goal13_amount" vbProcedure="false">'Plan inputs'!$Q$122</definedName>
    <definedName function="false" hidden="false" name="Goal13_auto" vbProcedure="false">'Plan inputs'!$U$122</definedName>
    <definedName function="false" hidden="false" name="Goal13_key" vbProcedure="false">'Plan inputs'!$N$122</definedName>
    <definedName function="false" hidden="false" name="Goal13_name" vbProcedure="false">'Plan inputs'!$O$122</definedName>
    <definedName function="false" hidden="false" name="Goal13_prio" vbProcedure="false">'Plan inputs'!$S$122</definedName>
    <definedName function="false" hidden="false" name="Goal13_rank" vbProcedure="false">'Plan inputs'!$T$122</definedName>
    <definedName function="false" hidden="false" name="Goal13_saved" vbProcedure="false">'Plan inputs'!$R$122</definedName>
    <definedName function="false" hidden="false" name="Goal14_age" vbProcedure="false">'Plan inputs'!$P$123</definedName>
    <definedName function="false" hidden="false" name="Goal14_amount" vbProcedure="false">'Plan inputs'!$Q$123</definedName>
    <definedName function="false" hidden="false" name="Goal14_auto" vbProcedure="false">'Plan inputs'!$U$123</definedName>
    <definedName function="false" hidden="false" name="Goal14_key" vbProcedure="false">'Plan inputs'!$N$123</definedName>
    <definedName function="false" hidden="false" name="Goal14_name" vbProcedure="false">'Plan inputs'!$O$123</definedName>
    <definedName function="false" hidden="false" name="Goal14_prio" vbProcedure="false">'Plan inputs'!$S$123</definedName>
    <definedName function="false" hidden="false" name="Goal14_rank" vbProcedure="false">'Plan inputs'!$T$123</definedName>
    <definedName function="false" hidden="false" name="Goal14_saved" vbProcedure="false">'Plan inputs'!$R$123</definedName>
    <definedName function="false" hidden="false" name="Goal15_age" vbProcedure="false">'Plan inputs'!$P$124</definedName>
    <definedName function="false" hidden="false" name="Goal15_amount" vbProcedure="false">'Plan inputs'!$Q$124</definedName>
    <definedName function="false" hidden="false" name="Goal15_auto" vbProcedure="false">'Plan inputs'!$U$124</definedName>
    <definedName function="false" hidden="false" name="Goal15_key" vbProcedure="false">'Plan inputs'!$N$124</definedName>
    <definedName function="false" hidden="false" name="Goal15_name" vbProcedure="false">'Plan inputs'!$O$124</definedName>
    <definedName function="false" hidden="false" name="Goal15_prio" vbProcedure="false">'Plan inputs'!$S$124</definedName>
    <definedName function="false" hidden="false" name="Goal15_rank" vbProcedure="false">'Plan inputs'!$T$124</definedName>
    <definedName function="false" hidden="false" name="Goal15_saved" vbProcedure="false">'Plan inputs'!$R$124</definedName>
    <definedName function="false" hidden="false" name="Goal16_age" vbProcedure="false">'Plan inputs'!$P$125</definedName>
    <definedName function="false" hidden="false" name="Goal16_amount" vbProcedure="false">'Plan inputs'!$Q$125</definedName>
    <definedName function="false" hidden="false" name="Goal16_auto" vbProcedure="false">'Plan inputs'!$U$125</definedName>
    <definedName function="false" hidden="false" name="Goal16_key" vbProcedure="false">'Plan inputs'!$N$125</definedName>
    <definedName function="false" hidden="false" name="Goal16_name" vbProcedure="false">'Plan inputs'!$O$125</definedName>
    <definedName function="false" hidden="false" name="Goal16_prio" vbProcedure="false">'Plan inputs'!$S$125</definedName>
    <definedName function="false" hidden="false" name="Goal16_rank" vbProcedure="false">'Plan inputs'!$T$125</definedName>
    <definedName function="false" hidden="false" name="Goal16_saved" vbProcedure="false">'Plan inputs'!$R$125</definedName>
    <definedName function="false" hidden="false" name="Goal17_age" vbProcedure="false">'Plan inputs'!$P$126</definedName>
    <definedName function="false" hidden="false" name="Goal17_amount" vbProcedure="false">'Plan inputs'!$Q$126</definedName>
    <definedName function="false" hidden="false" name="Goal17_auto" vbProcedure="false">'Plan inputs'!$U$126</definedName>
    <definedName function="false" hidden="false" name="Goal17_key" vbProcedure="false">'Plan inputs'!$N$126</definedName>
    <definedName function="false" hidden="false" name="Goal17_name" vbProcedure="false">'Plan inputs'!$O$126</definedName>
    <definedName function="false" hidden="false" name="Goal17_prio" vbProcedure="false">'Plan inputs'!$S$126</definedName>
    <definedName function="false" hidden="false" name="Goal17_rank" vbProcedure="false">'Plan inputs'!$T$126</definedName>
    <definedName function="false" hidden="false" name="Goal17_saved" vbProcedure="false">'Plan inputs'!$R$126</definedName>
    <definedName function="false" hidden="false" name="Goal18_age" vbProcedure="false">'Plan inputs'!$P$127</definedName>
    <definedName function="false" hidden="false" name="Goal18_amount" vbProcedure="false">'Plan inputs'!$Q$127</definedName>
    <definedName function="false" hidden="false" name="Goal18_auto" vbProcedure="false">'Plan inputs'!$U$127</definedName>
    <definedName function="false" hidden="false" name="Goal18_key" vbProcedure="false">'Plan inputs'!$N$127</definedName>
    <definedName function="false" hidden="false" name="Goal18_name" vbProcedure="false">'Plan inputs'!$O$127</definedName>
    <definedName function="false" hidden="false" name="Goal18_prio" vbProcedure="false">'Plan inputs'!$S$127</definedName>
    <definedName function="false" hidden="false" name="Goal18_rank" vbProcedure="false">'Plan inputs'!$T$127</definedName>
    <definedName function="false" hidden="false" name="Goal18_saved" vbProcedure="false">'Plan inputs'!$R$127</definedName>
    <definedName function="false" hidden="false" name="Goal19_age" vbProcedure="false">'Plan inputs'!$P$128</definedName>
    <definedName function="false" hidden="false" name="Goal19_amount" vbProcedure="false">'Plan inputs'!$Q$128</definedName>
    <definedName function="false" hidden="false" name="Goal19_auto" vbProcedure="false">'Plan inputs'!$U$128</definedName>
    <definedName function="false" hidden="false" name="Goal19_key" vbProcedure="false">'Plan inputs'!$N$128</definedName>
    <definedName function="false" hidden="false" name="Goal19_name" vbProcedure="false">'Plan inputs'!$O$128</definedName>
    <definedName function="false" hidden="false" name="Goal19_prio" vbProcedure="false">'Plan inputs'!$S$128</definedName>
    <definedName function="false" hidden="false" name="Goal19_rank" vbProcedure="false">'Plan inputs'!$T$128</definedName>
    <definedName function="false" hidden="false" name="Goal19_saved" vbProcedure="false">'Plan inputs'!$R$128</definedName>
    <definedName function="false" hidden="false" name="Goal1_age" vbProcedure="false">'Plan inputs'!$P$110</definedName>
    <definedName function="false" hidden="false" name="Goal1_amount" vbProcedure="false">'Plan inputs'!$Q$110</definedName>
    <definedName function="false" hidden="false" name="Goal1_auto" vbProcedure="false">'Plan inputs'!$U$110</definedName>
    <definedName function="false" hidden="false" name="Goal1_key" vbProcedure="false">'Plan inputs'!$N$110</definedName>
    <definedName function="false" hidden="false" name="Goal1_name" vbProcedure="false">'Plan inputs'!$O$110</definedName>
    <definedName function="false" hidden="false" name="Goal1_prio" vbProcedure="false">'Plan inputs'!$S$110</definedName>
    <definedName function="false" hidden="false" name="Goal1_rank" vbProcedure="false">'Plan inputs'!$T$110</definedName>
    <definedName function="false" hidden="false" name="Goal1_saved" vbProcedure="false">'Plan inputs'!$R$110</definedName>
    <definedName function="false" hidden="false" name="Goal20_age" vbProcedure="false">'Plan inputs'!$P$129</definedName>
    <definedName function="false" hidden="false" name="Goal20_amount" vbProcedure="false">'Plan inputs'!$Q$129</definedName>
    <definedName function="false" hidden="false" name="Goal20_auto" vbProcedure="false">'Plan inputs'!$U$129</definedName>
    <definedName function="false" hidden="false" name="Goal20_key" vbProcedure="false">'Plan inputs'!$N$129</definedName>
    <definedName function="false" hidden="false" name="Goal20_name" vbProcedure="false">'Plan inputs'!$O$129</definedName>
    <definedName function="false" hidden="false" name="Goal20_prio" vbProcedure="false">'Plan inputs'!$S$129</definedName>
    <definedName function="false" hidden="false" name="Goal20_rank" vbProcedure="false">'Plan inputs'!$T$129</definedName>
    <definedName function="false" hidden="false" name="Goal20_saved" vbProcedure="false">'Plan inputs'!$R$129</definedName>
    <definedName function="false" hidden="false" name="Goal21_age" vbProcedure="false">'Plan inputs'!$P$130</definedName>
    <definedName function="false" hidden="false" name="Goal21_amount" vbProcedure="false">'Plan inputs'!$Q$130</definedName>
    <definedName function="false" hidden="false" name="Goal21_auto" vbProcedure="false">'Plan inputs'!$U$130</definedName>
    <definedName function="false" hidden="false" name="Goal21_key" vbProcedure="false">'Plan inputs'!$N$130</definedName>
    <definedName function="false" hidden="false" name="Goal21_name" vbProcedure="false">'Plan inputs'!$O$130</definedName>
    <definedName function="false" hidden="false" name="Goal21_prio" vbProcedure="false">'Plan inputs'!$S$130</definedName>
    <definedName function="false" hidden="false" name="Goal21_rank" vbProcedure="false">'Plan inputs'!$T$130</definedName>
    <definedName function="false" hidden="false" name="Goal21_saved" vbProcedure="false">'Plan inputs'!$R$130</definedName>
    <definedName function="false" hidden="false" name="Goal22_age" vbProcedure="false">'Plan inputs'!$P$131</definedName>
    <definedName function="false" hidden="false" name="Goal22_amount" vbProcedure="false">'Plan inputs'!$Q$131</definedName>
    <definedName function="false" hidden="false" name="Goal22_auto" vbProcedure="false">'Plan inputs'!$U$131</definedName>
    <definedName function="false" hidden="false" name="Goal22_key" vbProcedure="false">'Plan inputs'!$N$131</definedName>
    <definedName function="false" hidden="false" name="Goal22_name" vbProcedure="false">'Plan inputs'!$O$131</definedName>
    <definedName function="false" hidden="false" name="Goal22_prio" vbProcedure="false">'Plan inputs'!$S$131</definedName>
    <definedName function="false" hidden="false" name="Goal22_rank" vbProcedure="false">'Plan inputs'!$T$131</definedName>
    <definedName function="false" hidden="false" name="Goal22_saved" vbProcedure="false">'Plan inputs'!$R$131</definedName>
    <definedName function="false" hidden="false" name="Goal2_age" vbProcedure="false">'Plan inputs'!$P$111</definedName>
    <definedName function="false" hidden="false" name="Goal2_amount" vbProcedure="false">'Plan inputs'!$Q$111</definedName>
    <definedName function="false" hidden="false" name="Goal2_auto" vbProcedure="false">'Plan inputs'!$U$111</definedName>
    <definedName function="false" hidden="false" name="Goal2_key" vbProcedure="false">'Plan inputs'!$N$111</definedName>
    <definedName function="false" hidden="false" name="Goal2_name" vbProcedure="false">'Plan inputs'!$O$111</definedName>
    <definedName function="false" hidden="false" name="Goal2_prio" vbProcedure="false">'Plan inputs'!$S$111</definedName>
    <definedName function="false" hidden="false" name="Goal2_rank" vbProcedure="false">'Plan inputs'!$T$111</definedName>
    <definedName function="false" hidden="false" name="Goal2_saved" vbProcedure="false">'Plan inputs'!$R$111</definedName>
    <definedName function="false" hidden="false" name="Goal3_age" vbProcedure="false">'Plan inputs'!$P$112</definedName>
    <definedName function="false" hidden="false" name="Goal3_amount" vbProcedure="false">'Plan inputs'!$Q$112</definedName>
    <definedName function="false" hidden="false" name="Goal3_auto" vbProcedure="false">'Plan inputs'!$U$112</definedName>
    <definedName function="false" hidden="false" name="Goal3_key" vbProcedure="false">'Plan inputs'!$N$112</definedName>
    <definedName function="false" hidden="false" name="Goal3_name" vbProcedure="false">'Plan inputs'!$O$112</definedName>
    <definedName function="false" hidden="false" name="Goal3_prio" vbProcedure="false">'Plan inputs'!$S$112</definedName>
    <definedName function="false" hidden="false" name="Goal3_rank" vbProcedure="false">'Plan inputs'!$T$112</definedName>
    <definedName function="false" hidden="false" name="Goal3_saved" vbProcedure="false">'Plan inputs'!$R$112</definedName>
    <definedName function="false" hidden="false" name="Goal4_age" vbProcedure="false">'Plan inputs'!$P$113</definedName>
    <definedName function="false" hidden="false" name="Goal4_amount" vbProcedure="false">'Plan inputs'!$Q$113</definedName>
    <definedName function="false" hidden="false" name="Goal4_auto" vbProcedure="false">'Plan inputs'!$U$113</definedName>
    <definedName function="false" hidden="false" name="Goal4_key" vbProcedure="false">'Plan inputs'!$N$113</definedName>
    <definedName function="false" hidden="false" name="Goal4_name" vbProcedure="false">'Plan inputs'!$O$113</definedName>
    <definedName function="false" hidden="false" name="Goal4_prio" vbProcedure="false">'Plan inputs'!$S$113</definedName>
    <definedName function="false" hidden="false" name="Goal4_rank" vbProcedure="false">'Plan inputs'!$T$113</definedName>
    <definedName function="false" hidden="false" name="Goal4_saved" vbProcedure="false">'Plan inputs'!$R$113</definedName>
    <definedName function="false" hidden="false" name="Goal5_age" vbProcedure="false">'Plan inputs'!$P$114</definedName>
    <definedName function="false" hidden="false" name="Goal5_amount" vbProcedure="false">'Plan inputs'!$Q$114</definedName>
    <definedName function="false" hidden="false" name="Goal5_auto" vbProcedure="false">'Plan inputs'!$U$114</definedName>
    <definedName function="false" hidden="false" name="Goal5_key" vbProcedure="false">'Plan inputs'!$N$114</definedName>
    <definedName function="false" hidden="false" name="Goal5_name" vbProcedure="false">'Plan inputs'!$O$114</definedName>
    <definedName function="false" hidden="false" name="Goal5_prio" vbProcedure="false">'Plan inputs'!$S$114</definedName>
    <definedName function="false" hidden="false" name="Goal5_rank" vbProcedure="false">'Plan inputs'!$T$114</definedName>
    <definedName function="false" hidden="false" name="Goal5_saved" vbProcedure="false">'Plan inputs'!$R$114</definedName>
    <definedName function="false" hidden="false" name="Goal6_age" vbProcedure="false">'Plan inputs'!$P$115</definedName>
    <definedName function="false" hidden="false" name="Goal6_amount" vbProcedure="false">'Plan inputs'!$Q$115</definedName>
    <definedName function="false" hidden="false" name="Goal6_auto" vbProcedure="false">'Plan inputs'!$U$115</definedName>
    <definedName function="false" hidden="false" name="Goal6_key" vbProcedure="false">'Plan inputs'!$N$115</definedName>
    <definedName function="false" hidden="false" name="Goal6_name" vbProcedure="false">'Plan inputs'!$O$115</definedName>
    <definedName function="false" hidden="false" name="Goal6_prio" vbProcedure="false">'Plan inputs'!$S$115</definedName>
    <definedName function="false" hidden="false" name="Goal6_rank" vbProcedure="false">'Plan inputs'!$T$115</definedName>
    <definedName function="false" hidden="false" name="Goal6_saved" vbProcedure="false">'Plan inputs'!$R$115</definedName>
    <definedName function="false" hidden="false" name="Goal7_age" vbProcedure="false">'Plan inputs'!$P$116</definedName>
    <definedName function="false" hidden="false" name="Goal7_amount" vbProcedure="false">'Plan inputs'!$Q$116</definedName>
    <definedName function="false" hidden="false" name="Goal7_auto" vbProcedure="false">'Plan inputs'!$U$116</definedName>
    <definedName function="false" hidden="false" name="Goal7_key" vbProcedure="false">'Plan inputs'!$N$116</definedName>
    <definedName function="false" hidden="false" name="Goal7_name" vbProcedure="false">'Plan inputs'!$O$116</definedName>
    <definedName function="false" hidden="false" name="Goal7_prio" vbProcedure="false">'Plan inputs'!$S$116</definedName>
    <definedName function="false" hidden="false" name="Goal7_rank" vbProcedure="false">'Plan inputs'!$T$116</definedName>
    <definedName function="false" hidden="false" name="Goal7_saved" vbProcedure="false">'Plan inputs'!$R$116</definedName>
    <definedName function="false" hidden="false" name="Goal8_age" vbProcedure="false">'Plan inputs'!$P$117</definedName>
    <definedName function="false" hidden="false" name="Goal8_amount" vbProcedure="false">'Plan inputs'!$Q$117</definedName>
    <definedName function="false" hidden="false" name="Goal8_auto" vbProcedure="false">'Plan inputs'!$U$117</definedName>
    <definedName function="false" hidden="false" name="Goal8_key" vbProcedure="false">'Plan inputs'!$N$117</definedName>
    <definedName function="false" hidden="false" name="Goal8_name" vbProcedure="false">'Plan inputs'!$O$117</definedName>
    <definedName function="false" hidden="false" name="Goal8_prio" vbProcedure="false">'Plan inputs'!$S$117</definedName>
    <definedName function="false" hidden="false" name="Goal8_rank" vbProcedure="false">'Plan inputs'!$T$117</definedName>
    <definedName function="false" hidden="false" name="Goal8_saved" vbProcedure="false">'Plan inputs'!$R$117</definedName>
    <definedName function="false" hidden="false" name="Goal9_age" vbProcedure="false">'Plan inputs'!$P$118</definedName>
    <definedName function="false" hidden="false" name="Goal9_amount" vbProcedure="false">'Plan inputs'!$Q$118</definedName>
    <definedName function="false" hidden="false" name="Goal9_auto" vbProcedure="false">'Plan inputs'!$U$118</definedName>
    <definedName function="false" hidden="false" name="Goal9_key" vbProcedure="false">'Plan inputs'!$N$118</definedName>
    <definedName function="false" hidden="false" name="Goal9_name" vbProcedure="false">'Plan inputs'!$O$118</definedName>
    <definedName function="false" hidden="false" name="Goal9_prio" vbProcedure="false">'Plan inputs'!$S$118</definedName>
    <definedName function="false" hidden="false" name="Goal9_rank" vbProcedure="false">'Plan inputs'!$T$118</definedName>
    <definedName function="false" hidden="false" name="Goal9_saved" vbProcedure="false">'Plan inputs'!$R$118</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inputs'!$N$110</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results'!$C$139</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inputs'!$H$78</definedName>
    <definedName function="false" hidden="false" name="Has_ae" vbProcedure="false">'Plan inputs'!$H$56</definedName>
    <definedName function="false" hidden="false" name="Has_age" vbProcedure="false">'Plan inputs'!$H$5</definedName>
    <definedName function="false" hidden="false" name="Has_assumeSet" vbProcedure="false">'Plan inputs'!$H$12</definedName>
    <definedName function="false" hidden="false" name="Has_a_accessAge" vbProcedure="false">'Plan inputs'!$H$89</definedName>
    <definedName function="false" hidden="false" name="Has_a_bands" vbProcedure="false">'Plan inputs'!$H$86</definedName>
    <definedName function="false" hidden="false" name="Has_a_cardRate" vbProcedure="false">'Plan inputs'!$H$102</definedName>
    <definedName function="false" hidden="false" name="Has_a_cash" vbProcedure="false">'Plan inputs'!$H$82</definedName>
    <definedName function="false" hidden="false" name="Has_a_cashYears" vbProcedure="false">'Plan inputs'!$H$95</definedName>
    <definedName function="false" hidden="false" name="Has_a_drawFixed" vbProcedure="false">'Plan inputs'!$H$93</definedName>
    <definedName function="false" hidden="false" name="Has_a_drawRule" vbProcedure="false">'Plan inputs'!$H$92</definedName>
    <definedName function="false" hidden="false" name="Has_a_inv" vbProcedure="false">'Plan inputs'!$H$81</definedName>
    <definedName function="false" hidden="false" name="Has_a_investShare" vbProcedure="false">'Plan inputs'!$H$96</definedName>
    <definedName function="false" hidden="false" name="Has_a_loanRate" vbProcedure="false">'Plan inputs'!$H$103</definedName>
    <definedName function="false" hidden="false" name="Has_a_lumpSum" vbProcedure="false">'Plan inputs'!$H$91</definedName>
    <definedName function="false" hidden="false" name="Has_a_mortRate" vbProcedure="false">'Plan inputs'!$H$101</definedName>
    <definedName function="false" hidden="false" name="Has_a_noAnswer" vbProcedure="false">'Plan inputs'!$H$98</definedName>
    <definedName function="false" hidden="false" name="Has_a_ownShare" vbProcedure="false">'Plan inputs'!$H$88</definedName>
    <definedName function="false" hidden="false" name="Has_a_pen" vbProcedure="false">'Plan inputs'!$H$83</definedName>
    <definedName function="false" hidden="false" name="Has_a_penChg" vbProcedure="false">'Plan inputs'!$H$107</definedName>
    <definedName function="false" hidden="false" name="Has_a_penRet" vbProcedure="false">'Plan inputs'!$H$84</definedName>
    <definedName function="false" hidden="false" name="Has_a_planEnd" vbProcedure="false">'Plan inputs'!$H$99</definedName>
    <definedName function="false" hidden="false" name="Has_a_pSpWeek" vbProcedure="false">'Plan inputs'!$H$105</definedName>
    <definedName function="false" hidden="false" name="Has_a_retireSpend" vbProcedure="false">'Plan inputs'!$H$90</definedName>
    <definedName function="false" hidden="false" name="Has_a_safetyMonths" vbProcedure="false">'Plan inputs'!$H$94</definedName>
    <definedName function="false" hidden="false" name="Has_a_saveShare" vbProcedure="false">'Plan inputs'!$H$97</definedName>
    <definedName function="false" hidden="false" name="Has_a_spGrow" vbProcedure="false">'Plan inputs'!$H$87</definedName>
    <definedName function="false" hidden="false" name="Has_a_spWeek" vbProcedure="false">'Plan inputs'!$H$104</definedName>
    <definedName function="false" hidden="false" name="Has_a_spYears" vbProcedure="false">'Plan inputs'!$H$106</definedName>
    <definedName function="false" hidden="false" name="Has_a_startYear" vbProcedure="false">'Plan inputs'!$H$100</definedName>
    <definedName function="false" hidden="false" name="Has_a_wage" vbProcedure="false">'Plan inputs'!$H$85</definedName>
    <definedName function="false" hidden="false" name="Has_booked" vbProcedure="false">'Plan inputs'!$H$67</definedName>
    <definedName function="false" hidden="false" name="Has_cardBal" vbProcedure="false">'Plan inputs'!$H$44</definedName>
    <definedName function="false" hidden="false" name="Has_cardPayM" vbProcedure="false">'Plan inputs'!$H$45</definedName>
    <definedName function="false" hidden="false" name="Has_cardRate" vbProcedure="false">'Plan inputs'!$H$46</definedName>
    <definedName function="false" hidden="false" name="Has_cash" vbProcedure="false">'Plan inputs'!$H$38</definedName>
    <definedName function="false" hidden="false" name="Has_ci" vbProcedure="false">'Plan inputs'!$H$62</definedName>
    <definedName function="false" hidden="false" name="Has_costsM" vbProcedure="false">'Plan inputs'!$H$32</definedName>
    <definedName function="false" hidden="false" name="Has_credCarer" vbProcedure="false">'Plan inputs'!$H$19</definedName>
    <definedName function="false" hidden="false" name="Has_credLone" vbProcedure="false">'Plan inputs'!$H$18</definedName>
    <definedName function="false" hidden="false" name="Has_credRent" vbProcedure="false">'Plan inputs'!$H$17</definedName>
    <definedName function="false" hidden="false" name="Has_debt" vbProcedure="false">'Plan inputs'!$H$50</definedName>
    <definedName function="false" hidden="false" name="Has_debtPayM" vbProcedure="false">'Plan inputs'!$H$51</definedName>
    <definedName function="false" hidden="false" name="Has_deps" vbProcedure="false">'Plan inputs'!$H$8</definedName>
    <definedName function="false" hidden="false" name="Has_health" vbProcedure="false">'Plan inputs'!$H$64</definedName>
    <definedName function="false" hidden="false" name="Has_home" vbProcedure="false">'Plan inputs'!$H$36</definedName>
    <definedName function="false" hidden="false" name="Has_homeValue" vbProcedure="false">'Plan inputs'!$H$37</definedName>
    <definedName function="false" hidden="false" name="Has_income" vbProcedure="false">'Plan inputs'!$H$28</definedName>
    <definedName function="false" hidden="false" name="Has_infl" vbProcedure="false">'Plan inputs'!$H$11</definedName>
    <definedName function="false" hidden="false" name="Has_invest" vbProcedure="false">'Plan inputs'!$H$39</definedName>
    <definedName function="false" hidden="false" name="Has_ip" vbProcedure="false">'Plan inputs'!$H$61</definedName>
    <definedName function="false" hidden="false" name="Has_life" vbProcedure="false">'Plan inputs'!$H$60</definedName>
    <definedName function="false" hidden="false" name="Has_loanBal" vbProcedure="false">'Plan inputs'!$H$47</definedName>
    <definedName function="false" hidden="false" name="Has_loanPayM" vbProcedure="false">'Plan inputs'!$H$48</definedName>
    <definedName function="false" hidden="false" name="Has_loanRate" vbProcedure="false">'Plan inputs'!$H$49</definedName>
    <definedName function="false" hidden="false" name="Has_lookKeys" vbProcedure="false">'Plan inputs'!$H$77</definedName>
    <definedName function="false" hidden="false" name="Has_married" vbProcedure="false">'Plan inputs'!$H$7</definedName>
    <definedName function="false" hidden="false" name="Has_mortBal" vbProcedure="false">'Plan inputs'!$H$40</definedName>
    <definedName function="false" hidden="false" name="Has_mortPayM" vbProcedure="false">'Plan inputs'!$H$42</definedName>
    <definedName function="false" hidden="false" name="Has_mortRate" vbProcedure="false">'Plan inputs'!$H$41</definedName>
    <definedName function="false" hidden="false" name="Has_mortYears" vbProcedure="false">'Plan inputs'!$H$43</definedName>
    <definedName function="false" hidden="false" name="Has_oneOffY" vbProcedure="false">'Plan inputs'!$H$33</definedName>
    <definedName function="false" hidden="false" name="Has_otherM" vbProcedure="false">'Plan inputs'!$H$31</definedName>
    <definedName function="false" hidden="false" name="Has_pAge" vbProcedure="false">'Plan inputs'!$H$30</definedName>
    <definedName function="false" hidden="false" name="Has_partner" vbProcedure="false">'Plan inputs'!$H$6</definedName>
    <definedName function="false" hidden="false" name="Has_penChg" vbProcedure="false">'Plan inputs'!$H$55</definedName>
    <definedName function="false" hidden="false" name="Has_penExtra" vbProcedure="false">'Plan inputs'!$H$16</definedName>
    <definedName function="false" hidden="false" name="Has_pension" vbProcedure="false">'Plan inputs'!$H$52</definedName>
    <definedName function="false" hidden="false" name="Has_pensionM" vbProcedure="false">'Plan inputs'!$H$53</definedName>
    <definedName function="false" hidden="false" name="Has_pensionOwnM" vbProcedure="false">'Plan inputs'!$H$54</definedName>
    <definedName function="false" hidden="false" name="Has_pIncome" vbProcedure="false">'Plan inputs'!$H$29</definedName>
    <definedName function="false" hidden="false" name="Has_prefSet" vbProcedure="false">'Plan inputs'!$H$70</definedName>
    <definedName function="false" hidden="false" name="Has_pRet" vbProcedure="false">'Plan inputs'!$H$10</definedName>
    <definedName function="false" hidden="false" name="Has_propValue" vbProcedure="false">'Plan inputs'!$H$34</definedName>
    <definedName function="false" hidden="false" name="Has_pSp" vbProcedure="false">'Plan inputs'!$H$59</definedName>
    <definedName function="false" hidden="false" name="Has_q6" vbProcedure="false">'Plan inputs'!$H$13</definedName>
    <definedName function="false" hidden="false" name="Has_rechecked" vbProcedure="false">'Plan inputs'!$H$69</definedName>
    <definedName function="false" hidden="false" name="Has_rentM" vbProcedure="false">'Plan inputs'!$H$35</definedName>
    <definedName function="false" hidden="false" name="Has_retireAge" vbProcedure="false">'Plan inputs'!$H$9</definedName>
    <definedName function="false" hidden="false" name="Has_saved1" vbProcedure="false">'Plan inputs'!$H$71</definedName>
    <definedName function="false" hidden="false" name="Has_saved2" vbProcedure="false">'Plan inputs'!$H$72</definedName>
    <definedName function="false" hidden="false" name="Has_saved3" vbProcedure="false">'Plan inputs'!$H$73</definedName>
    <definedName function="false" hidden="false" name="Has_saved4" vbProcedure="false">'Plan inputs'!$H$74</definedName>
    <definedName function="false" hidden="false" name="Has_saved5" vbProcedure="false">'Plan inputs'!$H$75</definedName>
    <definedName function="false" hidden="false" name="Has_saved6" vbProcedure="false">'Plan inputs'!$H$76</definedName>
    <definedName function="false" hidden="false" name="Has_saveM" vbProcedure="false">'Plan inputs'!$H$14</definedName>
    <definedName function="false" hidden="false" name="Has_saveUp" vbProcedure="false">'Plan inputs'!$H$15</definedName>
    <definedName function="false" hidden="false" name="Has_slot" vbProcedure="false">'Plan inputs'!$H$68</definedName>
    <definedName function="false" hidden="false" name="Has_sp" vbProcedure="false">'Plan inputs'!$H$57</definedName>
    <definedName function="false" hidden="false" name="Has_spYears" vbProcedure="false">'Plan inputs'!$H$58</definedName>
    <definedName function="false" hidden="false" name="Has_wiGoal" vbProcedure="false">'Plan inputs'!$H$22</definedName>
    <definedName function="false" hidden="false" name="Has_wiL" vbProcedure="false">'Plan inputs'!$H$24</definedName>
    <definedName function="false" hidden="false" name="Has_wiM" vbProcedure="false">'Plan inputs'!$H$23</definedName>
    <definedName function="false" hidden="false" name="Has_work" vbProcedure="false">'Plan inputs'!$H$27</definedName>
    <definedName function="false" hidden="false" name="Has_workCover" vbProcedure="false">'Plan inputs'!$H$63</definedName>
    <definedName function="false" hidden="false" name="Health_Listed_Total" vbProcedure="false">'Your lists'!$D$81</definedName>
    <definedName function="false" hidden="false" name="Home_Avg" vbProcedure="false">'Plan results'!$C$155</definedName>
    <definedName function="false" hidden="false" name="Home_Band" vbProcedure="false">'Plan results'!$C$157</definedName>
    <definedName function="false" hidden="false" name="Home_N" vbProcedure="false">'Plan results'!$C$154</definedName>
    <definedName function="false" hidden="false" name="Home_OnTrack" vbProcedure="false">'Plan results'!$C$156</definedName>
    <definedName function="false" hidden="false" name="Home_Rough" vbProcedure="false">'Plan results'!$C$150</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inputs'!$G$78</definedName>
    <definedName function="false" hidden="false" name="In_ae" vbProcedure="false">'Plan inputs'!$G$56</definedName>
    <definedName function="false" hidden="false" name="In_age" vbProcedure="false">'Plan inputs'!$G$5</definedName>
    <definedName function="false" hidden="false" name="In_assumeSet" vbProcedure="false">'Plan inputs'!$G$12</definedName>
    <definedName function="false" hidden="false" name="In_a_accessAge" vbProcedure="false">'Plan inputs'!$G$89</definedName>
    <definedName function="false" hidden="false" name="In_a_bands" vbProcedure="false">'Plan inputs'!$G$86</definedName>
    <definedName function="false" hidden="false" name="In_a_cardRate" vbProcedure="false">'Plan inputs'!$G$102</definedName>
    <definedName function="false" hidden="false" name="In_a_cash" vbProcedure="false">'Plan inputs'!$G$82</definedName>
    <definedName function="false" hidden="false" name="In_a_cashYears" vbProcedure="false">'Plan inputs'!$G$95</definedName>
    <definedName function="false" hidden="false" name="In_a_drawFixed" vbProcedure="false">'Plan inputs'!$G$93</definedName>
    <definedName function="false" hidden="false" name="In_a_drawRule" vbProcedure="false">'Plan inputs'!$G$92</definedName>
    <definedName function="false" hidden="false" name="In_a_inv" vbProcedure="false">'Plan inputs'!$G$81</definedName>
    <definedName function="false" hidden="false" name="In_a_investShare" vbProcedure="false">'Plan inputs'!$G$96</definedName>
    <definedName function="false" hidden="false" name="In_a_loanRate" vbProcedure="false">'Plan inputs'!$G$103</definedName>
    <definedName function="false" hidden="false" name="In_a_lumpSum" vbProcedure="false">'Plan inputs'!$G$91</definedName>
    <definedName function="false" hidden="false" name="In_a_mortRate" vbProcedure="false">'Plan inputs'!$G$101</definedName>
    <definedName function="false" hidden="false" name="In_a_noAnswer" vbProcedure="false">'Plan inputs'!$G$98</definedName>
    <definedName function="false" hidden="false" name="In_a_ownShare" vbProcedure="false">'Plan inputs'!$G$88</definedName>
    <definedName function="false" hidden="false" name="In_a_pen" vbProcedure="false">'Plan inputs'!$G$83</definedName>
    <definedName function="false" hidden="false" name="In_a_penChg" vbProcedure="false">'Plan inputs'!$G$107</definedName>
    <definedName function="false" hidden="false" name="In_a_penRet" vbProcedure="false">'Plan inputs'!$G$84</definedName>
    <definedName function="false" hidden="false" name="In_a_planEnd" vbProcedure="false">'Plan inputs'!$G$99</definedName>
    <definedName function="false" hidden="false" name="In_a_pSpWeek" vbProcedure="false">'Plan inputs'!$G$105</definedName>
    <definedName function="false" hidden="false" name="In_a_retireSpend" vbProcedure="false">'Plan inputs'!$G$90</definedName>
    <definedName function="false" hidden="false" name="In_a_safetyMonths" vbProcedure="false">'Plan inputs'!$G$94</definedName>
    <definedName function="false" hidden="false" name="In_a_saveShare" vbProcedure="false">'Plan inputs'!$G$97</definedName>
    <definedName function="false" hidden="false" name="In_a_spGrow" vbProcedure="false">'Plan inputs'!$G$87</definedName>
    <definedName function="false" hidden="false" name="In_a_spWeek" vbProcedure="false">'Plan inputs'!$G$104</definedName>
    <definedName function="false" hidden="false" name="In_a_spYears" vbProcedure="false">'Plan inputs'!$G$106</definedName>
    <definedName function="false" hidden="false" name="In_a_startYear" vbProcedure="false">'Plan inputs'!$G$100</definedName>
    <definedName function="false" hidden="false" name="In_a_wage" vbProcedure="false">'Plan inputs'!$G$85</definedName>
    <definedName function="false" hidden="false" name="In_booked" vbProcedure="false">'Plan inputs'!$G$67</definedName>
    <definedName function="false" hidden="false" name="In_cardBal" vbProcedure="false">'Plan inputs'!$G$44</definedName>
    <definedName function="false" hidden="false" name="In_cardPayM" vbProcedure="false">'Plan inputs'!$G$45</definedName>
    <definedName function="false" hidden="false" name="In_cardRate" vbProcedure="false">'Plan inputs'!$G$46</definedName>
    <definedName function="false" hidden="false" name="In_cash" vbProcedure="false">'Plan inputs'!$G$38</definedName>
    <definedName function="false" hidden="false" name="In_ci" vbProcedure="false">'Plan inputs'!$G$62</definedName>
    <definedName function="false" hidden="false" name="In_costsM" vbProcedure="false">'Plan inputs'!$G$32</definedName>
    <definedName function="false" hidden="false" name="In_credCarer" vbProcedure="false">'Plan inputs'!$G$19</definedName>
    <definedName function="false" hidden="false" name="In_credLone" vbProcedure="false">'Plan inputs'!$G$18</definedName>
    <definedName function="false" hidden="false" name="In_credRent" vbProcedure="false">'Plan inputs'!$G$17</definedName>
    <definedName function="false" hidden="false" name="In_debt" vbProcedure="false">'Plan inputs'!$G$50</definedName>
    <definedName function="false" hidden="false" name="In_debtPayM" vbProcedure="false">'Plan inputs'!$G$51</definedName>
    <definedName function="false" hidden="false" name="In_deps" vbProcedure="false">'Plan inputs'!$G$8</definedName>
    <definedName function="false" hidden="false" name="In_health" vbProcedure="false">'Plan inputs'!$G$64</definedName>
    <definedName function="false" hidden="false" name="In_home" vbProcedure="false">'Plan inputs'!$G$36</definedName>
    <definedName function="false" hidden="false" name="In_homeValue" vbProcedure="false">'Plan inputs'!$G$37</definedName>
    <definedName function="false" hidden="false" name="In_income" vbProcedure="false">'Plan inputs'!$G$28</definedName>
    <definedName function="false" hidden="false" name="In_infl" vbProcedure="false">'Plan inputs'!$G$11</definedName>
    <definedName function="false" hidden="false" name="In_invest" vbProcedure="false">'Plan inputs'!$G$39</definedName>
    <definedName function="false" hidden="false" name="In_ip" vbProcedure="false">'Plan inputs'!$G$61</definedName>
    <definedName function="false" hidden="false" name="In_life" vbProcedure="false">'Plan inputs'!$G$60</definedName>
    <definedName function="false" hidden="false" name="In_loanBal" vbProcedure="false">'Plan inputs'!$G$47</definedName>
    <definedName function="false" hidden="false" name="In_loanPayM" vbProcedure="false">'Plan inputs'!$G$48</definedName>
    <definedName function="false" hidden="false" name="In_loanRate" vbProcedure="false">'Plan inputs'!$G$49</definedName>
    <definedName function="false" hidden="false" name="In_lookKeys" vbProcedure="false">'Plan inputs'!$G$77</definedName>
    <definedName function="false" hidden="false" name="In_married" vbProcedure="false">'Plan inputs'!$G$7</definedName>
    <definedName function="false" hidden="false" name="In_mortBal" vbProcedure="false">'Plan inputs'!$G$40</definedName>
    <definedName function="false" hidden="false" name="In_mortPayM" vbProcedure="false">'Plan inputs'!$G$42</definedName>
    <definedName function="false" hidden="false" name="In_mortRate" vbProcedure="false">'Plan inputs'!$G$41</definedName>
    <definedName function="false" hidden="false" name="In_mortYears" vbProcedure="false">'Plan inputs'!$G$43</definedName>
    <definedName function="false" hidden="false" name="In_oneOffY" vbProcedure="false">'Plan inputs'!$G$33</definedName>
    <definedName function="false" hidden="false" name="In_otherM" vbProcedure="false">'Plan inputs'!$G$31</definedName>
    <definedName function="false" hidden="false" name="In_pAge" vbProcedure="false">'Plan inputs'!$G$30</definedName>
    <definedName function="false" hidden="false" name="In_partner" vbProcedure="false">'Plan inputs'!$G$6</definedName>
    <definedName function="false" hidden="false" name="In_penChg" vbProcedure="false">'Plan inputs'!$G$55</definedName>
    <definedName function="false" hidden="false" name="In_penExtra" vbProcedure="false">'Plan inputs'!$G$16</definedName>
    <definedName function="false" hidden="false" name="In_pension" vbProcedure="false">'Plan inputs'!$G$52</definedName>
    <definedName function="false" hidden="false" name="In_pensionM" vbProcedure="false">'Plan inputs'!$G$53</definedName>
    <definedName function="false" hidden="false" name="In_pensionOwnM" vbProcedure="false">'Plan inputs'!$G$54</definedName>
    <definedName function="false" hidden="false" name="In_pIncome" vbProcedure="false">'Plan inputs'!$G$29</definedName>
    <definedName function="false" hidden="false" name="In_prefSet" vbProcedure="false">'Plan inputs'!$G$70</definedName>
    <definedName function="false" hidden="false" name="In_pRet" vbProcedure="false">'Plan inputs'!$G$10</definedName>
    <definedName function="false" hidden="false" name="In_propValue" vbProcedure="false">'Plan inputs'!$G$34</definedName>
    <definedName function="false" hidden="false" name="In_pSp" vbProcedure="false">'Plan inputs'!$G$59</definedName>
    <definedName function="false" hidden="false" name="In_q6" vbProcedure="false">'Plan inputs'!$G$13</definedName>
    <definedName function="false" hidden="false" name="In_rechecked" vbProcedure="false">'Plan inputs'!$G$69</definedName>
    <definedName function="false" hidden="false" name="In_rentM" vbProcedure="false">'Plan inputs'!$G$35</definedName>
    <definedName function="false" hidden="false" name="In_retireAge" vbProcedure="false">'Plan inputs'!$G$9</definedName>
    <definedName function="false" hidden="false" name="In_saved1" vbProcedure="false">'Plan inputs'!$G$71</definedName>
    <definedName function="false" hidden="false" name="In_saved2" vbProcedure="false">'Plan inputs'!$G$72</definedName>
    <definedName function="false" hidden="false" name="In_saved3" vbProcedure="false">'Plan inputs'!$G$73</definedName>
    <definedName function="false" hidden="false" name="In_saved4" vbProcedure="false">'Plan inputs'!$G$74</definedName>
    <definedName function="false" hidden="false" name="In_saved5" vbProcedure="false">'Plan inputs'!$G$75</definedName>
    <definedName function="false" hidden="false" name="In_saved6" vbProcedure="false">'Plan inputs'!$G$76</definedName>
    <definedName function="false" hidden="false" name="In_saveM" vbProcedure="false">'Plan inputs'!$G$14</definedName>
    <definedName function="false" hidden="false" name="In_saveUp" vbProcedure="false">'Plan inputs'!$G$15</definedName>
    <definedName function="false" hidden="false" name="In_slot" vbProcedure="false">'Plan inputs'!$G$68</definedName>
    <definedName function="false" hidden="false" name="In_sp" vbProcedure="false">'Plan inputs'!$G$57</definedName>
    <definedName function="false" hidden="false" name="In_spYears" vbProcedure="false">'Plan inputs'!$G$58</definedName>
    <definedName function="false" hidden="false" name="In_wiGoal" vbProcedure="false">'Plan inputs'!$G$22</definedName>
    <definedName function="false" hidden="false" name="In_wiL" vbProcedure="false">'Plan inputs'!$G$24</definedName>
    <definedName function="false" hidden="false" name="In_wiM" vbProcedure="false">'Plan inputs'!$G$23</definedName>
    <definedName function="false" hidden="false" name="In_work" vbProcedure="false">'Plan inputs'!$G$27</definedName>
    <definedName function="false" hidden="false" name="In_workCover" vbProcedure="false">'Plan inputs'!$G$63</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results'!$C$51</definedName>
    <definedName function="false" hidden="false" name="L3_CardS" vbProcedure="false">'Plan results'!$C$55</definedName>
    <definedName function="false" hidden="false" name="L3_CardSt" vbProcedure="false">'Plan results'!$C$54</definedName>
    <definedName function="false" hidden="false" name="L3_CoverLife" vbProcedure="false">'Plan results'!$C$61</definedName>
    <definedName function="false" hidden="false" name="L3_CoverWork" vbProcedure="false">'Plan results'!$C$60</definedName>
    <definedName function="false" hidden="false" name="L3_Debt" vbProcedure="false">'Plan results'!$C$53</definedName>
    <definedName function="false" hidden="false" name="L3_IpS" vbProcedure="false">'Plan results'!$C$66</definedName>
    <definedName function="false" hidden="false" name="L3_IpSt" vbProcedure="false">'Plan results'!$C$65</definedName>
    <definedName function="false" hidden="false" name="L3_Kind" vbProcedure="false">'Plan results'!$C$90</definedName>
    <definedName function="false" hidden="false" name="L3_LifeS" vbProcedure="false">'Plan results'!$C$64</definedName>
    <definedName function="false" hidden="false" name="L3_LifeSt" vbProcedure="false">'Plan results'!$C$63</definedName>
    <definedName function="false" hidden="false" name="L3_LoanM" vbProcedure="false">'Plan results'!$C$52</definedName>
    <definedName function="false" hidden="false" name="L3_LoanS" vbProcedure="false">'Plan results'!$C$57</definedName>
    <definedName function="false" hidden="false" name="L3_LoanSt" vbProcedure="false">'Plan results'!$C$56</definedName>
    <definedName function="false" hidden="false" name="L3_NeedLife" vbProcedure="false">'Plan results'!$C$62</definedName>
    <definedName function="false" hidden="false" name="L3_NoDebtS" vbProcedure="false">'Plan results'!$C$59</definedName>
    <definedName function="false" hidden="false" name="L3_NoDebtSt" vbProcedure="false">'Plan results'!$C$58</definedName>
    <definedName function="false" hidden="false" name="L3_Rank" vbProcedure="false">'Plan results'!$C$67</definedName>
    <definedName function="false" hidden="false" name="L4_Low" vbProcedure="false">'Plan results'!$C$72</definedName>
    <definedName function="false" hidden="false" name="L4_N" vbProcedure="false">'Plan results'!$C$70</definedName>
    <definedName function="false" hidden="false" name="L4_On" vbProcedure="false">'Plan results'!$C$71</definedName>
    <definedName function="false" hidden="false" name="L4_PenOn" vbProcedure="false">'Plan results'!$C$73</definedName>
    <definedName function="false" hidden="false" name="L5_FirstIdx" vbProcedure="false">'Plan results'!$C$78</definedName>
    <definedName function="false" hidden="false" name="L5_Inv" vbProcedure="false">'Plan results'!$C$79</definedName>
    <definedName function="false" hidden="false" name="L5_N" vbProcedure="false">'Plan results'!$C$76</definedName>
    <definedName function="false" hidden="false" name="L5_OnIdx" vbProcedure="false">'Plan results'!$C$77</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results'!$C$138</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in_Deposit_Pct" vbProcedure="false">Assumptions!$C$82</definedName>
    <definedName function="false" hidden="false" name="Missing_Count" vbProcedure="false">'Plan results'!$C$137</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results'!$C$200</definedName>
    <definedName function="false" hidden="false" name="Next_D" vbProcedure="false">'Plan results'!$C$199</definedName>
    <definedName function="false" hidden="false" name="Next_N" vbProcedure="false">'Plan results'!$C$197</definedName>
    <definedName function="false" hidden="false" name="Next_T" vbProcedure="false">'Plan results'!$C$198</definedName>
    <definedName function="false" hidden="false" name="Next_WIdx" vbProcedure="false">'Plan results'!$C$193</definedName>
    <definedName function="false" hidden="false" name="Next_WName" vbProcedure="false">'Plan results'!$C$195</definedName>
    <definedName function="false" hidden="false" name="Next_WPct" vbProcedure="false">'Plan results'!$C$194</definedName>
    <definedName function="false" hidden="false" name="Nudge_Show" vbProcedure="false">'Plan results'!$C$165</definedName>
    <definedName function="false" hidden="false" name="Nudge_X" vbProcedure="false">'Plan results'!$C$164</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results'!$C$196</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q_Count" vbProcedure="false">'Plan results'!$C$24</definedName>
    <definedName function="false" hidden="false" name="Req_Got" vbProcedure="false">'Plan results'!$C$25</definedName>
    <definedName function="false" hidden="false" name="Ret_IncomeMonth" vbProcedure="false">'Plan results'!$C$43</definedName>
    <definedName function="false" hidden="false" name="Ret_LumpNet" vbProcedure="false">'Plan results'!$C$44</definedName>
    <definedName function="false" hidden="false" name="Ret_PotNominal" vbProcedure="false">'Plan results'!$C$42</definedName>
    <definedName function="false" hidden="false" name="Ret_Year" vbProcedure="false">'Plan results'!$C$41</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results'!$C$178</definedName>
    <definedName function="false" hidden="false" name="Road_ShortYears" vbProcedure="false">'Plan results'!$C$179</definedName>
    <definedName function="false" hidden="false" name="Rough_Show" vbProcedure="false">'Plan results'!$C$151</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results'!$C$163</definedName>
    <definedName function="false" hidden="false" name="Save_SurplusM" vbProcedure="false">'Plan results'!$C$5</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results'!$C$93</definedName>
    <definedName function="false" hidden="false" name="Slip_Names" vbProcedure="false">'Plan results'!$C$94</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results'!$C$158</definedName>
    <definedName function="false" hidden="false" name="Tools_List" vbProcedure="false">'Plan results'!$C$159</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Vid_investment_Idx" vbProcedure="false">'Plan results'!$C$212</definedName>
    <definedName function="false" hidden="false" name="Vid_investment_Pct" vbProcedure="false">'Plan results'!$C$213</definedName>
    <definedName function="false" hidden="false" name="Vid_mortgage_Idx" vbProcedure="false">'Plan results'!$C$206</definedName>
    <definedName function="false" hidden="false" name="Vid_mortgage_Pct" vbProcedure="false">'Plan results'!$C$207</definedName>
    <definedName function="false" hidden="false" name="Vid_pension_Idx" vbProcedure="false">'Plan results'!$C$208</definedName>
    <definedName function="false" hidden="false" name="Vid_pension_Pct" vbProcedure="false">'Plan results'!$C$209</definedName>
    <definedName function="false" hidden="false" name="Vid_planner_Idx" vbProcedure="false">'Plan results'!$C$214</definedName>
    <definedName function="false" hidden="false" name="Vid_planner_Pct" vbProcedure="false">'Plan results'!$C$215</definedName>
    <definedName function="false" hidden="false" name="Vid_protection_Idx" vbProcedure="false">'Plan results'!$C$210</definedName>
    <definedName function="false" hidden="false" name="Vid_protection_Pct" vbProcedure="false">'Plan results'!$C$211</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results'!$C$167</definedName>
    <definedName function="false" hidden="false" name="WI_Retire" vbProcedure="false">'Plan pay &amp; tax'!$C$226</definedName>
    <definedName function="false" hidden="false" name="Wi_Text" vbProcedure="false">'Plan results'!$C$203</definedName>
    <definedName function="false" hidden="false" name="Wi_Total" vbProcedure="false">'Plan results'!$C$166</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<sst xmlns="http://schemas.openxmlformats.org/spreadsheetml/2006/main" count="6940" uniqueCount="4573">
  <si>
    <t xml:space="preserve">LifeMap calculators</t>
  </si>
  <si>
    <t xml:space="preserve">Version 2.7 · 8 Oct 2026 · built from LifeMap-Customer-Journey prototype (CALCS and Settings).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</si>
  <si>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</si>
  <si>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</si>
  <si>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</si>
  <si>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</si>
  <si>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</si>
  <si>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</si>
  <si>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</si>
  <si>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</si>
  <si>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</si>
  <si>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</si>
  <si>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</si>
  <si>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</si>
  <si>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</si>
  <si>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</si>
  <si>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</si>
  <si>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</si>
  <si>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</si>
  <si>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</si>
  <si>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</si>
  <si>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</si>
  <si>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</si>
  <si>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</si>
  <si>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</si>
  <si>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</si>
  <si>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</si>
  <si>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</si>
  <si>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</si>
  <si>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</si>
  <si>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</si>
  <si>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</si>
  <si>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</si>
  <si>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</si>
  <si>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</si>
  <si>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</si>
  <si>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</si>
  <si>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</si>
  <si>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</si>
  <si>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</si>
  <si>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</si>
  <si>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</si>
  <si>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</si>
  <si>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</si>
  <si>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</si>
  <si>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</si>
  <si>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</si>
  <si>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</si>
  <si>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</si>
  <si>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</si>
  <si>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</si>
  <si>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</si>
  <si>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</si>
  <si>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</si>
  <si>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</si>
  <si>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</si>
  <si>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</si>
  <si>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</si>
  <si>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</si>
  <si>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</si>
  <si>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</si>
  <si>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</si>
  <si>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</si>
  <si>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</si>
  <si>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</si>
  <si>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</si>
  <si>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</si>
  <si>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</si>
  <si>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</si>
  <si>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</si>
  <si>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</si>
  <si>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</si>
  <si>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</si>
  <si>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</si>
  <si>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</si>
  <si>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</si>
  <si>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</si>
  <si>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</si>
  <si>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</si>
  <si>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</si>
  <si>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</si>
  <si>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</si>
  <si>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</si>
  <si>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</si>
  <si>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</si>
  <si>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</si>
  <si>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</si>
  <si>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</si>
  <si>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</si>
  <si>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</si>
  <si>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</si>
  <si>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</si>
  <si>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</si>
  <si>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</si>
  <si>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</si>
  <si>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</si>
  <si>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</si>
  <si>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</si>
  <si>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</si>
  <si>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</si>
  <si>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</si>
  <si>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</si>
  <si>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</si>
  <si>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</si>
  <si>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</si>
  <si>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</si>
  <si>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</si>
  <si>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</si>
  <si>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</si>
  <si>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</si>
  <si>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</si>
  <si>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</si>
  <si>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</si>
  <si>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</si>
  <si>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</si>
  <si>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</si>
  <si>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</si>
  <si>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</si>
  <si>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</si>
  <si>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</si>
  <si>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</si>
  <si>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</si>
  <si>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</si>
  <si>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</si>
  <si>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</si>
  <si>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</si>
  <si>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</si>
  <si>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</si>
  <si>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</si>
  <si>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</si>
  <si>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</si>
  <si>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</si>
  <si>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</si>
  <si>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</si>
  <si>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</si>
  <si>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</si>
  <si>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</si>
  <si>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</si>
  <si>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</si>
  <si>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</si>
  <si>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</si>
  <si>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</si>
  <si>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</si>
  <si>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</si>
  <si>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</si>
  <si>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</si>
  <si>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</si>
  <si>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</si>
  <si>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</si>
  <si>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</si>
  <si>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</si>
  <si>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</si>
  <si>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</si>
  <si>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</si>
  <si>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</si>
  <si>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</si>
  <si>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</si>
  <si>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</si>
  <si>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</si>
  <si>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</si>
  <si>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</si>
  <si>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</si>
  <si>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</si>
  <si>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</si>
  <si>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</si>
  <si>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</si>
  <si>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</si>
  <si>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</si>
  <si>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</si>
  <si>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</si>
  <si>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</si>
  <si>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</si>
  <si>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</si>
  <si>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</si>
  <si>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</si>
  <si>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</si>
  <si>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</si>
  <si>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</si>
  <si>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</si>
  <si>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</si>
  <si>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</si>
  <si>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</si>
  <si>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</si>
  <si>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</si>
  <si>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</si>
  <si>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</si>
  <si>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</si>
  <si>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</si>
  <si>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</si>
  <si>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</si>
  <si>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</si>
  <si>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</si>
  <si>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</si>
  <si>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</si>
  <si>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</si>
  <si>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</si>
  <si>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</si>
  <si>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</si>
  <si>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</si>
  <si>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</si>
  <si>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</si>
  <si>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</si>
  <si>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</si>
  <si>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</si>
  <si>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</si>
  <si>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</si>
  <si>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</si>
  <si>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</si>
  <si>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</si>
  <si>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</si>
  <si>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</si>
  <si>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</si>
  <si>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</si>
  <si>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</si>
  <si>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UI Guide, UI Calculators, UI Screens, UI Make my plan</t>
  </si>
  <si>
    <t xml:space="preserve">The UI layer (teal tabs): what each screen shows, in the app's words. Appended by tools/build_ui_sheets.py; not in the file until the script is run.</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</si>
  <si>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</si>
  <si>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</si>
  <si>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</si>
  <si>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</si>
  <si>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</si>
  <si>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</si>
  <si>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</si>
  <si>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</si>
  <si>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</si>
  <si>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</si>
  <si>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</si>
  <si>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</si>
  <si>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</si>
  <si>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</si>
  <si>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</si>
  <si>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</si>
  <si>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</si>
  <si>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</si>
  <si>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</si>
  <si>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</si>
  <si>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</si>
  <si>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</si>
  <si>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</si>
  <si>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</si>
  <si>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</si>
  <si>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</si>
  <si>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</si>
  <si>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</si>
  <si>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</si>
  <si>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</si>
  <si>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</si>
  <si>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</si>
  <si>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</si>
  <si>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</si>
  <si>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</si>
  <si>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</si>
  <si>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</si>
  <si>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</si>
  <si>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</si>
  <si>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</si>
  <si>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</si>
  <si>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</si>
  <si>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</si>
  <si>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</si>
  <si>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</si>
  <si>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</si>
  <si>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</si>
  <si>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</si>
  <si>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</si>
  <si>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</si>
  <si>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</si>
  <si>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</si>
  <si>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</si>
  <si>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</si>
  <si>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</si>
  <si>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</si>
  <si>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</si>
  <si>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</si>
  <si>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</si>
  <si>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</si>
  <si>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</si>
  <si>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</si>
  <si>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</si>
  <si>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</si>
  <si>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</si>
  <si>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</si>
  <si>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</si>
  <si>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</si>
  <si>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</si>
  <si>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</si>
  <si>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</si>
  <si>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</si>
  <si>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</si>
  <si>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</si>
  <si>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</si>
  <si>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</si>
  <si>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</si>
  <si>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</si>
  <si>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</si>
  <si>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</si>
  <si>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</si>
  <si>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</si>
  <si>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</si>
  <si>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</si>
  <si>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</si>
  <si>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</si>
  <si>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</si>
  <si>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</si>
  <si>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</si>
  <si>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</si>
  <si>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</si>
  <si>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</si>
  <si>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</si>
  <si>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</si>
  <si>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</si>
  <si>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</si>
  <si>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</si>
  <si>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</si>
  <si>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</si>
  <si>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</si>
  <si>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</si>
  <si>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</si>
  <si>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</si>
  <si>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</si>
  <si>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</si>
  <si>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</si>
  <si>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</si>
  <si>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</si>
  <si>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</si>
  <si>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</si>
  <si>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</si>
  <si>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</si>
  <si>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</si>
  <si>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</si>
  <si>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</si>
  <si>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</si>
  <si>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</si>
  <si>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</si>
  <si>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</si>
  <si>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</si>
  <si>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</si>
  <si>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</si>
  <si>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</si>
  <si>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</si>
  <si>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</si>
  <si>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</si>
  <si>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</si>
  <si>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</si>
  <si>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</si>
  <si>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</si>
  <si>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</si>
  <si>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</si>
  <si>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</si>
  <si>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</si>
  <si>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</si>
  <si>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</si>
  <si>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</si>
  <si>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</si>
  <si>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</si>
  <si>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</si>
  <si>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</si>
  <si>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</si>
  <si>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</si>
  <si>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</si>
  <si>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</si>
  <si>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</si>
  <si>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</si>
  <si>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</si>
  <si>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</si>
  <si>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</si>
  <si>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</si>
  <si>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</si>
  <si>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</si>
  <si>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</si>
  <si>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</si>
  <si>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</si>
  <si>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</si>
  <si>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</si>
  <si>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</si>
  <si>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</si>
  <si>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</si>
  <si>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</si>
  <si>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</si>
  <si>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</si>
  <si>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</si>
  <si>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</si>
  <si>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</si>
  <si>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</si>
  <si>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</si>
  <si>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</si>
  <si>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</si>
  <si>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</si>
  <si>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</si>
  <si>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</si>
  <si>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</si>
  <si>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</si>
  <si>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</si>
  <si>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</si>
  <si>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</si>
  <si>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</si>
  <si>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</si>
  <si>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</si>
  <si>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</si>
  <si>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</si>
  <si>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</si>
  <si>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</si>
  <si>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</si>
  <si>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</si>
  <si>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</si>
  <si>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</si>
  <si>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</si>
  <si>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</si>
  <si>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</si>
  <si>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</si>
  <si>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</si>
  <si>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</si>
  <si>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</si>
  <si>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</si>
  <si>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</si>
  <si>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</si>
  <si>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</si>
  <si>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</si>
  <si>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</si>
  <si>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</si>
  <si>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</si>
  <si>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</si>
  <si>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</si>
  <si>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</si>
  <si>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</si>
  <si>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</si>
  <si>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</si>
  <si>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</si>
  <si>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</si>
  <si>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</si>
  <si>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</si>
  <si>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</si>
  <si>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</si>
  <si>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</si>
  <si>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</si>
  <si>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</si>
  <si>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</si>
  <si>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</si>
  <si>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</si>
  <si>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</si>
  <si>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</si>
  <si>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</si>
  <si>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</si>
  <si>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</si>
  <si>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</si>
  <si>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</si>
  <si>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</si>
  <si>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</si>
  <si>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</si>
  <si>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</si>
  <si>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</si>
  <si>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</si>
  <si>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</si>
  <si>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</si>
  <si>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</si>
  <si>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</si>
  <si>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</si>
  <si>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</si>
  <si>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</si>
  <si>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</si>
  <si>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</si>
  <si>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</si>
  <si>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</si>
  <si>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</si>
  <si>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</si>
  <si>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</si>
  <si>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</si>
  <si>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</si>
  <si>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</si>
  <si>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</si>
  <si>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</si>
  <si>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</si>
  <si>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</si>
  <si>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</si>
  <si>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</si>
  <si>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</si>
  <si>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</si>
  <si>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</si>
  <si>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</si>
  <si>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</si>
  <si>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</si>
  <si>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</si>
  <si>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</si>
  <si>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</si>
  <si>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</si>
  <si>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</si>
  <si>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</si>
  <si>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</si>
  <si>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</si>
  <si>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</si>
  <si>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</si>
  <si>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</si>
  <si>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</si>
  <si>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</si>
  <si>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</si>
  <si>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</si>
  <si>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</si>
  <si>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</si>
  <si>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</si>
  <si>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</si>
  <si>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</si>
  <si>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</si>
  <si>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</si>
  <si>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</si>
  <si>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</si>
  <si>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</si>
  <si>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</si>
  <si>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</si>
  <si>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</si>
  <si>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</si>
  <si>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</si>
  <si>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</si>
  <si>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</si>
  <si>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</si>
  <si>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</si>
  <si>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</si>
  <si>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</si>
  <si>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</si>
  <si>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</si>
  <si>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</si>
  <si>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</si>
  <si>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</si>
  <si>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</si>
  <si>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</si>
  <si>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</si>
  <si>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</si>
  <si>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</si>
  <si>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</si>
  <si>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</si>
  <si>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</si>
  <si>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</si>
  <si>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</si>
  <si>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</si>
  <si>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</si>
  <si>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</si>
  <si>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</si>
  <si>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</si>
  <si>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</si>
  <si>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</si>
  <si>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</si>
  <si>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</si>
  <si>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</si>
  <si>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</si>
  <si>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</si>
  <si>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</si>
  <si>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</si>
  <si>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</si>
  <si>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</si>
  <si>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</si>
  <si>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</si>
  <si>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</si>
  <si>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</si>
  <si>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</si>
  <si>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</si>
  <si>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</si>
  <si>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</si>
  <si>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</si>
  <si>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</si>
  <si>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</si>
  <si>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</si>
  <si>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</si>
  <si>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</si>
  <si>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</si>
  <si>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</si>
  <si>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</si>
  <si>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</si>
  <si>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</si>
  <si>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</si>
  <si>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</si>
  <si>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</si>
  <si>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</si>
  <si>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</si>
  <si>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</si>
  <si>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</si>
  <si>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</si>
  <si>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</si>
  <si>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</si>
  <si>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</si>
  <si>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</si>
  <si>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</si>
  <si>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</si>
  <si>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</si>
  <si>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</si>
  <si>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</si>
  <si>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</si>
  <si>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</si>
  <si>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</si>
  <si>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</si>
  <si>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</si>
  <si>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</si>
  <si>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</si>
  <si>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</si>
  <si>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</si>
  <si>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</si>
  <si>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</si>
  <si>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</si>
  <si>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</si>
  <si>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</si>
  <si>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</si>
  <si>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</si>
  <si>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</si>
  <si>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</si>
  <si>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</si>
  <si>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</si>
  <si>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</si>
  <si>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</si>
  <si>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</si>
  <si>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</si>
  <si>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</si>
  <si>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</si>
  <si>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</si>
  <si>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</si>
  <si>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</si>
  <si>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</si>
  <si>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</si>
  <si>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</si>
  <si>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</si>
  <si>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</si>
  <si>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</si>
  <si>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</si>
  <si>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</si>
  <si>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</si>
  <si>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</si>
  <si>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</si>
  <si>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</si>
  <si>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</si>
  <si>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</si>
  <si>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</si>
  <si>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</si>
  <si>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</si>
  <si>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</si>
  <si>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</si>
  <si>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</si>
  <si>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</si>
  <si>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</si>
  <si>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</si>
  <si>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</si>
  <si>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</si>
  <si>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</si>
  <si>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</si>
  <si>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</si>
  <si>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</si>
  <si>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</si>
  <si>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</si>
  <si>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</si>
  <si>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</si>
  <si>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</si>
  <si>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</si>
  <si>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</si>
  <si>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</si>
  <si>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</si>
  <si>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</si>
  <si>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</si>
  <si>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</si>
  <si>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</si>
  <si>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</si>
  <si>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</si>
  <si>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</si>
  <si>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</si>
  <si>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</si>
  <si>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</si>
  <si>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</si>
  <si>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</si>
  <si>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</si>
  <si>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</si>
  <si>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</si>
  <si>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</si>
  <si>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</si>
  <si>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</si>
  <si>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</si>
  <si>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</si>
  <si>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</si>
  <si>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</si>
  <si>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</si>
  <si>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</si>
  <si>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</si>
  <si>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</si>
  <si>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</si>
  <si>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</si>
  <si>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</si>
  <si>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</si>
  <si>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</si>
  <si>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</si>
  <si>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</si>
  <si>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</si>
  <si>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</si>
  <si>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</si>
  <si>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</si>
  <si>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</si>
  <si>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</si>
  <si>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</si>
  <si>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</si>
  <si>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</si>
  <si>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</si>
  <si>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</si>
  <si>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</si>
  <si>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</si>
  <si>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</si>
  <si>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</si>
  <si>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</si>
  <si>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</si>
  <si>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</si>
  <si>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</si>
  <si>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</si>
  <si>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</si>
  <si>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</si>
  <si>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</si>
  <si>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</si>
  <si>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</si>
  <si>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</si>
  <si>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</si>
  <si>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</si>
  <si>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</si>
  <si>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</si>
  <si>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</si>
  <si>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</si>
  <si>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</si>
  <si>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</si>
  <si>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</si>
  <si>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</si>
  <si>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</si>
  <si>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</si>
  <si>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</si>
  <si>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</si>
  <si>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</si>
  <si>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</si>
  <si>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</si>
  <si>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</si>
  <si>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</si>
  <si>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</si>
  <si>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</si>
  <si>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</si>
  <si>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</si>
  <si>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</si>
  <si>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</si>
  <si>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</si>
  <si>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</si>
  <si>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</si>
  <si>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</si>
  <si>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</si>
  <si>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</si>
  <si>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</si>
  <si>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</si>
  <si>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</si>
  <si>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</si>
  <si>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</si>
  <si>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</si>
  <si>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</si>
  <si>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</si>
  <si>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</si>
  <si>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</si>
  <si>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</si>
  <si>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</si>
  <si>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</si>
  <si>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</si>
  <si>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</si>
  <si>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</si>
  <si>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</si>
  <si>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</si>
  <si>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</si>
  <si>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</si>
  <si>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</si>
  <si>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</si>
  <si>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</si>
  <si>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</si>
  <si>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</si>
  <si>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</si>
  <si>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</si>
  <si>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</si>
  <si>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</si>
  <si>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</si>
  <si>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</si>
  <si>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</si>
  <si>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</si>
  <si>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</si>
  <si>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</si>
  <si>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</si>
  <si>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</si>
  <si>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</si>
  <si>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</si>
  <si>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</si>
  <si>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</si>
  <si>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</si>
  <si>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</si>
  <si>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</si>
  <si>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</si>
  <si>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</si>
  <si>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</si>
  <si>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</si>
  <si>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</si>
  <si>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</si>
  <si>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</si>
  <si>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</si>
  <si>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</si>
  <si>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</si>
  <si>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</si>
  <si>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</si>
  <si>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</si>
  <si>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</si>
  <si>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</si>
  <si>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</si>
  <si>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</si>
  <si>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</si>
  <si>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</si>
  <si>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</si>
  <si>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</si>
  <si>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</si>
  <si>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</si>
  <si>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</si>
  <si>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</si>
  <si>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</si>
  <si>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</si>
  <si>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</si>
  <si>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</si>
  <si>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</si>
  <si>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</si>
  <si>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</si>
  <si>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</si>
  <si>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</si>
  <si>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</si>
  <si>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</si>
  <si>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</si>
  <si>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</si>
  <si>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</si>
  <si>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</si>
  <si>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</si>
  <si>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</si>
  <si>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</si>
  <si>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</si>
  <si>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</si>
  <si>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</si>
  <si>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</si>
  <si>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</si>
  <si>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</si>
  <si>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</si>
  <si>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</si>
  <si>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</si>
  <si>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</si>
  <si>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</si>
  <si>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</si>
  <si>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</si>
  <si>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</si>
  <si>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</si>
  <si>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</si>
  <si>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</si>
  <si>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</si>
  <si>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</si>
  <si>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</si>
  <si>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</si>
  <si>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</si>
  <si>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</si>
  <si>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</si>
  <si>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</si>
  <si>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</si>
  <si>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</si>
  <si>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</si>
  <si>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</si>
  <si>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</si>
  <si>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</si>
  <si>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</si>
  <si>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</si>
  <si>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</si>
  <si>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</si>
  <si>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</si>
  <si>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</si>
  <si>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</si>
  <si>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</si>
  <si>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</si>
  <si>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</si>
  <si>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</si>
  <si>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</si>
  <si>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</si>
  <si>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</si>
  <si>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</si>
  <si>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</si>
  <si>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</si>
  <si>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</si>
  <si>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</si>
  <si>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</si>
  <si>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</si>
  <si>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</si>
  <si>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</si>
  <si>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</si>
  <si>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</si>
  <si>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</si>
  <si>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</si>
  <si>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</si>
  <si>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</si>
  <si>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</si>
  <si>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</si>
  <si>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</si>
  <si>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</si>
  <si>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</si>
  <si>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</si>
  <si>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</si>
  <si>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</si>
  <si>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</si>
  <si>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</si>
  <si>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</si>
  <si>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</si>
  <si>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</si>
  <si>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</si>
  <si>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</si>
  <si>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</si>
  <si>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</si>
  <si>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</si>
  <si>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</si>
  <si>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</si>
  <si>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</si>
  <si>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</si>
  <si>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</si>
  <si>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</si>
  <si>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</si>
  <si>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</si>
  <si>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</si>
  <si>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</si>
  <si>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</si>
  <si>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</si>
  <si>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</si>
  <si>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</si>
  <si>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</si>
  <si>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</si>
  <si>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</si>
  <si>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</si>
  <si>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</si>
  <si>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</si>
  <si>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</si>
  <si>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</si>
  <si>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</si>
  <si>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</si>
  <si>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</si>
  <si>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</si>
  <si>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</si>
  <si>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</si>
  <si>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</si>
  <si>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</si>
  <si>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</si>
  <si>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</si>
  <si>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</si>
  <si>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</si>
  <si>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</si>
  <si>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</si>
  <si>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</si>
  <si>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</si>
  <si>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</si>
  <si>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</si>
  <si>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</si>
  <si>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</si>
  <si>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</si>
  <si>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</si>
  <si>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</si>
  <si>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</si>
  <si>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</si>
  <si>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</si>
  <si>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</si>
  <si>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</si>
  <si>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</si>
  <si>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</si>
  <si>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</si>
  <si>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</si>
  <si>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</si>
  <si>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</si>
  <si>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</si>
  <si>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</si>
  <si>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</si>
  <si>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</si>
  <si>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</si>
  <si>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</si>
  <si>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</si>
  <si>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</si>
  <si>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</si>
  <si>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</si>
  <si>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</si>
  <si>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</si>
  <si>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</si>
  <si>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</si>
  <si>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</si>
  <si>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</si>
  <si>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</si>
  <si>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</si>
  <si>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</si>
  <si>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</si>
  <si>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</si>
  <si>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</si>
  <si>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</si>
  <si>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</si>
  <si>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</si>
  <si>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</si>
  <si>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</si>
  <si>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</si>
  <si>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</si>
  <si>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</si>
  <si>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</si>
  <si>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</si>
  <si>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</si>
  <si>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</si>
  <si>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</si>
  <si>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</si>
  <si>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</si>
  <si>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</si>
  <si>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</si>
  <si>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</si>
  <si>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</si>
  <si>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</si>
  <si>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</si>
  <si>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</si>
  <si>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</si>
  <si>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</si>
  <si>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</si>
  <si>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</si>
  <si>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</si>
  <si>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</si>
  <si>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</si>
  <si>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</si>
  <si>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</si>
  <si>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</si>
  <si>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</si>
  <si>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</si>
  <si>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</si>
  <si>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</si>
  <si>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</si>
  <si>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</si>
  <si>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</si>
  <si>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</si>
  <si>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</si>
  <si>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</si>
  <si>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</si>
  <si>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</si>
  <si>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</si>
  <si>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</si>
  <si>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</si>
  <si>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</si>
  <si>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</si>
  <si>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</si>
  <si>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</si>
  <si>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</si>
  <si>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</si>
  <si>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</si>
  <si>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</si>
  <si>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</si>
  <si>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</si>
  <si>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</si>
  <si>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</si>
  <si>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</si>
  <si>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</si>
  <si>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</si>
  <si>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</si>
  <si>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</si>
  <si>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</si>
  <si>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</si>
  <si>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</si>
  <si>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</si>
  <si>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</si>
  <si>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</si>
  <si>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</si>
  <si>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</si>
  <si>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</si>
  <si>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</si>
  <si>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</si>
  <si>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</si>
  <si>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</si>
  <si>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</si>
  <si>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</si>
  <si>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</si>
  <si>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</si>
  <si>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</si>
  <si>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</si>
  <si>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</si>
  <si>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</si>
  <si>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</si>
  <si>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</si>
  <si>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</si>
  <si>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</si>
  <si>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</si>
  <si>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</si>
  <si>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</si>
  <si>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</si>
  <si>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</si>
  <si>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</si>
  <si>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</si>
  <si>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</si>
  <si>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</si>
  <si>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</si>
  <si>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</si>
  <si>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</si>
  <si>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</si>
  <si>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</si>
  <si>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</si>
  <si>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</si>
  <si>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</si>
  <si>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</si>
  <si>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</si>
  <si>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</si>
  <si>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</si>
  <si>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</si>
  <si>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</si>
  <si>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</si>
  <si>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</si>
  <si>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</si>
  <si>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</si>
  <si>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</si>
  <si>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</si>
  <si>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</si>
  <si>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</si>
  <si>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</si>
  <si>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</si>
  <si>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</si>
  <si>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</si>
  <si>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</si>
  <si>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</si>
  <si>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</si>
  <si>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</si>
  <si>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</si>
  <si>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</si>
  <si>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</si>
  <si>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</si>
  <si>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</si>
  <si>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</si>
  <si>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</si>
  <si>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</si>
  <si>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</si>
  <si>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</si>
  <si>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</si>
  <si>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</si>
  <si>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</si>
  <si>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</si>
  <si>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</si>
  <si>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</si>
  <si>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</si>
  <si>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</si>
  <si>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</si>
  <si>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</si>
  <si>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</si>
  <si>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</si>
  <si>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</si>
  <si>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</si>
  <si>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</si>
  <si>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</si>
  <si>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</si>
  <si>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</si>
  <si>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</si>
  <si>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</si>
  <si>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</si>
  <si>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</si>
  <si>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</si>
  <si>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</si>
  <si>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</si>
  <si>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</si>
  <si>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</si>
  <si>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</si>
  <si>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</si>
  <si>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</si>
  <si>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</si>
  <si>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</si>
  <si>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</si>
  <si>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</si>
  <si>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</si>
  <si>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</si>
  <si>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</si>
  <si>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</si>
  <si>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</si>
  <si>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</si>
  <si>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</si>
  <si>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</si>
  <si>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</si>
  <si>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</si>
  <si>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</si>
  <si>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</si>
  <si>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</si>
  <si>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</si>
  <si>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</si>
  <si>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</si>
  <si>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</si>
  <si>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</si>
  <si>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</si>
  <si>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</si>
  <si>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</si>
  <si>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</si>
  <si>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</si>
  <si>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</si>
  <si>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</si>
  <si>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</si>
  <si>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</si>
  <si>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</si>
  <si>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</si>
  <si>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</si>
  <si>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</si>
  <si>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</si>
  <si>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</si>
  <si>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</si>
  <si>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</si>
  <si>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</si>
  <si>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</si>
  <si>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</si>
  <si>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</si>
  <si>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</si>
  <si>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</si>
  <si>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</si>
  <si>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</si>
  <si>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</si>
  <si>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</si>
  <si>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</si>
  <si>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</si>
  <si>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</si>
  <si>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</si>
  <si>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</si>
  <si>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</si>
  <si>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</si>
  <si>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</si>
  <si>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</si>
  <si>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</si>
  <si>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</si>
  <si>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</si>
  <si>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</si>
  <si>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</si>
  <si>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</si>
  <si>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</si>
  <si>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</si>
  <si>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</si>
  <si>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</si>
  <si>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</si>
  <si>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</si>
  <si>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</si>
  <si>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</si>
  <si>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</si>
  <si>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</si>
  <si>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</si>
  <si>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</si>
  <si>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</si>
  <si>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</si>
  <si>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</si>
  <si>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</si>
  <si>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</si>
  <si>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</si>
  <si>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</si>
  <si>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</si>
  <si>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</si>
  <si>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</si>
  <si>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</si>
  <si>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</si>
  <si>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</si>
  <si>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</si>
  <si>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</si>
  <si>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</si>
  <si>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</si>
  <si>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</si>
  <si>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</si>
  <si>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</si>
  <si>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</si>
  <si>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</si>
  <si>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</si>
  <si>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</si>
  <si>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</si>
  <si>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</si>
  <si>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</si>
  <si>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</si>
  <si>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</si>
  <si>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</si>
  <si>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</si>
  <si>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</si>
  <si>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</si>
  <si>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</si>
  <si>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</si>
  <si>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</si>
  <si>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</si>
  <si>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</si>
  <si>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</si>
  <si>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</si>
  <si>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</si>
  <si>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</si>
  <si>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</si>
  <si>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</si>
  <si>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</si>
  <si>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</si>
  <si>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</si>
  <si>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</si>
  <si>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</si>
  <si>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</si>
  <si>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</si>
  <si>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</si>
  <si>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</si>
  <si>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</si>
  <si>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About you. The prototype: S.about.age</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</si>
  <si>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</si>
  <si>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</si>
  <si>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</si>
  <si>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</si>
  <si>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</si>
  <si>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</si>
  <si>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</si>
  <si>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</si>
  <si>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</si>
  <si>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</si>
  <si>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</si>
  <si>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</si>
  <si>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</si>
  <si>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</si>
  <si>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</si>
  <si>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</si>
  <si>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</si>
  <si>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</si>
  <si>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</si>
  <si>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</si>
  <si>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</si>
  <si>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</si>
  <si>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</si>
  <si>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</si>
  <si>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</si>
  <si>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</si>
  <si>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</si>
  <si>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</si>
  <si>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</si>
  <si>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</si>
  <si>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</si>
  <si>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</si>
  <si>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</si>
  <si>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</si>
  <si>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</si>
  <si>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</si>
  <si>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</si>
  <si>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</si>
  <si>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</si>
  <si>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</si>
  <si>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</si>
  <si>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</si>
  <si>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</si>
  <si>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</si>
  <si>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</si>
  <si>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</si>
  <si>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</si>
  <si>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age</t>
  </si>
  <si>
    <t xml:space="preserve">S.fin.pAge</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</si>
  <si>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</si>
  <si>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</si>
  <si>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</si>
  <si>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</si>
  <si>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</si>
  <si>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</si>
  <si>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</si>
  <si>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</si>
  <si>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</si>
  <si>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</si>
  <si>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</si>
  <si>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</si>
  <si>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</si>
  <si>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</si>
  <si>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</si>
  <si>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</si>
  <si>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</si>
  <si>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</si>
  <si>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</si>
  <si>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</si>
  <si>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</si>
  <si>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</si>
  <si>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</si>
  <si>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</si>
  <si>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</si>
  <si>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</si>
  <si>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</si>
  <si>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</si>
  <si>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</si>
  <si>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</si>
  <si>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</si>
  <si>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</si>
  <si>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</si>
  <si>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</si>
  <si>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</si>
  <si>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</si>
  <si>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</si>
  <si>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</si>
  <si>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</si>
  <si>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</si>
  <si>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</si>
  <si>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</si>
  <si>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</si>
  <si>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</si>
  <si>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</si>
  <si>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</si>
  <si>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</si>
  <si>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</si>
  <si>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</si>
  <si>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</si>
  <si>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</si>
  <si>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</si>
  <si>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</si>
  <si>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</si>
  <si>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</si>
  <si>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</si>
  <si>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</si>
  <si>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</si>
  <si>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</si>
  <si>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</si>
  <si>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</si>
  <si>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</si>
  <si>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</si>
  <si>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</si>
  <si>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</si>
  <si>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</si>
  <si>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</si>
  <si>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</si>
  <si>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</si>
  <si>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</si>
  <si>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</si>
  <si>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</si>
  <si>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</si>
  <si>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</si>
  <si>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</si>
  <si>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</si>
  <si>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</si>
  <si>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</si>
  <si>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</si>
  <si>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</si>
  <si>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</si>
  <si>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</si>
  <si>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</si>
  <si>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</si>
  <si>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</si>
  <si>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</si>
  <si>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</si>
  <si>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</si>
  <si>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</si>
  <si>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</si>
  <si>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</si>
  <si>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</si>
  <si>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</si>
  <si>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</si>
  <si>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</si>
  <si>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</si>
  <si>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</si>
  <si>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</si>
  <si>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</si>
  <si>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</si>
  <si>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</si>
  <si>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</si>
  <si>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</si>
  <si>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</si>
  <si>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</si>
  <si>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</si>
  <si>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</si>
  <si>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</si>
  <si>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</si>
  <si>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</si>
  <si>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</si>
  <si>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</si>
  <si>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</si>
  <si>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</si>
  <si>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</si>
  <si>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</si>
  <si>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</si>
  <si>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</si>
  <si>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</si>
  <si>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</si>
  <si>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</si>
  <si>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</si>
  <si>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</si>
  <si>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</si>
  <si>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</si>
  <si>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</si>
  <si>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</si>
  <si>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</si>
  <si>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</si>
  <si>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</si>
  <si>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</si>
  <si>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</si>
  <si>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</si>
  <si>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</si>
  <si>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</si>
  <si>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</si>
  <si>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</si>
  <si>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</si>
  <si>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</si>
  <si>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</si>
  <si>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</si>
  <si>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</si>
  <si>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</si>
  <si>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</si>
  <si>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</si>
  <si>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</si>
  <si>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</si>
  <si>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</si>
  <si>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</si>
  <si>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</si>
  <si>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</si>
  <si>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</si>
  <si>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</si>
  <si>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</si>
  <si>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</si>
  <si>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</si>
  <si>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</si>
  <si>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</si>
  <si>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</si>
  <si>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</si>
  <si>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</si>
  <si>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</si>
  <si>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</si>
  <si>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</si>
  <si>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</si>
  <si>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</si>
  <si>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</si>
  <si>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</si>
  <si>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</si>
  <si>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</si>
  <si>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</si>
  <si>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</si>
  <si>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</si>
  <si>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</si>
  <si>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</si>
  <si>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</si>
  <si>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</si>
  <si>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</si>
  <si>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</si>
  <si>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</si>
  <si>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</si>
  <si>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</si>
  <si>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</si>
  <si>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</si>
  <si>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</si>
  <si>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</si>
  <si>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</si>
  <si>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</si>
  <si>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</si>
  <si>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</si>
  <si>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</si>
  <si>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</si>
  <si>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</si>
  <si>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</si>
  <si>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</si>
  <si>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</si>
  <si>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</si>
  <si>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</si>
  <si>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</si>
  <si>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</si>
  <si>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</si>
  <si>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</si>
  <si>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</si>
  <si>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</si>
  <si>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</si>
  <si>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</si>
  <si>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</si>
  <si>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</si>
  <si>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</si>
  <si>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</si>
  <si>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</si>
  <si>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</si>
  <si>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</si>
  <si>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</si>
  <si>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</si>
  <si>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</si>
  <si>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</si>
  <si>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</si>
  <si>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</si>
  <si>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</si>
  <si>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</si>
  <si>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</si>
  <si>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</si>
  <si>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</si>
  <si>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</si>
  <si>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</si>
  <si>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</si>
  <si>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</si>
  <si>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</si>
  <si>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</si>
  <si>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</si>
  <si>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</si>
  <si>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</si>
  <si>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</si>
  <si>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</si>
  <si>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</si>
  <si>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</si>
  <si>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</si>
  <si>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</si>
  <si>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</si>
  <si>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</si>
  <si>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</si>
  <si>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</si>
  <si>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</si>
  <si>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</si>
  <si>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</si>
  <si>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</si>
  <si>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</si>
  <si>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</si>
  <si>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</si>
  <si>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</si>
  <si>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</si>
  <si>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</si>
  <si>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</si>
  <si>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</si>
  <si>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</si>
  <si>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</si>
  <si>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</si>
  <si>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</si>
  <si>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</si>
  <si>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</si>
  <si>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</si>
  <si>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</si>
  <si>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</si>
  <si>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</si>
  <si>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</si>
  <si>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</si>
  <si>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</si>
  <si>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</si>
  <si>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</si>
  <si>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</si>
  <si>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</si>
  <si>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</si>
  <si>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</si>
  <si>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</si>
  <si>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</si>
  <si>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</si>
  <si>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</si>
  <si>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</si>
  <si>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</si>
  <si>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</si>
  <si>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</si>
  <si>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</si>
  <si>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</si>
  <si>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</si>
  <si>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</si>
  <si>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</si>
  <si>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</si>
  <si>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</si>
  <si>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</si>
  <si>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</si>
  <si>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</si>
  <si>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</si>
  <si>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</si>
  <si>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</si>
  <si>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</si>
  <si>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</si>
  <si>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</si>
  <si>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</si>
  <si>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</si>
  <si>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</si>
  <si>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</si>
  <si>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</si>
  <si>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</si>
  <si>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</si>
  <si>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</si>
  <si>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</si>
  <si>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</si>
  <si>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</si>
  <si>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</si>
  <si>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</si>
  <si>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</si>
  <si>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</si>
  <si>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</si>
  <si>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</si>
  <si>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</si>
  <si>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</si>
  <si>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</si>
  <si>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</si>
  <si>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</si>
  <si>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</si>
  <si>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</si>
  <si>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</si>
  <si>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</si>
  <si>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</si>
  <si>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</si>
  <si>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</si>
  <si>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</si>
  <si>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</si>
  <si>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</si>
  <si>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</si>
  <si>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</si>
  <si>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</si>
  <si>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</si>
  <si>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</si>
  <si>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</si>
  <si>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</si>
  <si>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</si>
  <si>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</si>
  <si>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</si>
  <si>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</si>
  <si>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</si>
  <si>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</si>
  <si>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</si>
  <si>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</si>
  <si>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</si>
  <si>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</si>
  <si>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</si>
  <si>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</si>
  <si>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</si>
  <si>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</si>
  <si>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</si>
  <si>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</si>
  <si>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</si>
  <si>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</si>
  <si>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</si>
  <si>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</si>
  <si>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</si>
  <si>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</si>
  <si>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</si>
  <si>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</si>
  <si>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</si>
  <si>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</si>
  <si>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</si>
  <si>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</si>
  <si>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</si>
  <si>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</si>
  <si>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</si>
  <si>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</si>
  <si>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</si>
  <si>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</si>
  <si>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</si>
  <si>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</si>
  <si>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</si>
  <si>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</si>
  <si>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</si>
  <si>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</si>
  <si>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</si>
  <si>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</si>
  <si>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</si>
  <si>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</si>
  <si>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</si>
  <si>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</si>
  <si>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</si>
  <si>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</si>
  <si>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</si>
  <si>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</si>
  <si>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</si>
  <si>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</si>
  <si>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</si>
  <si>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</si>
  <si>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</si>
  <si>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</si>
  <si>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</si>
  <si>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</si>
  <si>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</si>
  <si>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</si>
  <si>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</si>
  <si>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</si>
  <si>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</si>
  <si>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</si>
  <si>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</si>
  <si>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</si>
  <si>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</si>
  <si>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</si>
  <si>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</si>
  <si>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</si>
  <si>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</si>
  <si>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</si>
  <si>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</si>
  <si>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</si>
  <si>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</si>
  <si>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</si>
  <si>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</si>
  <si>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</si>
  <si>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</si>
  <si>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</si>
  <si>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</si>
  <si>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</si>
  <si>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</si>
  <si>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</si>
  <si>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</si>
  <si>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</si>
  <si>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</si>
  <si>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</si>
  <si>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</si>
  <si>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</si>
  <si>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</si>
  <si>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</si>
  <si>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</si>
  <si>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</si>
  <si>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</si>
  <si>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</si>
  <si>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</si>
  <si>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</si>
  <si>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</si>
  <si>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</si>
  <si>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</si>
  <si>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</si>
  <si>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</si>
  <si>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</si>
  <si>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</si>
  <si>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</si>
  <si>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</si>
  <si>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</si>
  <si>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</si>
  <si>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</si>
  <si>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</si>
  <si>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</si>
  <si>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</si>
  <si>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</si>
  <si>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</si>
  <si>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</si>
  <si>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</si>
  <si>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</si>
  <si>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</si>
  <si>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</si>
  <si>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</si>
  <si>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</si>
  <si>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</si>
  <si>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</si>
  <si>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</si>
  <si>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</si>
  <si>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</si>
  <si>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</si>
  <si>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</si>
  <si>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</si>
  <si>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</si>
  <si>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</si>
  <si>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</si>
  <si>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</si>
  <si>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</si>
  <si>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</si>
  <si>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</si>
  <si>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</si>
  <si>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</si>
  <si>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</si>
  <si>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</si>
  <si>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</si>
  <si>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</si>
  <si>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</si>
  <si>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</si>
  <si>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</si>
  <si>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</si>
  <si>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</si>
  <si>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</si>
  <si>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</si>
  <si>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</si>
  <si>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</si>
  <si>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</si>
  <si>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</si>
  <si>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</si>
  <si>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</si>
  <si>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</si>
  <si>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</si>
  <si>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</si>
  <si>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</si>
  <si>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</si>
  <si>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</si>
  <si>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</si>
  <si>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</si>
  <si>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</si>
  <si>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</si>
  <si>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</si>
  <si>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</si>
  <si>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</si>
  <si>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</si>
  <si>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</si>
  <si>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</si>
  <si>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</si>
  <si>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</si>
  <si>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</si>
  <si>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</si>
  <si>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</si>
  <si>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</si>
  <si>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</si>
  <si>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</si>
  <si>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</si>
  <si>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</si>
  <si>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</si>
  <si>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</si>
  <si>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</si>
  <si>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</si>
  <si>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</si>
  <si>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</si>
  <si>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</si>
  <si>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</si>
  <si>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</si>
  <si>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</si>
  <si>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</si>
  <si>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</si>
  <si>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</si>
  <si>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</si>
  <si>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</si>
  <si>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</si>
  <si>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</si>
  <si>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</si>
  <si>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</si>
  <si>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</si>
  <si>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</si>
  <si>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</si>
  <si>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</si>
  <si>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</si>
  <si>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</si>
  <si>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</si>
  <si>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</si>
  <si>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</si>
  <si>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</si>
  <si>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</si>
  <si>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</si>
  <si>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</si>
  <si>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</si>
  <si>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</si>
  <si>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</si>
  <si>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</si>
  <si>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</si>
  <si>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</si>
  <si>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</si>
  <si>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</si>
  <si>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</si>
  <si>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</si>
  <si>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</si>
  <si>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</si>
  <si>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</si>
  <si>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</si>
  <si>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</si>
  <si>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</si>
  <si>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</si>
  <si>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</si>
  <si>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</si>
  <si>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</si>
  <si>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</si>
  <si>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</si>
  <si>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</si>
  <si>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</si>
  <si>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</si>
  <si>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</si>
  <si>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</si>
  <si>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</si>
  <si>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</si>
  <si>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</si>
  <si>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</si>
  <si>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</si>
  <si>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</si>
  <si>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</si>
  <si>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</si>
  <si>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</si>
  <si>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</si>
  <si>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</si>
  <si>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</si>
  <si>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</si>
  <si>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</si>
  <si>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</si>
  <si>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</si>
  <si>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</si>
  <si>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</si>
  <si>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</si>
  <si>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</si>
  <si>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</si>
  <si>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</si>
  <si>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</si>
  <si>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</si>
  <si>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</si>
  <si>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</si>
  <si>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</si>
  <si>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</si>
  <si>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</si>
  <si>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</si>
  <si>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</si>
  <si>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</si>
  <si>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</si>
  <si>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</si>
  <si>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</si>
  <si>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</si>
  <si>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</si>
  <si>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</si>
  <si>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</si>
  <si>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</si>
  <si>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</si>
  <si>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</si>
  <si>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</si>
  <si>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</si>
  <si>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</si>
  <si>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</si>
  <si>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</si>
  <si>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</si>
  <si>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</si>
  <si>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</si>
  <si>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</si>
  <si>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</si>
  <si>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</si>
  <si>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</si>
  <si>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</si>
  <si>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</si>
  <si>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</si>
  <si>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</si>
  <si>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</si>
  <si>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</si>
  <si>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</si>
  <si>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</si>
  <si>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</si>
  <si>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</si>
  <si>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</si>
  <si>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</si>
  <si>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</si>
  <si>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</si>
  <si>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</si>
  <si>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</si>
  <si>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</si>
  <si>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</si>
  <si>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</si>
  <si>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</si>
  <si>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</si>
  <si>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</si>
  <si>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</si>
  <si>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</si>
  <si>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</si>
  <si>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</si>
  <si>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</si>
  <si>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</si>
  <si>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</si>
  <si>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</si>
  <si>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</si>
  <si>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</si>
  <si>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</si>
  <si>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</si>
  <si>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</si>
  <si>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</si>
  <si>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</si>
  <si>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</si>
  <si>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</si>
  <si>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</si>
  <si>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</si>
  <si>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</si>
  <si>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</si>
  <si>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</si>
  <si>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</si>
  <si>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</si>
  <si>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</si>
  <si>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</si>
  <si>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</si>
  <si>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</si>
  <si>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</si>
  <si>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</si>
  <si>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</si>
  <si>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</si>
  <si>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</si>
  <si>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</si>
  <si>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</si>
  <si>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</si>
  <si>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</si>
  <si>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</si>
  <si>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</si>
  <si>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</si>
  <si>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</si>
  <si>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</si>
  <si>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</si>
  <si>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</si>
  <si>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</si>
  <si>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</si>
  <si>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</si>
  <si>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</si>
  <si>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</si>
  <si>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</si>
  <si>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</si>
  <si>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</si>
  <si>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</si>
  <si>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</si>
  <si>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</si>
  <si>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</si>
  <si>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</si>
  <si>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</si>
  <si>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</si>
  <si>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</si>
  <si>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</si>
  <si>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</si>
  <si>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</si>
  <si>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</si>
  <si>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</si>
  <si>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</si>
  <si>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</si>
  <si>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</si>
  <si>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</si>
  <si>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</si>
  <si>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</si>
  <si>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</si>
  <si>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</si>
  <si>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</si>
  <si>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</si>
  <si>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</si>
  <si>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</si>
  <si>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</si>
  <si>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</si>
  <si>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</si>
  <si>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</si>
  <si>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</si>
  <si>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</si>
  <si>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</si>
  <si>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</si>
  <si>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</si>
  <si>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</si>
  <si>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</si>
  <si>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</si>
  <si>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</si>
  <si>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</si>
  <si>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</si>
  <si>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</si>
  <si>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</si>
  <si>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</si>
  <si>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</si>
  <si>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</si>
  <si>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</si>
  <si>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</si>
  <si>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</si>
  <si>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</si>
  <si>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</si>
  <si>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</si>
  <si>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</si>
  <si>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</si>
  <si>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</si>
  <si>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</si>
  <si>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</si>
  <si>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</si>
  <si>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</si>
  <si>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</si>
  <si>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</si>
  <si>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</si>
  <si>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</si>
  <si>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</si>
  <si>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</si>
  <si>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</si>
  <si>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</si>
  <si>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</si>
  <si>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</si>
  <si>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</si>
  <si>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</si>
  <si>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</si>
  <si>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</si>
  <si>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</si>
  <si>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</si>
  <si>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</si>
  <si>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</si>
  <si>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</si>
  <si>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</si>
  <si>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</si>
  <si>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</si>
  <si>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</si>
  <si>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</si>
  <si>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</si>
  <si>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</si>
  <si>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</si>
  <si>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</si>
  <si>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</si>
  <si>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</si>
  <si>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</si>
  <si>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</si>
  <si>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</si>
  <si>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</si>
  <si>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</si>
  <si>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</si>
  <si>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</si>
  <si>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</si>
  <si>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</si>
  <si>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</si>
  <si>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</si>
  <si>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</si>
  <si>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</si>
  <si>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</si>
  <si>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</si>
  <si>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</si>
  <si>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</si>
  <si>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</si>
  <si>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</si>
  <si>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</si>
  <si>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</si>
  <si>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</si>
  <si>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</si>
  <si>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</si>
  <si>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</si>
  <si>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</si>
  <si>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</si>
  <si>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</si>
  <si>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</si>
  <si>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</si>
  <si>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</si>
  <si>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</si>
  <si>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</si>
  <si>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</si>
  <si>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</si>
  <si>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</si>
  <si>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</si>
  <si>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</si>
  <si>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</si>
  <si>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</si>
  <si>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</si>
  <si>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</si>
  <si>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</si>
  <si>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</si>
  <si>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</si>
  <si>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</si>
  <si>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</si>
  <si>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</si>
  <si>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</si>
  <si>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</si>
  <si>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</si>
  <si>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</si>
  <si>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</si>
  <si>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</si>
  <si>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</si>
  <si>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</si>
  <si>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</si>
  <si>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</si>
  <si>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</si>
  <si>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</si>
  <si>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</si>
  <si>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</si>
  <si>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</si>
  <si>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</si>
  <si>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</si>
  <si>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</si>
  <si>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</si>
  <si>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</si>
  <si>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</si>
  <si>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</si>
  <si>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</si>
  <si>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</si>
  <si>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</si>
  <si>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</si>
  <si>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</si>
  <si>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</si>
  <si>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</si>
  <si>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</si>
  <si>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</si>
  <si>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</si>
  <si>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</si>
  <si>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</si>
  <si>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</si>
  <si>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</si>
  <si>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</si>
  <si>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</si>
  <si>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</si>
  <si>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</si>
  <si>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</si>
  <si>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</si>
  <si>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</si>
  <si>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</si>
  <si>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</si>
  <si>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</si>
  <si>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</si>
  <si>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</si>
  <si>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</si>
  <si>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</si>
  <si>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</si>
  <si>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</si>
  <si>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</si>
  <si>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</si>
  <si>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</si>
  <si>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</si>
  <si>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</si>
  <si>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</si>
  <si>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</si>
  <si>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</si>
  <si>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</si>
  <si>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</si>
  <si>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</si>
  <si>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</si>
  <si>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</si>
  <si>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</si>
  <si>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</si>
  <si>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</si>
  <si>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</si>
  <si>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</si>
  <si>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</si>
  <si>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</si>
  <si>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</si>
  <si>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</si>
  <si>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</si>
  <si>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</si>
  <si>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</si>
  <si>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</si>
  <si>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</si>
  <si>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</si>
  <si>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</si>
  <si>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</si>
  <si>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</si>
  <si>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</si>
  <si>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</si>
  <si>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</si>
  <si>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</si>
  <si>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</si>
  <si>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</si>
  <si>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</si>
  <si>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</si>
  <si>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</si>
  <si>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</si>
  <si>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</si>
  <si>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</si>
  <si>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</si>
  <si>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</si>
  <si>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</si>
  <si>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</si>
  <si>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</si>
  <si>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</si>
  <si>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</si>
  <si>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</si>
  <si>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</si>
  <si>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</si>
  <si>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</si>
  <si>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</si>
  <si>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</si>
  <si>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</si>
  <si>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</si>
  <si>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</si>
  <si>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</si>
  <si>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</si>
  <si>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</si>
  <si>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</si>
  <si>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</si>
  <si>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</si>
  <si>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</si>
  <si>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</si>
  <si>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</si>
  <si>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</si>
  <si>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</si>
  <si>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</si>
  <si>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</si>
  <si>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</si>
  <si>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</si>
  <si>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</si>
  <si>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</si>
  <si>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</si>
  <si>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</si>
  <si>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</si>
  <si>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</si>
  <si>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</si>
  <si>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</si>
  <si>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</si>
  <si>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</si>
  <si>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</si>
  <si>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</si>
  <si>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</si>
  <si>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</si>
  <si>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</si>
  <si>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</si>
  <si>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</si>
  <si>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</si>
  <si>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</si>
  <si>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</si>
  <si>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</si>
  <si>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</si>
  <si>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</si>
  <si>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</si>
  <si>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</si>
  <si>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</si>
  <si>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</si>
  <si>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</si>
  <si>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</si>
  <si>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</si>
  <si>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</si>
  <si>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</si>
  <si>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</si>
  <si>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</si>
  <si>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</si>
  <si>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</si>
  <si>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</si>
  <si>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</si>
  <si>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</si>
  <si>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</si>
  <si>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</si>
  <si>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</si>
  <si>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</si>
  <si>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</si>
  <si>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</si>
  <si>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</si>
  <si>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</si>
  <si>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</si>
  <si>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</si>
  <si>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</si>
  <si>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</si>
  <si>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</si>
  <si>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</si>
  <si>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</si>
  <si>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</si>
  <si>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</si>
  <si>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</si>
  <si>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</si>
  <si>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</si>
  <si>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</si>
  <si>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</si>
  <si>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</si>
  <si>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</si>
  <si>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</si>
  <si>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</si>
  <si>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</si>
  <si>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</si>
  <si>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</si>
  <si>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</si>
  <si>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</si>
  <si>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</si>
  <si>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</si>
  <si>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</si>
  <si>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</si>
  <si>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</si>
  <si>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</si>
  <si>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</si>
  <si>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</si>
  <si>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</si>
  <si>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</si>
  <si>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</si>
  <si>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</si>
  <si>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</si>
  <si>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</si>
  <si>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</si>
  <si>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</si>
  <si>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</si>
  <si>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</si>
  <si>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</si>
  <si>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</si>
  <si>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</si>
  <si>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</si>
  <si>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</si>
  <si>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</si>
  <si>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</si>
  <si>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</si>
  <si>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</si>
  <si>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</si>
  <si>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</si>
  <si>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</si>
  <si>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</si>
  <si>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</si>
  <si>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</si>
  <si>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</si>
  <si>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</si>
  <si>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</si>
  <si>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</si>
  <si>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</si>
  <si>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</si>
  <si>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</si>
  <si>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</si>
  <si>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</si>
  <si>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</si>
  <si>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</si>
  <si>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</si>
  <si>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</si>
  <si>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</si>
  <si>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</si>
  <si>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</si>
  <si>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</si>
  <si>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</si>
  <si>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</si>
  <si>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</si>
  <si>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</si>
  <si>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</si>
  <si>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</si>
  <si>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</si>
  <si>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</si>
  <si>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</si>
  <si>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</si>
  <si>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</si>
  <si>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</si>
  <si>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</si>
  <si>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</si>
  <si>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</si>
  <si>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</si>
  <si>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</si>
  <si>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</si>
  <si>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</si>
  <si>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</si>
  <si>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</si>
  <si>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</si>
  <si>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</si>
  <si>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</si>
  <si>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</si>
  <si>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</si>
  <si>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</si>
  <si>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</si>
  <si>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</si>
  <si>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</si>
  <si>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</si>
  <si>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</si>
  <si>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</si>
  <si>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</si>
  <si>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</si>
  <si>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</si>
  <si>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</si>
  <si>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</si>
  <si>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</si>
  <si>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</si>
  <si>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</si>
  <si>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</si>
  <si>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</si>
  <si>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</si>
  <si>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</si>
  <si>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</si>
  <si>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</si>
  <si>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</si>
  <si>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</si>
  <si>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</si>
  <si>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</si>
  <si>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</si>
  <si>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</si>
  <si>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</si>
  <si>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</si>
  <si>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</si>
  <si>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</si>
  <si>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</si>
  <si>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</si>
  <si>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</si>
  <si>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</si>
  <si>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</si>
  <si>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</si>
  <si>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</si>
  <si>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</si>
  <si>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</si>
  <si>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</si>
  <si>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</si>
  <si>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</si>
  <si>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</si>
  <si>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</si>
  <si>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</si>
  <si>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</si>
  <si>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</si>
  <si>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</si>
  <si>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</si>
  <si>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</si>
  <si>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</si>
  <si>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</si>
  <si>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</si>
  <si>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</si>
  <si>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</si>
  <si>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</si>
  <si>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</si>
  <si>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</si>
  <si>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</si>
  <si>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</si>
  <si>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</si>
  <si>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</si>
  <si>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</si>
  <si>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</si>
  <si>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</si>
  <si>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</si>
  <si>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</si>
  <si>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</si>
  <si>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</si>
  <si>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</si>
  <si>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</si>
  <si>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</si>
  <si>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</si>
  <si>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</si>
  <si>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</si>
  <si>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</si>
  <si>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</si>
  <si>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</si>
  <si>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</si>
  <si>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</si>
  <si>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</si>
  <si>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</si>
  <si>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</si>
  <si>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</si>
  <si>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</si>
  <si>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</si>
  <si>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</si>
  <si>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</si>
  <si>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</si>
  <si>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</si>
  <si>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</si>
  <si>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</si>
  <si>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</si>
  <si>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</si>
  <si>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</si>
  <si>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</si>
  <si>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</si>
  <si>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</si>
  <si>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</si>
  <si>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</si>
  <si>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</si>
  <si>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</si>
  <si>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</si>
  <si>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</si>
  <si>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</si>
  <si>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</si>
  <si>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</si>
  <si>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</si>
  <si>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</si>
  <si>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</si>
  <si>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</si>
  <si>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</si>
  <si>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</si>
  <si>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</si>
  <si>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</si>
  <si>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</si>
  <si>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</si>
  <si>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</si>
  <si>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</si>
  <si>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</si>
  <si>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</si>
  <si>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</si>
  <si>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</si>
  <si>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</si>
  <si>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</si>
  <si>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</si>
  <si>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</si>
  <si>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</si>
  <si>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</si>
  <si>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</si>
  <si>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</si>
  <si>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</si>
  <si>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</si>
  <si>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</si>
  <si>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</si>
  <si>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</si>
  <si>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</si>
  <si>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</si>
  <si>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</si>
  <si>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</si>
  <si>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</si>
  <si>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</si>
  <si>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</si>
  <si>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</si>
  <si>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</si>
  <si>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</si>
  <si>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</si>
  <si>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</si>
  <si>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</si>
  <si>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</si>
  <si>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</si>
  <si>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</si>
  <si>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</si>
  <si>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</si>
  <si>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</si>
  <si>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</si>
  <si>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</si>
  <si>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</si>
  <si>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</si>
  <si>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</si>
  <si>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</si>
  <si>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</si>
  <si>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</si>
  <si>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</si>
  <si>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</si>
  <si>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</si>
  <si>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</si>
  <si>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</si>
  <si>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</si>
  <si>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</si>
  <si>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</si>
  <si>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</si>
  <si>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</si>
  <si>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</si>
  <si>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</si>
  <si>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</si>
  <si>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</si>
  <si>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</si>
  <si>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</si>
  <si>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</si>
  <si>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</si>
  <si>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</si>
  <si>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</si>
  <si>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</si>
  <si>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</si>
  <si>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</si>
  <si>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</si>
  <si>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</si>
  <si>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</si>
  <si>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</si>
  <si>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</si>
  <si>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</si>
  <si>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</si>
  <si>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</si>
  <si>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</si>
  <si>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</si>
  <si>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</si>
  <si>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</si>
  <si>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</si>
  <si>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</si>
  <si>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</si>
  <si>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</si>
  <si>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</si>
  <si>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</si>
  <si>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</si>
  <si>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</si>
  <si>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</si>
  <si>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</si>
  <si>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</si>
  <si>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</si>
  <si>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</si>
  <si>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</si>
  <si>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</si>
  <si>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</si>
  <si>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</si>
  <si>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</si>
  <si>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</si>
  <si>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</si>
  <si>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</si>
  <si>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</si>
  <si>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</si>
  <si>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</si>
  <si>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</si>
  <si>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</si>
  <si>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</si>
  <si>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</si>
  <si>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</si>
  <si>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</si>
  <si>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</si>
  <si>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</si>
  <si>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</si>
  <si>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</si>
  <si>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</si>
  <si>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</si>
  <si>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</si>
  <si>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</si>
  <si>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</si>
  <si>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</si>
  <si>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</si>
  <si>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</si>
  <si>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</si>
  <si>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</si>
  <si>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</si>
  <si>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</si>
  <si>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</si>
  <si>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</si>
  <si>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</si>
  <si>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</si>
  <si>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</si>
  <si>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</si>
  <si>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</si>
  <si>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</si>
  <si>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</si>
  <si>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</si>
  <si>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</si>
  <si>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</si>
  <si>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</si>
  <si>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</si>
  <si>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</si>
  <si>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</si>
  <si>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</si>
  <si>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</si>
  <si>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</si>
  <si>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</si>
  <si>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</si>
  <si>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</si>
  <si>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</si>
  <si>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</si>
  <si>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</si>
  <si>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</si>
  <si>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</si>
  <si>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</si>
  <si>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</si>
  <si>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</si>
  <si>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</si>
  <si>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pAge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</si>
  <si>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</si>
  <si>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</si>
  <si>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</si>
  <si>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</si>
  <si>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</si>
  <si>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</si>
  <si>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</si>
  <si>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</si>
  <si>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</si>
  <si>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</si>
  <si>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</si>
  <si>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</si>
  <si>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</si>
  <si>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</si>
  <si>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</si>
  <si>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</si>
  <si>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</si>
  <si>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</si>
  <si>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</si>
  <si>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</si>
  <si>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</si>
  <si>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</si>
  <si>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</si>
  <si>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</si>
  <si>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</si>
  <si>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</si>
  <si>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</si>
  <si>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</si>
  <si>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</si>
  <si>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</si>
  <si>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</si>
  <si>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</si>
  <si>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</si>
  <si>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</si>
  <si>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</si>
  <si>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</si>
  <si>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</si>
  <si>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</si>
  <si>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</si>
  <si>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</si>
  <si>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</si>
  <si>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</si>
  <si>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</si>
  <si>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</si>
  <si>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</si>
  <si>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</si>
  <si>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</si>
  <si>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</si>
  <si>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</si>
  <si>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</si>
  <si>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</si>
  <si>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</si>
  <si>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</si>
  <si>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</si>
  <si>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</si>
  <si>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</si>
  <si>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</si>
  <si>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</si>
  <si>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</si>
  <si>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</si>
  <si>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</si>
  <si>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</si>
  <si>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</si>
  <si>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</si>
  <si>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</si>
  <si>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</si>
  <si>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</si>
  <si>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</si>
  <si>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</si>
  <si>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</si>
  <si>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</si>
  <si>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</si>
  <si>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</si>
  <si>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</si>
  <si>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</si>
  <si>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</si>
  <si>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</si>
  <si>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</si>
  <si>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</si>
  <si>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</si>
  <si>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</si>
  <si>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</si>
  <si>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</si>
  <si>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</si>
  <si>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</si>
  <si>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</si>
  <si>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</si>
  <si>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</si>
  <si>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</si>
  <si>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</si>
  <si>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</si>
  <si>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</si>
  <si>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</si>
  <si>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</si>
  <si>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</si>
  <si>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</si>
  <si>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</si>
  <si>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</si>
  <si>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</si>
  <si>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</si>
  <si>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</si>
  <si>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</si>
  <si>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</si>
  <si>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</si>
  <si>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</si>
  <si>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</si>
  <si>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</si>
  <si>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</si>
  <si>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</si>
  <si>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</si>
  <si>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</si>
  <si>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</si>
  <si>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</si>
  <si>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</si>
  <si>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</si>
  <si>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</si>
  <si>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</si>
  <si>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</si>
  <si>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</si>
  <si>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</si>
  <si>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</si>
  <si>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</si>
  <si>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</si>
  <si>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</si>
  <si>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</si>
  <si>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</si>
  <si>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</si>
  <si>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</si>
  <si>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</si>
  <si>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</si>
  <si>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</si>
  <si>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</si>
  <si>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</si>
  <si>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</si>
  <si>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</si>
  <si>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</si>
  <si>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</si>
  <si>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</si>
  <si>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</si>
  <si>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</si>
  <si>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</si>
  <si>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</si>
  <si>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</si>
  <si>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</si>
  <si>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</si>
  <si>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</si>
  <si>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</si>
  <si>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</si>
  <si>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</si>
  <si>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</si>
  <si>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</si>
  <si>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</si>
  <si>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</si>
  <si>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</si>
  <si>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</si>
  <si>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</si>
  <si>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</si>
  <si>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</si>
  <si>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</si>
  <si>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</si>
  <si>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</si>
  <si>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</si>
  <si>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</si>
  <si>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</si>
  <si>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</si>
  <si>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</si>
  <si>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</si>
  <si>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</si>
  <si>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</si>
  <si>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</si>
  <si>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</si>
  <si>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</si>
  <si>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</si>
  <si>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</si>
  <si>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</si>
  <si>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</si>
  <si>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</si>
  <si>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</si>
  <si>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</si>
  <si>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</si>
  <si>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</si>
  <si>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</si>
  <si>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</si>
  <si>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</si>
  <si>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</si>
  <si>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</si>
  <si>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</si>
  <si>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</si>
  <si>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</si>
  <si>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</si>
  <si>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</si>
  <si>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</si>
  <si>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</si>
  <si>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</si>
  <si>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</si>
  <si>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</si>
  <si>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</si>
  <si>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</si>
  <si>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</si>
  <si>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</si>
  <si>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</si>
  <si>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</si>
  <si>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</si>
  <si>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</si>
  <si>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</si>
  <si>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</si>
  <si>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</si>
  <si>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</si>
  <si>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</si>
  <si>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</si>
  <si>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</si>
  <si>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</si>
  <si>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</si>
  <si>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</si>
  <si>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</si>
  <si>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</si>
  <si>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</si>
  <si>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</si>
  <si>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</si>
  <si>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</si>
  <si>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</si>
  <si>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</si>
  <si>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</si>
  <si>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</si>
  <si>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</si>
  <si>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</si>
  <si>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</si>
  <si>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</si>
  <si>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</si>
  <si>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</si>
  <si>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</si>
  <si>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</si>
  <si>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</si>
  <si>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</si>
  <si>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</si>
  <si>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</si>
  <si>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</si>
  <si>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</si>
  <si>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</si>
  <si>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</si>
  <si>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</si>
  <si>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</si>
  <si>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</si>
  <si>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</si>
  <si>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</si>
  <si>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</si>
  <si>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</si>
  <si>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</si>
  <si>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</si>
  <si>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</si>
  <si>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</si>
  <si>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</si>
  <si>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</si>
  <si>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</si>
  <si>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</si>
  <si>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</si>
  <si>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</si>
  <si>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</si>
  <si>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</si>
  <si>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</si>
  <si>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</si>
  <si>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</si>
  <si>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</si>
  <si>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</si>
  <si>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</si>
  <si>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</si>
  <si>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</si>
  <si>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</si>
  <si>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</si>
  <si>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</si>
  <si>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</si>
  <si>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</si>
  <si>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</si>
  <si>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</si>
  <si>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</si>
  <si>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</si>
  <si>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</si>
  <si>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</si>
  <si>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</si>
  <si>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</si>
  <si>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</si>
  <si>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</si>
  <si>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</si>
  <si>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</si>
  <si>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</si>
  <si>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</si>
  <si>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</si>
  <si>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</si>
  <si>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</si>
  <si>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</si>
  <si>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</si>
  <si>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</si>
  <si>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</si>
  <si>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</si>
  <si>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</si>
  <si>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</si>
  <si>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</si>
  <si>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</si>
  <si>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</si>
  <si>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</si>
  <si>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</si>
  <si>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</si>
  <si>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</si>
  <si>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</si>
  <si>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</si>
  <si>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</si>
  <si>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</si>
  <si>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</si>
  <si>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</si>
  <si>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</si>
  <si>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</si>
  <si>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</si>
  <si>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</si>
  <si>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</si>
  <si>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</si>
  <si>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</si>
  <si>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</si>
  <si>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</si>
  <si>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</si>
  <si>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</si>
  <si>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</si>
  <si>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</si>
  <si>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</si>
  <si>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</si>
  <si>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</si>
  <si>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</si>
  <si>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</si>
  <si>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</si>
  <si>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</si>
  <si>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</si>
  <si>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</si>
  <si>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</si>
  <si>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</si>
  <si>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</si>
  <si>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</si>
  <si>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</si>
  <si>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</si>
  <si>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</si>
  <si>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</si>
  <si>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</si>
  <si>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</si>
  <si>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</si>
  <si>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</si>
  <si>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</si>
  <si>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</si>
  <si>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</si>
  <si>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</si>
  <si>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</si>
  <si>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</si>
  <si>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</si>
  <si>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</si>
  <si>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</si>
  <si>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</si>
  <si>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</si>
  <si>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</si>
  <si>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</si>
  <si>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</si>
  <si>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</si>
  <si>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</si>
  <si>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</si>
  <si>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</si>
  <si>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</si>
  <si>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</si>
  <si>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</si>
  <si>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</si>
  <si>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</si>
  <si>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</si>
  <si>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</si>
  <si>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</si>
  <si>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</si>
  <si>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</si>
  <si>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</si>
  <si>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</si>
  <si>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</si>
  <si>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</si>
  <si>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</si>
  <si>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</si>
  <si>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</si>
  <si>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</si>
  <si>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</si>
  <si>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</si>
  <si>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</si>
  <si>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</si>
  <si>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</si>
  <si>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</si>
  <si>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</si>
  <si>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</si>
  <si>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</si>
  <si>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</si>
  <si>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</si>
  <si>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</si>
  <si>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</si>
  <si>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</si>
  <si>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</si>
  <si>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</si>
  <si>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</si>
  <si>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</si>
  <si>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</si>
  <si>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</si>
  <si>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</si>
  <si>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</si>
  <si>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</si>
  <si>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</si>
  <si>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</si>
  <si>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</si>
  <si>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</si>
  <si>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</si>
  <si>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</si>
  <si>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</si>
  <si>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</si>
  <si>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</si>
  <si>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</si>
  <si>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</si>
  <si>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</si>
  <si>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</si>
  <si>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</si>
  <si>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</si>
  <si>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</si>
  <si>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</si>
  <si>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</si>
  <si>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</si>
  <si>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</si>
  <si>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</si>
  <si>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</si>
  <si>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</si>
  <si>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</si>
  <si>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</si>
  <si>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</si>
  <si>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</si>
  <si>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</si>
  <si>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</si>
  <si>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</si>
  <si>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</si>
  <si>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</si>
  <si>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t>
  </si>
  <si>
    <t xml:space="preserve">Plan inputs -&gt; prototype state key</t>
  </si>
  <si>
    <t xml:space="preserve">Plan inputs name</t>
  </si>
  <si>
    <t xml:space="preserve">Prototype state key / meaning</t>
  </si>
  <si>
    <t xml:space="preserve">In_age / Has_age</t>
  </si>
  <si>
    <t xml:space="preserve">Your age   [About you. The prototype: S.about.age]</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</si>
  <si>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</si>
  <si>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</si>
  <si>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</si>
  <si>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</si>
  <si>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</si>
  <si>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</si>
  <si>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</si>
  <si>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</si>
  <si>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</si>
  <si>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</si>
  <si>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</si>
  <si>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</si>
  <si>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</si>
  <si>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</si>
  <si>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</si>
  <si>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</si>
  <si>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</si>
  <si>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</si>
  <si>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</si>
  <si>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</si>
  <si>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</si>
  <si>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</si>
  <si>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</si>
  <si>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</si>
  <si>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</si>
  <si>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</si>
  <si>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</si>
  <si>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</si>
  <si>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</si>
  <si>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</si>
  <si>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</si>
  <si>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</si>
  <si>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</si>
  <si>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</si>
  <si>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</si>
  <si>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</si>
  <si>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</si>
  <si>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</si>
  <si>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</si>
  <si>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</si>
  <si>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</si>
  <si>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age   [S.fin.pAge]</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</si>
  <si>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</si>
  <si>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</si>
  <si>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</si>
  <si>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</si>
  <si>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</si>
  <si>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</si>
  <si>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</si>
  <si>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</si>
  <si>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</si>
  <si>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</si>
  <si>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</si>
  <si>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</si>
  <si>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</si>
  <si>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</si>
  <si>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</si>
  <si>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</si>
  <si>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</si>
  <si>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</si>
  <si>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</si>
  <si>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</si>
  <si>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</si>
  <si>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</si>
  <si>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</si>
  <si>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</si>
  <si>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</si>
  <si>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</si>
  <si>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</si>
  <si>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</si>
  <si>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</si>
  <si>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</si>
  <si>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</si>
  <si>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</si>
  <si>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</si>
  <si>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</si>
  <si>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</si>
  <si>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</si>
  <si>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</si>
  <si>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</si>
  <si>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</si>
  <si>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</si>
  <si>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</si>
  <si>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</si>
  <si>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</si>
  <si>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</si>
  <si>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</si>
  <si>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</si>
  <si>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</si>
  <si>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</si>
  <si>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</si>
  <si>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</si>
  <si>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</si>
  <si>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</si>
  <si>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</si>
  <si>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</si>
  <si>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</si>
  <si>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</si>
  <si>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</si>
  <si>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</si>
  <si>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</si>
  <si>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</si>
  <si>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</si>
  <si>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</si>
  <si>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</si>
  <si>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</si>
  <si>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</si>
  <si>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</si>
  <si>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</si>
  <si>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</si>
  <si>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</si>
  <si>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</si>
  <si>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</si>
  <si>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</si>
  <si>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</si>
  <si>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</si>
  <si>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</si>
  <si>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</si>
  <si>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</si>
  <si>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</si>
  <si>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</si>
  <si>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</si>
  <si>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</si>
  <si>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</si>
  <si>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</si>
  <si>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</si>
  <si>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</si>
  <si>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</si>
  <si>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</si>
  <si>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</si>
  <si>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</si>
  <si>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</si>
  <si>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</si>
  <si>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</si>
  <si>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</si>
  <si>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</si>
  <si>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</si>
  <si>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</si>
  <si>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</si>
  <si>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</si>
  <si>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</si>
  <si>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</si>
  <si>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</si>
  <si>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</si>
  <si>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</si>
  <si>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</si>
  <si>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</si>
  <si>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</si>
  <si>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</si>
  <si>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</si>
  <si>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</si>
  <si>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</si>
  <si>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</si>
  <si>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</si>
  <si>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</si>
  <si>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</si>
  <si>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</si>
  <si>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</si>
  <si>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</si>
  <si>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</si>
  <si>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</si>
  <si>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</si>
  <si>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</si>
  <si>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</si>
  <si>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</si>
  <si>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</si>
  <si>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</si>
  <si>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</si>
  <si>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</si>
  <si>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</si>
  <si>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</si>
  <si>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</si>
  <si>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</si>
  <si>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</si>
  <si>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</si>
  <si>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</si>
  <si>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</si>
  <si>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</si>
  <si>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</si>
  <si>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</si>
  <si>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</si>
  <si>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</si>
  <si>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</si>
  <si>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</si>
  <si>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</si>
  <si>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</si>
  <si>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</si>
  <si>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</si>
  <si>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</si>
  <si>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</si>
  <si>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</si>
  <si>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</si>
  <si>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</si>
  <si>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</si>
  <si>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</si>
  <si>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</si>
  <si>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</si>
  <si>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</si>
  <si>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</si>
  <si>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</si>
  <si>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</si>
  <si>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2742)</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</si>
  <si>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</si>
  <si>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</si>
  <si>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</si>
  <si>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</si>
  <si>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</si>
  <si>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</si>
  <si>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</si>
  <si>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</si>
  <si>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1947)</t>
  </si>
  <si>
    <t xml:space="preserve">Same count of goals at or above 95%.</t>
  </si>
  <si>
    <t xml:space="preserve">Readiness "rough" flag and the "Rough picture" note</t>
  </si>
  <si>
    <t xml:space="preserve">function roughNote (line 1500)</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</si>
  <si>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</si>
  <si>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</si>
  <si>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</si>
  <si>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</si>
  <si>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</si>
  <si>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</si>
  <si>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</si>
  <si>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2733)</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</si>
  <si>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</si>
  <si>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</si>
  <si>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</si>
  <si>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</si>
  <si>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</si>
  <si>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2683)</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</si>
  <si>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</si>
  <si>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</si>
  <si>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</si>
  <si>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</si>
  <si>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</si>
  <si>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</si>
  <si>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</si>
  <si>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</si>
  <si>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</si>
  <si>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2539)</t>
  </si>
  <si>
    <t xml:space="preserve">Tool list picked from the types of your goals (the first 6 of the list), in a fixed order.</t>
  </si>
  <si>
    <t xml:space="preserve">Plan results: Tools_List</t>
  </si>
  <si>
    <t xml:space="preserve">Update-your-details nudge</t>
  </si>
  <si>
    <t xml:space="preserve">function nudge (line 1964)</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</si>
  <si>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</si>
  <si>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</si>
  <si>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</si>
  <si>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</si>
  <si>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</si>
  <si>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2054)</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</si>
  <si>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</si>
  <si>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</si>
  <si>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</si>
  <si>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N of N chosen</t>
  </si>
  <si>
    <t xml:space="preserve">function p4Asm (line 2044)</t>
  </si>
  <si>
    <t xml:space="preserve">The required choices and how many are made. Everything else is set by LifeMap (Set by LifeMap) or assumed (Assumed: add yours) and listed under What we have set for you.</t>
  </si>
  <si>
    <t xml:space="preserve">Plan results: Req_Count, Req_Got</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</si>
  <si>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</si>
  <si>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</si>
  <si>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</si>
  <si>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</si>
  <si>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Me / Plan</t>
  </si>
  <si>
    <t xml:space="preserve">Missing details count ("N items need a look")</t>
  </si>
  <si>
    <t xml:space="preserve">function checkItems (line 1719)</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</si>
  <si>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</si>
  <si>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</si>
  <si>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</si>
  <si>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</si>
  <si>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</si>
  <si>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1221)</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</si>
  <si>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</si>
  <si>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</si>
  <si>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</si>
  <si>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1320)</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</si>
  <si>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</si>
  <si>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</si>
  <si>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</si>
  <si>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</si>
  <si>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1369)</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</si>
  <si>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</si>
  <si>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</si>
  <si>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</si>
  <si>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</si>
  <si>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</si>
  <si>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</si>
  <si>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</si>
  <si>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1910)</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</si>
  <si>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</si>
  <si>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</si>
  <si>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</si>
  <si>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1381)</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</si>
  <si>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</si>
  <si>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</si>
  <si>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</si>
  <si>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1761)</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</si>
  <si>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</si>
  <si>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</si>
  <si>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</si>
  <si>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</si>
  <si>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1741)</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</si>
  <si>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</si>
  <si>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</si>
  <si>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</si>
  <si>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</si>
  <si>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</si>
  <si>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</si>
  <si>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</si>
  <si>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</si>
  <si>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1250)</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</si>
  <si>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</si>
  <si>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</si>
  <si>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</si>
  <si>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</si>
  <si>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</si>
  <si>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</si>
  <si>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1342)</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</si>
  <si>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</si>
  <si>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</si>
  <si>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</si>
  <si>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</si>
  <si>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</si>
  <si>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</si>
  <si>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</si>
  <si>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</si>
  <si>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</si>
  <si>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</si>
  <si>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1743)</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</si>
  <si>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</si>
  <si>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</si>
  <si>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</si>
  <si>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</si>
  <si>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</si>
  <si>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</si>
  <si>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</si>
  <si>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1751)</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</si>
  <si>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</si>
  <si>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</si>
  <si>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</si>
  <si>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</si>
  <si>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</si>
  <si>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2452)</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</si>
  <si>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</si>
  <si>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</si>
  <si>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</si>
  <si>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</si>
  <si>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</si>
  <si>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</si>
  <si>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</si>
  <si>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</si>
  <si>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1896)</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</si>
  <si>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</si>
  <si>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</si>
  <si>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</si>
  <si>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</si>
  <si>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1775)</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</si>
  <si>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</si>
  <si>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</si>
  <si>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</si>
  <si>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</si>
  <si>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1855)</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</si>
  <si>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</si>
  <si>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</si>
  <si>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</si>
  <si>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</si>
  <si>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1843)</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</si>
  <si>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</si>
  <si>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</si>
  <si>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</si>
  <si>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1844)</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</si>
  <si>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</si>
  <si>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</si>
  <si>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</si>
  <si>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</si>
  <si>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</si>
  <si>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</si>
  <si>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</si>
  <si>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</si>
  <si>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1495)</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</si>
  <si>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</si>
  <si>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</si>
  <si>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</si>
  <si>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</si>
  <si>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1615)</t>
  </si>
  <si>
    <t xml:space="preserve">First plan year + (goal age - your age).</t>
  </si>
  <si>
    <t xml:space="preserve">Plan goals: GR{i}_Year, GR{i}_AgeYear</t>
  </si>
  <si>
    <t xml:space="preserve">Report / PDF</t>
  </si>
  <si>
    <t xml:space="preserve">Section 1 Summary (strength / gap / decision)</t>
  </si>
  <si>
    <t xml:space="preserve">function openReport (line 2863)</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</si>
  <si>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</si>
  <si>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</si>
  <si>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</si>
  <si>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</si>
  <si>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</si>
  <si>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</si>
  <si>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</si>
  <si>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</si>
  <si>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</si>
  <si>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</si>
  <si>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</si>
  <si>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</si>
  <si>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</si>
  <si>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</si>
  <si>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</si>
  <si>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</si>
  <si>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</si>
  <si>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1536)</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</si>
  <si>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</si>
  <si>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</si>
  <si>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</si>
  <si>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</si>
  <si>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1505)</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</si>
  <si>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</si>
  <si>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</si>
  <si>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</si>
  <si>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</si>
  <si>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</si>
  <si>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</si>
  <si>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</si>
  <si>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</si>
  <si>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</si>
  <si>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</si>
  <si>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</si>
  <si>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1282)</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</si>
  <si>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</si>
  <si>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</si>
  <si>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</si>
  <si>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</si>
  <si>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</si>
  <si>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</si>
  <si>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</si>
  <si>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</si>
  <si>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</si>
  <si>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</si>
  <si>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</si>
  <si>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</si>
  <si>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</si>
  <si>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</si>
  <si>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</si>
  <si>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</si>
  <si>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</si>
  <si>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</si>
  <si>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</si>
  <si>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</si>
  <si>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</si>
  <si>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</si>
  <si>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2166)</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</si>
  <si>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</si>
  <si>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</si>
  <si>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</si>
  <si>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</si>
  <si>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</si>
  <si>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</si>
  <si>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</si>
  <si>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</si>
  <si>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</si>
  <si>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</si>
  <si>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</si>
  <si>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</si>
  <si>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</si>
  <si>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</si>
  <si>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2750)</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</si>
  <si>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</si>
  <si>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</si>
  <si>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</si>
  <si>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</si>
  <si>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</si>
  <si>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</si>
  <si>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</si>
  <si>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</si>
  <si>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2753)</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</si>
  <si>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</si>
  <si>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</si>
  <si>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</si>
  <si>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</si>
  <si>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</si>
  <si>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</si>
  <si>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</si>
  <si>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2941)</t>
  </si>
  <si>
    <t xml:space="preserve">Dates are fixed text.</t>
  </si>
  <si>
    <t xml:space="preserve">Not a calculation.</t>
  </si>
  <si>
    <t xml:space="preserve">Ask / Experts</t>
  </si>
  <si>
    <t xml:space="preserve">Suggested questions that quote plan figures</t>
  </si>
  <si>
    <t xml:space="preserve">function askPlan (line 2809)</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</si>
  <si>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</si>
  <si>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</si>
  <si>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</si>
  <si>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</si>
  <si>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</si>
  <si>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</si>
  <si>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</si>
  <si>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</si>
  <si>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</si>
  <si>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</si>
  <si>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</si>
  <si>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</si>
  <si>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</si>
  <si>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</si>
  <si>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2556)</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</si>
  <si>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</si>
  <si>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</si>
  <si>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</si>
  <si>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</si>
  <si>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</si>
  <si>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2555)</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</si>
  <si>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</si>
  <si>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</si>
  <si>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</si>
  <si>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</si>
  <si>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2668)</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</si>
  <si>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</si>
  <si>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</si>
  <si>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</si>
  <si>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</si>
  <si>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</si>
  <si>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2204)</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</si>
  <si>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</si>
  <si>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</si>
  <si>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</si>
  <si>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</si>
  <si>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</si>
  <si>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</si>
  <si>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</si>
  <si>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</si>
  <si>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3178)</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</si>
  <si>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</si>
  <si>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</si>
  <si>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</si>
  <si>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</si>
  <si>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</si>
  <si>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2217)</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</si>
  <si>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</si>
  <si>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</si>
  <si>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</si>
  <si>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</si>
  <si>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</si>
  <si>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2229)</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</si>
  <si>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</si>
  <si>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</si>
  <si>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</si>
  <si>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</si>
  <si>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2239)</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</si>
  <si>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</si>
  <si>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</si>
  <si>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</si>
  <si>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</si>
  <si>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2245)</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</si>
  <si>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</si>
  <si>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</si>
  <si>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</si>
  <si>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</si>
  <si>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2252)</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</si>
  <si>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</si>
  <si>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</si>
  <si>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</si>
  <si>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</si>
  <si>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2257)</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</si>
  <si>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</si>
  <si>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</si>
  <si>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</si>
  <si>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</si>
  <si>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2262)</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</si>
  <si>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</si>
  <si>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</si>
  <si>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</si>
  <si>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</si>
  <si>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2269)</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</si>
  <si>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</si>
  <si>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</si>
  <si>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</si>
  <si>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</si>
  <si>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2275)</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</si>
  <si>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</si>
  <si>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</si>
  <si>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</si>
  <si>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</si>
  <si>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2280)</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</si>
  <si>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</si>
  <si>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</si>
  <si>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</si>
  <si>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</si>
  <si>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2287)</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</si>
  <si>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</si>
  <si>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</si>
  <si>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</si>
  <si>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</si>
  <si>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2292)</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</si>
  <si>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</si>
  <si>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</si>
  <si>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</si>
  <si>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</si>
  <si>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2304)</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</si>
  <si>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</si>
  <si>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</si>
  <si>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</si>
  <si>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</si>
  <si>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2309)</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</si>
  <si>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</si>
  <si>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</si>
  <si>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</si>
  <si>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</si>
  <si>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2315)</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</si>
  <si>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</si>
  <si>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</si>
  <si>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</si>
  <si>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</si>
  <si>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2320)</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</si>
  <si>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</si>
  <si>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</si>
  <si>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</si>
  <si>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</si>
  <si>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2325)</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</si>
  <si>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</si>
  <si>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</si>
  <si>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</si>
  <si>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</si>
  <si>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2331)</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</si>
  <si>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</si>
  <si>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</si>
  <si>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</si>
  <si>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</si>
  <si>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2337)</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</si>
  <si>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</si>
  <si>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</si>
  <si>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</si>
  <si>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</si>
  <si>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2341)</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</si>
  <si>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</si>
  <si>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</si>
  <si>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</si>
  <si>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</si>
  <si>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2346)</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</si>
  <si>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</si>
  <si>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</si>
  <si>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</si>
  <si>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</si>
  <si>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2352)</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</si>
  <si>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</si>
  <si>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</si>
  <si>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</si>
  <si>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</si>
  <si>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2358)</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</si>
  <si>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</si>
  <si>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</si>
  <si>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</si>
  <si>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</si>
  <si>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2364)</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</si>
  <si>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</si>
  <si>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</si>
  <si>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</si>
  <si>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</si>
  <si>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2367)</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</si>
  <si>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</si>
  <si>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</si>
  <si>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</si>
  <si>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</si>
  <si>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2371)</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</si>
  <si>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</si>
  <si>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</si>
  <si>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</si>
  <si>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</si>
  <si>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2374)</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</si>
  <si>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</si>
  <si>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</si>
  <si>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</si>
  <si>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</si>
  <si>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2380)</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</si>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</sst>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General"/>
    <numFmt numFmtId="176" formatCode="#,##0"/>
    <numFmt numFmtId="177" formatCode="dd/mm/yyyy"/>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7"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fals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false" outlineLevel="0" collapsed="false">
      <c r="B135" s="7" t="s">
        <v>200</v>
      </c>
    </row>
    <row r="136" customFormat="false" ht="15" hidden="false" customHeight="false" outlineLevel="0" collapsed="false">
      <c r="C136" s="13" t="str">
        <f aca="false">HYPERLINK("#'Plan inputs'!A1","Plan inputs")</f>
        <v>Plan inputs</v>
      </c>
      <c r="D136" s="1" t="s">
        <v>201</v>
      </c>
    </row>
    <row r="137" customFormat="false" ht="15" hidden="false" customHeight="false" outlineLevel="0" collapsed="false">
      <c r="C137" s="13" t="str">
        <f aca="false">HYPERLINK("#'Plan pay &amp; tax'!A1","Plan pay &amp; tax")</f>
        <v>Plan pay &amp; tax</v>
      </c>
      <c r="D137" s="1" t="s">
        <v>202</v>
      </c>
    </row>
    <row r="138" customFormat="false" ht="15" hidden="false" customHeight="false" outlineLevel="0" collapsed="false">
      <c r="C138" s="13" t="str">
        <f aca="false">HYPERLINK("#'Plan debt months'!A1","Plan debt months")</f>
        <v>Plan debt months</v>
      </c>
      <c r="D138" s="1" t="s">
        <v>203</v>
      </c>
    </row>
    <row r="139" customFormat="false" ht="15" hidden="false" customHeight="false" outlineLevel="0" collapsed="false">
      <c r="C139" s="13" t="str">
        <f aca="false">HYPERLINK("#'Plan cashflow'!A1","Plan cashflow")</f>
        <v>Plan cashflow</v>
      </c>
      <c r="D139" s="1" t="s">
        <v>204</v>
      </c>
    </row>
    <row r="140" customFormat="false" ht="15" hidden="false" customHeight="false" outlineLevel="0" collapsed="false">
      <c r="C140" s="13" t="str">
        <f aca="false">HYPERLINK("#'Plan goals'!A1","Plan goals")</f>
        <v>Plan goals</v>
      </c>
      <c r="D140" s="1" t="s">
        <v>205</v>
      </c>
    </row>
    <row r="141" customFormat="false" ht="15" hidden="false" customHeight="false" outlineLevel="0" collapsed="false">
      <c r="C141" s="13" t="str">
        <f aca="false">HYPERLINK("#'Plan results'!A1","Plan results")</f>
        <v>Plan results</v>
      </c>
      <c r="D141" s="1" t="s">
        <v>206</v>
      </c>
    </row>
    <row r="142" customFormat="false" ht="15" hidden="false" customHeight="false" outlineLevel="0" collapsed="false">
      <c r="C142" s="13" t="str">
        <f aca="false">HYPERLINK("#'Plan profile'!A1","Plan profile")</f>
        <v>Plan profile</v>
      </c>
      <c r="D142" s="1" t="s">
        <v>207</v>
      </c>
    </row>
    <row r="143" customFormat="false" ht="15" hidden="false" customHeight="false" outlineLevel="0" collapsed="false">
      <c r="C143" s="13" t="str">
        <f aca="false">HYPERLINK("#'Plan how it works'!A1","Plan how it works")</f>
        <v>Plan how it works</v>
      </c>
      <c r="D143" s="1" t="s">
        <v>208</v>
      </c>
    </row>
    <row r="144" customFormat="false" ht="15" hidden="false" customHeight="false" outlineLevel="0" collapsed="false">
      <c r="C144" s="13" t="str">
        <f aca="false">HYPERLINK("#'Calculation register'!A1","Calculation register")</f>
        <v>Calculation register</v>
      </c>
      <c r="D144" s="1" t="s">
        <v>209</v>
      </c>
    </row>
    <row r="145" customFormat="false" ht="15" hidden="false" customHeight="false" outlineLevel="0" collapsed="false">
      <c r="B145" s="23" t="s">
        <v>210</v>
      </c>
    </row>
    <row r="147" customFormat="false" ht="15" hidden="false" customHeight="false" outlineLevel="0" collapsed="false">
      <c r="B147" s="7" t="s">
        <v>211</v>
      </c>
    </row>
    <row r="148" customFormat="false" ht="15" hidden="false" customHeight="false" outlineLevel="0" collapsed="false">
      <c r="C148" s="13" t="str">
        <f aca="false">HYPERLINK("#'Settings'!A1","Settings")</f>
        <v>Settings</v>
      </c>
      <c r="D148" s="1" t="s">
        <v>212</v>
      </c>
    </row>
    <row r="149" customFormat="false" ht="15" hidden="false" customHeight="false" outlineLevel="0" collapsed="false">
      <c r="C149" s="13" t="str">
        <f aca="false">HYPERLINK("#'Your lists'!A1","Your lists")</f>
        <v>Your lists</v>
      </c>
      <c r="D149" s="1" t="s">
        <v>213</v>
      </c>
    </row>
    <row r="150" customFormat="false" ht="15" hidden="false" customHeight="false" outlineLevel="0" collapsed="false">
      <c r="C150" s="1" t="s">
        <v>214</v>
      </c>
      <c r="D150" s="1" t="s">
        <v>215</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216</v>
      </c>
      <c r="E1" s="3" t="s">
        <v>217</v>
      </c>
    </row>
    <row r="2" customFormat="false" ht="15" hidden="false" customHeight="true" outlineLevel="0" collapsed="false">
      <c r="B2" s="25" t="s">
        <v>218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219</v>
      </c>
    </row>
    <row r="5" customFormat="false" ht="15" hidden="false" customHeight="true" outlineLevel="0" collapsed="false">
      <c r="B5" s="15" t="s">
        <v>220</v>
      </c>
      <c r="C5" s="28" t="s">
        <v>221</v>
      </c>
      <c r="D5" s="28" t="s">
        <v>222</v>
      </c>
      <c r="E5" s="28" t="s">
        <v>223</v>
      </c>
      <c r="F5" s="29" t="s">
        <v>224</v>
      </c>
      <c r="G5" s="16"/>
    </row>
    <row r="6" customFormat="false" ht="21.75" hidden="false" customHeight="true" outlineLevel="0" collapsed="false">
      <c r="B6" s="9" t="s">
        <v>225</v>
      </c>
      <c r="C6" s="30"/>
      <c r="D6" s="31" t="s">
        <v>226</v>
      </c>
      <c r="E6" s="32" t="s">
        <v>227</v>
      </c>
      <c r="F6" s="33" t="n">
        <v>60000</v>
      </c>
      <c r="G6" s="34" t="str">
        <f aca="false">IF(ISBLANK(C6),IF(Fill_Example="Yes",F6,""),C6)</f>
        <v/>
      </c>
    </row>
    <row r="7" customFormat="false" ht="21.75" hidden="false" customHeight="true" outlineLevel="0" collapsed="false">
      <c r="B7" s="9" t="s">
        <v>228</v>
      </c>
      <c r="C7" s="30"/>
      <c r="D7" s="31" t="s">
        <v>226</v>
      </c>
      <c r="E7" s="32" t="s">
        <v>229</v>
      </c>
      <c r="F7" s="33" t="n">
        <v>0</v>
      </c>
      <c r="G7" s="34" t="str">
        <f aca="false">IF(ISBLANK(C7),IF(Fill_Example="Yes",F7,""),C7)</f>
        <v/>
      </c>
    </row>
    <row r="8" customFormat="false" ht="21.75" hidden="false" customHeight="true" outlineLevel="0" collapsed="false">
      <c r="B8" s="9" t="s">
        <v>230</v>
      </c>
      <c r="C8" s="30"/>
      <c r="D8" s="31" t="s">
        <v>226</v>
      </c>
      <c r="E8" s="32" t="s">
        <v>231</v>
      </c>
      <c r="F8" s="33" t="n">
        <v>25000</v>
      </c>
      <c r="G8" s="34" t="str">
        <f aca="false">IF(ISBLANK(C8),IF(Fill_Example="Yes",F8,""),C8)</f>
        <v/>
      </c>
    </row>
    <row r="9" customFormat="false" ht="21.75" hidden="false" customHeight="true" outlineLevel="0" collapsed="false">
      <c r="B9" s="9" t="s">
        <v>232</v>
      </c>
      <c r="C9" s="35"/>
      <c r="D9" s="31" t="s">
        <v>233</v>
      </c>
      <c r="E9" s="32" t="s">
        <v>234</v>
      </c>
      <c r="F9" s="36" t="s">
        <v>235</v>
      </c>
      <c r="G9" s="37" t="str">
        <f aca="false">IF(ISBLANK(C9),IF(Fill_Example="Yes",F9,""),C9)</f>
        <v/>
      </c>
    </row>
    <row r="10" customFormat="false" ht="21.75" hidden="false" customHeight="true" outlineLevel="0" collapsed="false">
      <c r="B10" s="9" t="s">
        <v>236</v>
      </c>
      <c r="C10" s="38"/>
      <c r="D10" s="31" t="s">
        <v>237</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238</v>
      </c>
      <c r="C11" s="42"/>
      <c r="D11" s="31" t="s">
        <v>239</v>
      </c>
      <c r="E11" s="32" t="s">
        <v>240</v>
      </c>
      <c r="F11" s="43" t="n">
        <v>30</v>
      </c>
      <c r="G11" s="44" t="str">
        <f aca="false">IF(AND(ISNUMBER(C11),N(C11)&lt;10),"",IF(ISBLANK(C11),IF(Fill_Example="Yes",F11,""),C11))</f>
        <v/>
      </c>
    </row>
    <row r="12" customFormat="false" ht="21.75" hidden="false" customHeight="true" outlineLevel="0" collapsed="false">
      <c r="B12" s="9" t="s">
        <v>241</v>
      </c>
      <c r="C12" s="30"/>
      <c r="D12" s="31" t="s">
        <v>226</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242</v>
      </c>
      <c r="C13" s="42"/>
      <c r="D13" s="31" t="s">
        <v>239</v>
      </c>
      <c r="E13" s="32" t="s">
        <v>243</v>
      </c>
      <c r="F13" s="43" t="n">
        <v>3</v>
      </c>
      <c r="G13" s="44" t="str">
        <f aca="false">IF(ISBLANK(C13),IF(Fill_Example="Yes",F13,""),C13)</f>
        <v/>
      </c>
    </row>
    <row r="14" customFormat="false" ht="15" hidden="false" customHeight="true" outlineLevel="0" collapsed="false">
      <c r="B14" s="9" t="s">
        <v>244</v>
      </c>
      <c r="C14" s="30"/>
      <c r="D14" s="31" t="s">
        <v>226</v>
      </c>
      <c r="E14" s="32" t="s">
        <v>245</v>
      </c>
      <c r="F14" s="33" t="n">
        <v>0</v>
      </c>
      <c r="G14" s="34" t="n">
        <f aca="false">IF(ISBLANK(C14),F14,C14)</f>
        <v>0</v>
      </c>
    </row>
    <row r="16" customFormat="false" ht="15" hidden="false" customHeight="true" outlineLevel="0" collapsed="false">
      <c r="B16" s="15" t="s">
        <v>246</v>
      </c>
      <c r="C16" s="28" t="s">
        <v>247</v>
      </c>
      <c r="D16" s="28" t="s">
        <v>248</v>
      </c>
      <c r="E16" s="28" t="s">
        <v>249</v>
      </c>
      <c r="F16" s="16"/>
      <c r="G16" s="16"/>
    </row>
    <row r="17" customFormat="false" ht="17.25" hidden="false" customHeight="true" outlineLevel="0" collapsed="false">
      <c r="B17" s="25" t="s">
        <v>250</v>
      </c>
      <c r="C17" s="45" t="str">
        <f aca="false">IF(Need_1&lt;&gt;"",Need_1,MIN(Price_By_Deposit,Price_By_Income))</f>
        <v>Choose your gross yearly income to see this</v>
      </c>
      <c r="D17" s="31" t="s">
        <v>226</v>
      </c>
      <c r="E17" s="46" t="s">
        <v>251</v>
      </c>
    </row>
    <row r="18" customFormat="false" ht="17.25" hidden="false" customHeight="true" outlineLevel="0" collapsed="false">
      <c r="B18" s="25" t="s">
        <v>252</v>
      </c>
      <c r="C18" s="45" t="str">
        <f aca="false">IF(Need_1&lt;&gt;"",Need_1,MIN(Borrow_By_Income,LTV_Max*Home_Price))</f>
        <v>Choose your gross yearly income to see this</v>
      </c>
      <c r="D18" s="31" t="s">
        <v>226</v>
      </c>
      <c r="E18" s="46" t="s">
        <v>253</v>
      </c>
    </row>
    <row r="19" customFormat="false" ht="17.25" hidden="false" customHeight="true" outlineLevel="0" collapsed="false">
      <c r="B19" s="25" t="s">
        <v>254</v>
      </c>
      <c r="C19" s="45" t="str">
        <f aca="false">IF(Need_2&lt;&gt;"",Need_2,PMT(Interest_Rate/12,Term_Years*12,-Max_Loan))</f>
        <v>Choose your gross yearly income to see this</v>
      </c>
      <c r="D19" s="31" t="s">
        <v>226</v>
      </c>
      <c r="E19" s="46" t="s">
        <v>255</v>
      </c>
    </row>
    <row r="20" customFormat="false" ht="21.75" hidden="false" customHeight="true" outlineLevel="0" collapsed="false">
      <c r="B20" s="25" t="s">
        <v>256</v>
      </c>
      <c r="C20" s="45" t="str">
        <f aca="false">IF(Need_1&lt;&gt;"",Need_1,SD_Rate_1*MIN(Home_Price,SD_Band_1)+SD_Rate_2*MAX(0,MIN(Home_Price,SD_Band_2)-SD_Band_1)+SD_Rate_3*MAX(0,Home_Price-SD_Band_2))</f>
        <v>Choose your gross yearly income to see this</v>
      </c>
      <c r="D20" s="31" t="s">
        <v>226</v>
      </c>
      <c r="E20" s="46" t="s">
        <v>257</v>
      </c>
    </row>
    <row r="21" customFormat="false" ht="15" hidden="false" customHeight="true" outlineLevel="0" collapsed="false">
      <c r="B21" s="9" t="s">
        <v>258</v>
      </c>
      <c r="C21" s="47" t="str">
        <f aca="false">IF(Need_3&lt;&gt;"",Need_3,(Income+Partner_Income)*Income_Multiple)</f>
        <v>Choose your gross yearly income to see this</v>
      </c>
      <c r="D21" s="31" t="s">
        <v>226</v>
      </c>
      <c r="E21" s="46" t="s">
        <v>259</v>
      </c>
    </row>
    <row r="22" customFormat="false" ht="15" hidden="false" customHeight="true" outlineLevel="0" collapsed="false">
      <c r="B22" s="9" t="s">
        <v>260</v>
      </c>
      <c r="C22" s="48" t="str">
        <f aca="false">IF(Need_4&lt;&gt;"",Need_4,IF(First_Time_Buyer="Yes",LTI_FTB,LTI_SSB))</f>
        <v>Choose your first-time buyer answer to see this</v>
      </c>
      <c r="D22" s="31" t="s">
        <v>261</v>
      </c>
      <c r="E22" s="46" t="s">
        <v>262</v>
      </c>
    </row>
    <row r="23" customFormat="false" ht="15" hidden="false" customHeight="true" outlineLevel="0" collapsed="false">
      <c r="B23" s="9" t="s">
        <v>263</v>
      </c>
      <c r="C23" s="47" t="str">
        <f aca="false">IF(Need_5&lt;&gt;"",Need_5,Deposit+Extra_Deposit)</f>
        <v>Choose your deposit saved to see this</v>
      </c>
      <c r="D23" s="31" t="s">
        <v>226</v>
      </c>
      <c r="E23" s="46" t="s">
        <v>264</v>
      </c>
    </row>
    <row r="24" customFormat="false" ht="15" hidden="false" customHeight="true" outlineLevel="0" collapsed="false">
      <c r="B24" s="9" t="s">
        <v>265</v>
      </c>
      <c r="C24" s="47" t="str">
        <f aca="false">IF(Need_6&lt;&gt;"",Need_6,MAX(0,Total_Deposit-Buying_Fees))</f>
        <v>Choose your deposit saved to see this</v>
      </c>
      <c r="D24" s="31" t="s">
        <v>226</v>
      </c>
      <c r="E24" s="46" t="s">
        <v>266</v>
      </c>
    </row>
    <row r="25" customFormat="false" ht="15" hidden="false" customHeight="true" outlineLevel="0" collapsed="false">
      <c r="B25" s="9" t="s">
        <v>267</v>
      </c>
      <c r="C25" s="47" t="n">
        <f aca="false">(1-LTV_Max+SD_Rate_1)*SD_Band_1</f>
        <v>110000</v>
      </c>
      <c r="D25" s="31" t="s">
        <v>226</v>
      </c>
      <c r="E25" s="46" t="s">
        <v>268</v>
      </c>
    </row>
    <row r="26" customFormat="false" ht="15" hidden="false" customHeight="true" outlineLevel="0" collapsed="false">
      <c r="B26" s="9" t="s">
        <v>269</v>
      </c>
      <c r="C26" s="47" t="n">
        <f aca="false">Cash_At_Band_1+(1-LTV_Max+SD_Rate_2)*(SD_Band_2-SD_Band_1)</f>
        <v>170000</v>
      </c>
      <c r="D26" s="31" t="s">
        <v>226</v>
      </c>
      <c r="E26" s="46" t="s">
        <v>270</v>
      </c>
    </row>
    <row r="27" customFormat="false" ht="32.25" hidden="false" customHeight="true" outlineLevel="0" collapsed="false">
      <c r="B27" s="9" t="s">
        <v>271</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226</v>
      </c>
      <c r="E27" s="46" t="s">
        <v>272</v>
      </c>
    </row>
    <row r="28" customFormat="false" ht="15" hidden="false" customHeight="true" outlineLevel="0" collapsed="false">
      <c r="B28" s="9" t="s">
        <v>273</v>
      </c>
      <c r="C28" s="47" t="str">
        <f aca="false">IF(Need_1&lt;&gt;"",Need_1,Borrow_By_Income+Cash_For_Price)</f>
        <v>Choose your gross yearly income to see this</v>
      </c>
      <c r="D28" s="31" t="s">
        <v>226</v>
      </c>
      <c r="E28" s="46" t="s">
        <v>274</v>
      </c>
    </row>
    <row r="29" customFormat="false" ht="42.75" hidden="false" customHeight="true" outlineLevel="0" collapsed="false">
      <c r="B29" s="9" t="s">
        <v>275</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226</v>
      </c>
      <c r="E29" s="46" t="s">
        <v>276</v>
      </c>
    </row>
    <row r="30" customFormat="false" ht="15" hidden="false" customHeight="true" outlineLevel="0" collapsed="false">
      <c r="B30" s="9" t="s">
        <v>277</v>
      </c>
      <c r="C30" s="49" t="str">
        <f aca="false">IF(Need_1&lt;&gt;"",Need_1,IF(Price_By_Deposit&lt;Price_By_Income,"Your deposit","Your income"))</f>
        <v>Choose your gross yearly income to see this</v>
      </c>
      <c r="D30" s="31"/>
      <c r="E30" s="46" t="s">
        <v>278</v>
      </c>
    </row>
    <row r="32" customFormat="false" ht="15" hidden="false" customHeight="true" outlineLevel="0" collapsed="false">
      <c r="B32" s="15" t="s">
        <v>279</v>
      </c>
      <c r="C32" s="16"/>
      <c r="D32" s="16"/>
      <c r="E32" s="16"/>
      <c r="F32" s="16"/>
      <c r="G32" s="16"/>
    </row>
    <row r="33" customFormat="false" ht="13.5" hidden="false" customHeight="true" outlineLevel="0" collapsed="false">
      <c r="B33" s="50" t="s">
        <v>280</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315</v>
      </c>
      <c r="C8" s="59"/>
      <c r="D8" s="31" t="s">
        <v>237</v>
      </c>
      <c r="E8" s="32" t="s">
        <v>316</v>
      </c>
      <c r="G8" s="56" t="s">
        <v>314</v>
      </c>
    </row>
    <row r="9" customFormat="false" ht="15" hidden="false" customHeight="true" outlineLevel="0" collapsed="false">
      <c r="B9" s="9" t="s">
        <v>317</v>
      </c>
      <c r="C9" s="60"/>
      <c r="D9" s="31" t="s">
        <v>239</v>
      </c>
      <c r="E9" s="32" t="s">
        <v>318</v>
      </c>
      <c r="G9" s="56" t="s">
        <v>314</v>
      </c>
    </row>
    <row r="10" customFormat="false" ht="15" hidden="false" customHeight="true" outlineLevel="0" collapsed="false">
      <c r="B10" s="9" t="s">
        <v>319</v>
      </c>
      <c r="C10" s="58"/>
      <c r="D10" s="31" t="s">
        <v>226</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221</v>
      </c>
      <c r="D13" s="28" t="s">
        <v>222</v>
      </c>
      <c r="E13" s="28" t="s">
        <v>223</v>
      </c>
      <c r="F13" s="29" t="s">
        <v>224</v>
      </c>
      <c r="G13" s="16"/>
    </row>
    <row r="14" customFormat="false" ht="21.75" hidden="false" customHeight="true" outlineLevel="0" collapsed="false">
      <c r="B14" s="9" t="s">
        <v>325</v>
      </c>
      <c r="C14" s="30"/>
      <c r="D14" s="31" t="s">
        <v>226</v>
      </c>
      <c r="E14" s="32" t="s">
        <v>326</v>
      </c>
      <c r="F14" s="33" t="n">
        <v>300000</v>
      </c>
      <c r="G14" s="34" t="str">
        <f aca="false">IF(ISBLANK(C14),IF(Fill_Example="Yes",F14,""),C14)</f>
        <v/>
      </c>
    </row>
    <row r="15" customFormat="false" ht="33" hidden="false" customHeight="true" outlineLevel="0" collapsed="false">
      <c r="B15" s="9" t="s">
        <v>315</v>
      </c>
      <c r="C15" s="38"/>
      <c r="D15" s="31" t="s">
        <v>237</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239</v>
      </c>
      <c r="E16" s="32" t="s">
        <v>328</v>
      </c>
      <c r="F16" s="43" t="n">
        <v>30</v>
      </c>
      <c r="G16" s="44" t="str">
        <f aca="false">IF(AND(ISNUMBER(C16),N(C16)&lt;5),"",IF(ISBLANK(C16),IF(Fill_Example="Yes",F16,""),C16))</f>
        <v/>
      </c>
    </row>
    <row r="17" customFormat="false" ht="15" hidden="false" customHeight="true" outlineLevel="0" collapsed="false">
      <c r="B17" s="9" t="s">
        <v>329</v>
      </c>
      <c r="C17" s="30"/>
      <c r="D17" s="31" t="s">
        <v>226</v>
      </c>
      <c r="E17" s="32" t="s">
        <v>330</v>
      </c>
      <c r="F17" s="33" t="n">
        <v>0</v>
      </c>
      <c r="G17" s="34" t="n">
        <f aca="false">IF(ISBLANK(C17),F17,C17)</f>
        <v>0</v>
      </c>
    </row>
    <row r="18" customFormat="false" ht="15" hidden="false" customHeight="true" outlineLevel="0" collapsed="false">
      <c r="B18" s="9" t="s">
        <v>242</v>
      </c>
      <c r="C18" s="42"/>
      <c r="D18" s="31" t="s">
        <v>239</v>
      </c>
      <c r="E18" s="32" t="s">
        <v>243</v>
      </c>
      <c r="F18" s="43" t="n">
        <v>3</v>
      </c>
      <c r="G18" s="44" t="str">
        <f aca="false">IF(ISBLANK(C18),IF(Fill_Example="Yes",F18,""),C18)</f>
        <v/>
      </c>
    </row>
    <row r="19" customFormat="false" ht="15" hidden="false" customHeight="true" outlineLevel="0" collapsed="false">
      <c r="B19" s="9" t="s">
        <v>331</v>
      </c>
      <c r="C19" s="38"/>
      <c r="D19" s="31" t="s">
        <v>237</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327</v>
      </c>
      <c r="C24" s="65" t="str">
        <f aca="false">IF(ISBLANK(Stmt_Term),Term_Years,Stmt_Term)</f>
        <v/>
      </c>
      <c r="D24" s="63" t="str">
        <f aca="false">IF(ISBLANK(Stmt_Term),"Your figure","From your statement")</f>
        <v>Your figure</v>
      </c>
      <c r="E24" s="53" t="s">
        <v>336</v>
      </c>
    </row>
    <row r="25" customFormat="false" ht="15" hidden="false" customHeight="true" outlineLevel="0" collapsed="false">
      <c r="B25" s="9" t="s">
        <v>337</v>
      </c>
      <c r="C25" s="62" t="n">
        <f aca="false">IF(ISBLANK(Stmt_Repayment),Actual_Repayment,Stmt_Repayment)</f>
        <v>0</v>
      </c>
      <c r="D25" s="63"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246</v>
      </c>
      <c r="C28" s="28" t="s">
        <v>247</v>
      </c>
      <c r="D28" s="28" t="s">
        <v>248</v>
      </c>
      <c r="E28" s="28" t="s">
        <v>249</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226</v>
      </c>
      <c r="E29" s="46" t="s">
        <v>341</v>
      </c>
    </row>
    <row r="30" customFormat="false" ht="23.25" hidden="false" customHeight="true" outlineLevel="0" collapsed="false">
      <c r="B30" s="25" t="s">
        <v>342</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226</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226</v>
      </c>
      <c r="E32" s="46" t="s">
        <v>347</v>
      </c>
    </row>
    <row r="33" customFormat="false" ht="15" hidden="false" customHeight="true" outlineLevel="0" collapsed="false">
      <c r="B33" s="9" t="s">
        <v>348</v>
      </c>
      <c r="C33" s="68"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226</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226</v>
      </c>
      <c r="E35" s="46" t="s">
        <v>353</v>
      </c>
    </row>
    <row r="36" customFormat="false" ht="15" hidden="false" customHeight="true" outlineLevel="0" collapsed="false">
      <c r="B36" s="9" t="s">
        <v>354</v>
      </c>
      <c r="C36" s="69" t="str">
        <f aca="false">IF(Need_2&lt;&gt;"",Need_2,MAX(0,Used_Interest_Rate+Rate_Change))</f>
        <v>Choose your mortgage rate to see this</v>
      </c>
      <c r="D36" s="31" t="s">
        <v>237</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226</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226</v>
      </c>
      <c r="E38" s="46" t="s">
        <v>359</v>
      </c>
    </row>
    <row r="40" customFormat="false" ht="15" hidden="false" customHeight="true" outlineLevel="0" collapsed="false">
      <c r="B40" s="15" t="s">
        <v>279</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
        <v>368</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220</v>
      </c>
      <c r="C5" s="28" t="s">
        <v>221</v>
      </c>
      <c r="D5" s="28" t="s">
        <v>222</v>
      </c>
      <c r="E5" s="28" t="s">
        <v>223</v>
      </c>
      <c r="F5" s="29" t="s">
        <v>224</v>
      </c>
      <c r="G5" s="16"/>
    </row>
    <row r="6" customFormat="false" ht="15" hidden="false" customHeight="true" outlineLevel="0" collapsed="false">
      <c r="B6" s="9" t="s">
        <v>378</v>
      </c>
      <c r="C6" s="30"/>
      <c r="D6" s="31" t="s">
        <v>226</v>
      </c>
      <c r="E6" s="32" t="s">
        <v>379</v>
      </c>
      <c r="F6" s="33" t="n">
        <v>350000</v>
      </c>
      <c r="G6" s="34" t="str">
        <f aca="false">IF(ISBLANK(C6),IF(Fill_Example="Yes",F6,""),C6)</f>
        <v/>
      </c>
    </row>
    <row r="7" customFormat="false" ht="21.75" hidden="false" customHeight="true" outlineLevel="0" collapsed="false">
      <c r="B7" s="9" t="s">
        <v>380</v>
      </c>
      <c r="C7" s="38"/>
      <c r="D7" s="31" t="s">
        <v>237</v>
      </c>
      <c r="E7" s="32" t="s">
        <v>381</v>
      </c>
      <c r="F7" s="40" t="n">
        <v>0.1</v>
      </c>
      <c r="G7" s="41" t="str">
        <f aca="false">IF(ISBLANK(C7),IF(Fill_Example="Yes",F7,""),C7)</f>
        <v/>
      </c>
    </row>
    <row r="8" customFormat="false" ht="21.75" hidden="false" customHeight="true" outlineLevel="0" collapsed="false">
      <c r="B8" s="9" t="s">
        <v>241</v>
      </c>
      <c r="C8" s="30"/>
      <c r="D8" s="31" t="s">
        <v>226</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382</v>
      </c>
      <c r="C9" s="30"/>
      <c r="D9" s="31" t="s">
        <v>226</v>
      </c>
      <c r="E9" s="32" t="s">
        <v>383</v>
      </c>
      <c r="F9" s="33" t="n">
        <v>12000</v>
      </c>
      <c r="G9" s="34" t="str">
        <f aca="false">IF(ISBLANK(C9),IF(Fill_Example="Yes",F9,""),C9)</f>
        <v/>
      </c>
    </row>
    <row r="10" customFormat="false" ht="15" hidden="false" customHeight="true" outlineLevel="0" collapsed="false">
      <c r="B10" s="9" t="s">
        <v>384</v>
      </c>
      <c r="C10" s="30"/>
      <c r="D10" s="31" t="s">
        <v>226</v>
      </c>
      <c r="E10" s="32" t="s">
        <v>385</v>
      </c>
      <c r="F10" s="33" t="n">
        <v>800</v>
      </c>
      <c r="G10" s="34" t="str">
        <f aca="false">IF(AND(ISNUMBER(C10),N(C10)&lt;50),"",IF(ISBLANK(C10),IF(Fill_Example="Yes",F10,""),C10))</f>
        <v/>
      </c>
    </row>
    <row r="11" customFormat="false" ht="15" hidden="false" customHeight="true" outlineLevel="0" collapsed="false">
      <c r="B11" s="9" t="s">
        <v>386</v>
      </c>
      <c r="C11" s="30"/>
      <c r="D11" s="31" t="s">
        <v>226</v>
      </c>
      <c r="E11" s="32" t="s">
        <v>387</v>
      </c>
      <c r="F11" s="33" t="n">
        <v>0</v>
      </c>
      <c r="G11" s="34" t="n">
        <f aca="false">IF(ISBLANK(C11),F11,C11)</f>
        <v>0</v>
      </c>
    </row>
    <row r="13" customFormat="false" ht="15" hidden="false" customHeight="true" outlineLevel="0" collapsed="false">
      <c r="B13" s="15" t="s">
        <v>246</v>
      </c>
      <c r="C13" s="28" t="s">
        <v>247</v>
      </c>
      <c r="D13" s="28" t="s">
        <v>248</v>
      </c>
      <c r="E13" s="28" t="s">
        <v>249</v>
      </c>
      <c r="F13" s="16"/>
      <c r="G13" s="16"/>
    </row>
    <row r="14" customFormat="false" ht="23.25" hidden="false" customHeight="true" outlineLevel="0" collapsed="false">
      <c r="B14" s="25" t="s">
        <v>388</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389</v>
      </c>
    </row>
    <row r="15" customFormat="false" ht="17.25" hidden="false" customHeight="true" outlineLevel="0" collapsed="false">
      <c r="B15" s="25" t="s">
        <v>390</v>
      </c>
      <c r="C15" s="45" t="str">
        <f aca="false">IF(Need_2&lt;&gt;"",Need_2,Deposit_Needed+Stamp_Duty+Buying_Fees)</f>
        <v>Choose your home price to see this</v>
      </c>
      <c r="D15" s="31" t="s">
        <v>226</v>
      </c>
      <c r="E15" s="46" t="s">
        <v>391</v>
      </c>
    </row>
    <row r="16" customFormat="false" ht="17.25" hidden="false" customHeight="true" outlineLevel="0" collapsed="false">
      <c r="B16" s="25" t="s">
        <v>392</v>
      </c>
      <c r="C16" s="45" t="str">
        <f aca="false">IF(Need_3&lt;&gt;"",Need_3,MAX(0,Total_Needed-Saved))</f>
        <v>Choose your home price to see this</v>
      </c>
      <c r="D16" s="31" t="s">
        <v>226</v>
      </c>
      <c r="E16" s="46" t="s">
        <v>393</v>
      </c>
    </row>
    <row r="17" customFormat="false" ht="15" hidden="false" customHeight="true" outlineLevel="0" collapsed="false">
      <c r="B17" s="9" t="s">
        <v>394</v>
      </c>
      <c r="C17" s="47" t="str">
        <f aca="false">IF(Need_4&lt;&gt;"",Need_4,Home_Price*Deposit_Pct)</f>
        <v>Choose your home price to see this</v>
      </c>
      <c r="D17" s="31" t="s">
        <v>226</v>
      </c>
      <c r="E17" s="46" t="s">
        <v>395</v>
      </c>
    </row>
    <row r="18" customFormat="false" ht="21.75" hidden="false" customHeight="true" outlineLevel="0" collapsed="false">
      <c r="B18" s="9" t="s">
        <v>396</v>
      </c>
      <c r="C18" s="47" t="str">
        <f aca="false">IF(Need_5&lt;&gt;"",Need_5,SD_Rate_1*MIN(Home_Price,SD_Band_1)+SD_Rate_2*MAX(0,MIN(Home_Price,SD_Band_2)-SD_Band_1)+SD_Rate_3*MAX(0,Home_Price-SD_Band_2))</f>
        <v>Choose your home price to see this</v>
      </c>
      <c r="D18" s="31" t="s">
        <v>226</v>
      </c>
      <c r="E18" s="46" t="s">
        <v>257</v>
      </c>
    </row>
    <row r="20" customFormat="false" ht="15" hidden="false" customHeight="true" outlineLevel="0" collapsed="false">
      <c r="B20" s="15" t="s">
        <v>279</v>
      </c>
      <c r="C20" s="16"/>
      <c r="D20" s="16"/>
      <c r="E20" s="16"/>
      <c r="F20" s="16"/>
      <c r="G20" s="16"/>
    </row>
    <row r="21" customFormat="false" ht="13.5" hidden="false" customHeight="true" outlineLevel="0" collapsed="false">
      <c r="B21" s="50" t="s">
        <v>397</v>
      </c>
      <c r="C21" s="50"/>
      <c r="D21" s="50"/>
      <c r="E21" s="50"/>
    </row>
    <row r="22" customFormat="false" ht="13.5" hidden="false" customHeight="true" outlineLevel="0" collapsed="false">
      <c r="B22" s="50" t="s">
        <v>398</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
        <v>399</v>
      </c>
      <c r="C24" s="50"/>
      <c r="D24" s="50"/>
      <c r="E24" s="50"/>
    </row>
    <row r="25" customFormat="false" ht="13.5" hidden="false" customHeight="true" outlineLevel="0" collapsed="false">
      <c r="B25" s="50" t="s">
        <v>400</v>
      </c>
      <c r="C25" s="50"/>
      <c r="D25" s="50"/>
      <c r="E25" s="50"/>
    </row>
    <row r="26" customFormat="false" ht="13.5" hidden="false" customHeight="true" outlineLevel="0" collapsed="false">
      <c r="B26" s="50" t="s">
        <v>401</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402</v>
      </c>
    </row>
    <row r="30" customFormat="false" ht="15" hidden="false" customHeight="true" outlineLevel="0" collapsed="false">
      <c r="B30" s="9" t="s">
        <v>403</v>
      </c>
      <c r="C30" s="54" t="str">
        <f aca="false">IF(Need_2&lt;&gt;"",Need_2,ROUND(Total_Needed,0))</f>
        <v>Choose your home price to see this</v>
      </c>
      <c r="E30" s="53" t="s">
        <v>404</v>
      </c>
    </row>
    <row r="31" customFormat="false" ht="15" hidden="false" customHeight="true" outlineLevel="0" collapsed="false">
      <c r="B31" s="9" t="s">
        <v>293</v>
      </c>
      <c r="C31" s="54" t="str">
        <f aca="false">IF(Need_6&lt;&gt;"",Need_6,Saved)</f>
        <v>Choose your saved so far to see this</v>
      </c>
      <c r="E31" s="53" t="s">
        <v>405</v>
      </c>
    </row>
    <row r="32" customFormat="false" ht="15" hidden="false" customHeight="true" outlineLevel="0" collapsed="false">
      <c r="B32" s="9" t="s">
        <v>295</v>
      </c>
      <c r="C32" s="55" t="str">
        <f aca="false">IF(Need_1&lt;&gt;"",Need_1,MAX(1,ROUNDUP(Months_To_Deposit/12,0)))</f>
        <v>Choose your home price to see this</v>
      </c>
      <c r="E32" s="53" t="s">
        <v>406</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407</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408</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409</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410</v>
      </c>
      <c r="C38" s="56" t="str">
        <f aca="false">IF(Home_Price="","Choose your home price to see this",IF(Deposit_Pct="","Choose your deposit % to see this",""))</f>
        <v>Choose your home price to see this</v>
      </c>
    </row>
    <row r="39" customFormat="false" ht="15" hidden="false" customHeight="true" outlineLevel="0" collapsed="false">
      <c r="B39" s="56" t="s">
        <v>411</v>
      </c>
      <c r="C39" s="56" t="str">
        <f aca="false">IF(Home_Price="","Choose your home price to see this","")</f>
        <v>Choose your home price to see this</v>
      </c>
    </row>
    <row r="40" customFormat="false" ht="15" hidden="false" customHeight="true" outlineLevel="0" collapsed="false">
      <c r="B40" s="56" t="s">
        <v>412</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413</v>
      </c>
      <c r="E1" s="3" t="s">
        <v>414</v>
      </c>
    </row>
    <row r="2" customFormat="false" ht="15" hidden="false" customHeight="true" outlineLevel="0" collapsed="false">
      <c r="B2" s="25" t="s">
        <v>415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315</v>
      </c>
      <c r="C8" s="59"/>
      <c r="D8" s="31" t="s">
        <v>237</v>
      </c>
      <c r="E8" s="32" t="s">
        <v>316</v>
      </c>
      <c r="G8" s="56" t="s">
        <v>314</v>
      </c>
    </row>
    <row r="9" customFormat="false" ht="15" hidden="false" customHeight="true" outlineLevel="0" collapsed="false">
      <c r="B9" s="9" t="s">
        <v>317</v>
      </c>
      <c r="C9" s="60"/>
      <c r="D9" s="31" t="s">
        <v>239</v>
      </c>
      <c r="E9" s="32" t="s">
        <v>318</v>
      </c>
      <c r="G9" s="56" t="s">
        <v>314</v>
      </c>
    </row>
    <row r="10" customFormat="false" ht="15" hidden="false" customHeight="true" outlineLevel="0" collapsed="false">
      <c r="B10" s="9" t="s">
        <v>319</v>
      </c>
      <c r="C10" s="58"/>
      <c r="D10" s="31" t="s">
        <v>226</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221</v>
      </c>
      <c r="D13" s="28" t="s">
        <v>222</v>
      </c>
      <c r="E13" s="28" t="s">
        <v>223</v>
      </c>
      <c r="F13" s="29" t="s">
        <v>224</v>
      </c>
      <c r="G13" s="16"/>
    </row>
    <row r="14" customFormat="false" ht="21.75" hidden="false" customHeight="true" outlineLevel="0" collapsed="false">
      <c r="B14" s="9" t="s">
        <v>417</v>
      </c>
      <c r="C14" s="30"/>
      <c r="D14" s="31" t="s">
        <v>226</v>
      </c>
      <c r="E14" s="32" t="s">
        <v>418</v>
      </c>
      <c r="F14" s="33" t="n">
        <v>250000</v>
      </c>
      <c r="G14" s="34" t="str">
        <f aca="false">IF(ISBLANK(C14),IF(Fill_Example="Yes",F14,""),C14)</f>
        <v/>
      </c>
    </row>
    <row r="15" customFormat="false" ht="33" hidden="false" customHeight="true" outlineLevel="0" collapsed="false">
      <c r="B15" s="9" t="s">
        <v>315</v>
      </c>
      <c r="C15" s="38"/>
      <c r="D15" s="31" t="s">
        <v>237</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419</v>
      </c>
      <c r="C16" s="42"/>
      <c r="D16" s="31" t="s">
        <v>239</v>
      </c>
      <c r="E16" s="32" t="s">
        <v>420</v>
      </c>
      <c r="F16" s="43" t="n">
        <v>25</v>
      </c>
      <c r="G16" s="44" t="str">
        <f aca="false">IF(AND(ISNUMBER(C16),N(C16)&lt;3),"",IF(ISBLANK(C16),IF(Fill_Example="Yes",F16,""),C16))</f>
        <v/>
      </c>
    </row>
    <row r="17" customFormat="false" ht="15" hidden="false" customHeight="true" outlineLevel="0" collapsed="false">
      <c r="B17" s="9" t="s">
        <v>421</v>
      </c>
      <c r="C17" s="30"/>
      <c r="D17" s="31" t="s">
        <v>226</v>
      </c>
      <c r="E17" s="32" t="s">
        <v>422</v>
      </c>
      <c r="F17" s="33" t="n">
        <v>200</v>
      </c>
      <c r="G17" s="34" t="str">
        <f aca="false">IF(ISBLANK(C17),IF(Fill_Example="Yes",F17,""),C17)</f>
        <v/>
      </c>
    </row>
    <row r="18" customFormat="false" ht="15" hidden="false" customHeight="true" outlineLevel="0" collapsed="false">
      <c r="B18" s="9" t="s">
        <v>329</v>
      </c>
      <c r="C18" s="30"/>
      <c r="D18" s="31" t="s">
        <v>226</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417</v>
      </c>
      <c r="C21" s="62" t="str">
        <f aca="false">IF(ISBLANK(Stmt_Balance),Mortgage_Balance,Stmt_Balance)</f>
        <v/>
      </c>
      <c r="D21" s="63" t="str">
        <f aca="false">IF(ISBLANK(Stmt_Balance),"Your figure","From your statement")</f>
        <v>Your figure</v>
      </c>
      <c r="E21" s="53" t="s">
        <v>423</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419</v>
      </c>
      <c r="C23" s="65" t="str">
        <f aca="false">IF(ISBLANK(Stmt_Term),Years_Left,Stmt_Term)</f>
        <v/>
      </c>
      <c r="D23" s="63" t="str">
        <f aca="false">IF(ISBLANK(Stmt_Term),"Your figure","From your statement")</f>
        <v>Your figure</v>
      </c>
      <c r="E23" s="53" t="s">
        <v>424</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246</v>
      </c>
      <c r="C27" s="28" t="s">
        <v>247</v>
      </c>
      <c r="D27" s="28" t="s">
        <v>248</v>
      </c>
      <c r="E27" s="28" t="s">
        <v>249</v>
      </c>
      <c r="F27" s="16"/>
      <c r="G27" s="16"/>
    </row>
    <row r="28" customFormat="false" ht="23.25" hidden="false" customHeight="true" outlineLevel="0" collapsed="false">
      <c r="B28" s="25" t="s">
        <v>425</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426</v>
      </c>
    </row>
    <row r="29" customFormat="false" ht="17.25" hidden="false" customHeight="true" outlineLevel="0" collapsed="false">
      <c r="B29" s="25" t="s">
        <v>427</v>
      </c>
      <c r="C29" s="45" t="str">
        <f aca="false">IF(Need_1&lt;&gt;"",Need_1,IF(OR(Months_Now="Never",Months_With_Extra="Never"),"—",Interest_Now-Interest_With_Extra))</f>
        <v>Choose your extra each month to see this</v>
      </c>
      <c r="D29" s="31" t="s">
        <v>226</v>
      </c>
      <c r="E29" s="46" t="s">
        <v>428</v>
      </c>
    </row>
    <row r="30" customFormat="false" ht="23.25" hidden="false" customHeight="true" outlineLevel="0" collapsed="false">
      <c r="B30" s="9" t="s">
        <v>429</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430</v>
      </c>
    </row>
    <row r="31" customFormat="false" ht="23.25" hidden="false" customHeight="true" outlineLevel="0" collapsed="false">
      <c r="B31" s="9" t="s">
        <v>431</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432</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433</v>
      </c>
      <c r="C33" s="47" t="str">
        <f aca="false">IF(Need_2&lt;&gt;"",Need_2,IF(Used_Actual_Repayment&gt;0,Used_Actual_Repayment,PMT(Monthly_Rate,Used_Years_Left*12,-Used_Mortgage_Balance)))</f>
        <v>Choose your mortgage balance to see this</v>
      </c>
      <c r="D33" s="31" t="s">
        <v>226</v>
      </c>
      <c r="E33" s="46" t="s">
        <v>434</v>
      </c>
    </row>
    <row r="34" customFormat="false" ht="15" hidden="false" customHeight="true" outlineLevel="0" collapsed="false">
      <c r="B34" s="9" t="s">
        <v>435</v>
      </c>
      <c r="C34" s="47" t="str">
        <f aca="false">IF(Need_1&lt;&gt;"",Need_1,Repayment_Now+Extra_Payment)</f>
        <v>Choose your extra each month to see this</v>
      </c>
      <c r="D34" s="31" t="s">
        <v>226</v>
      </c>
      <c r="E34" s="46" t="s">
        <v>436</v>
      </c>
    </row>
    <row r="35" customFormat="false" ht="21.75" hidden="false" customHeight="true" outlineLevel="0" collapsed="false">
      <c r="B35" s="9" t="s">
        <v>437</v>
      </c>
      <c r="C35" s="47" t="str">
        <f aca="false">IF(Need_2&lt;&gt;"",Need_2,IF(Months_Now="Never","—",-FV(Monthly_Rate,Months_Now-1,-Repayment_Now,Used_Mortgage_Balance)*(1+Monthly_Rate)))</f>
        <v>Choose your mortgage balance to see this</v>
      </c>
      <c r="D35" s="31" t="s">
        <v>226</v>
      </c>
      <c r="E35" s="46" t="s">
        <v>438</v>
      </c>
    </row>
    <row r="36" customFormat="false" ht="21.75" hidden="false" customHeight="true" outlineLevel="0" collapsed="false">
      <c r="B36" s="9" t="s">
        <v>439</v>
      </c>
      <c r="C36" s="47" t="str">
        <f aca="false">IF(Need_1&lt;&gt;"",Need_1,IF(Months_With_Extra="Never","—",-FV(Monthly_Rate,Months_With_Extra-1,-Repayment_With_Extra,Used_Mortgage_Balance)*(1+Monthly_Rate)))</f>
        <v>Choose your extra each month to see this</v>
      </c>
      <c r="D36" s="31" t="s">
        <v>226</v>
      </c>
      <c r="E36" s="46" t="s">
        <v>440</v>
      </c>
    </row>
    <row r="37" customFormat="false" ht="15" hidden="false" customHeight="true" outlineLevel="0" collapsed="false">
      <c r="B37" s="9" t="s">
        <v>441</v>
      </c>
      <c r="C37" s="47" t="str">
        <f aca="false">IF(Need_2&lt;&gt;"",Need_2,IF(Months_Now="Never","—",Repayment_Now*(Months_Now-1)+Last_Payment_Now-Used_Mortgage_Balance))</f>
        <v>Choose your mortgage balance to see this</v>
      </c>
      <c r="D37" s="31" t="s">
        <v>226</v>
      </c>
      <c r="E37" s="46" t="s">
        <v>442</v>
      </c>
    </row>
    <row r="38" customFormat="false" ht="21.75" hidden="false" customHeight="true" outlineLevel="0" collapsed="false">
      <c r="B38" s="9" t="s">
        <v>443</v>
      </c>
      <c r="C38" s="47" t="str">
        <f aca="false">IF(Need_1&lt;&gt;"",Need_1,IF(Months_With_Extra="Never","—",Repayment_With_Extra*(Months_With_Extra-1)+Last_Payment_With_Extra-Used_Mortgage_Balance))</f>
        <v>Choose your extra each month to see this</v>
      </c>
      <c r="D38" s="31" t="s">
        <v>226</v>
      </c>
      <c r="E38" s="46" t="s">
        <v>444</v>
      </c>
    </row>
    <row r="40" customFormat="false" ht="15" hidden="false" customHeight="true" outlineLevel="0" collapsed="false">
      <c r="B40" s="15" t="s">
        <v>279</v>
      </c>
      <c r="C40" s="16"/>
      <c r="D40" s="16"/>
      <c r="E40" s="16"/>
      <c r="F40" s="16"/>
      <c r="G40" s="16"/>
    </row>
    <row r="41" customFormat="false" ht="13.5" hidden="false" customHeight="true" outlineLevel="0" collapsed="false">
      <c r="B41" s="50" t="s">
        <v>445</v>
      </c>
      <c r="C41" s="50"/>
      <c r="D41" s="50"/>
      <c r="E41" s="50"/>
    </row>
    <row r="42" customFormat="false" ht="27.75" hidden="false" customHeight="true" outlineLevel="0" collapsed="false">
      <c r="B42" s="50" t="s">
        <v>446</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447</v>
      </c>
      <c r="C44" s="50"/>
      <c r="D44" s="50"/>
      <c r="E44" s="50"/>
    </row>
    <row r="45" customFormat="false" ht="13.5" hidden="false" customHeight="true" outlineLevel="0" collapsed="false">
      <c r="B45" s="50" t="s">
        <v>448</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449</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450</v>
      </c>
    </row>
    <row r="52" customFormat="false" ht="15" hidden="false" customHeight="true" outlineLevel="0" collapsed="false">
      <c r="B52" s="9" t="s">
        <v>295</v>
      </c>
      <c r="C52" s="55" t="str">
        <f aca="false">IF(Need_1&lt;&gt;"",Need_1,IF(Months_With_Extra="Never","—",ROUNDUP(Months_With_Extra/12,0)))</f>
        <v>Choose your extra each month to see this</v>
      </c>
      <c r="E52" s="53" t="s">
        <v>451</v>
      </c>
    </row>
    <row r="53" customFormat="false" ht="27.75" hidden="false" customHeight="true" outlineLevel="0" collapsed="false">
      <c r="B53" s="57" t="s">
        <v>452</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453</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454</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455</v>
      </c>
      <c r="E1" s="3" t="s">
        <v>456</v>
      </c>
    </row>
    <row r="2" customFormat="false" ht="15" hidden="false" customHeight="true" outlineLevel="0" collapsed="false">
      <c r="B2" s="25" t="s">
        <v>457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458</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315</v>
      </c>
      <c r="C8" s="59"/>
      <c r="D8" s="31" t="s">
        <v>237</v>
      </c>
      <c r="E8" s="32" t="s">
        <v>316</v>
      </c>
      <c r="G8" s="56" t="s">
        <v>314</v>
      </c>
    </row>
    <row r="9" customFormat="false" ht="15" hidden="false" customHeight="true" outlineLevel="0" collapsed="false">
      <c r="B9" s="9" t="s">
        <v>317</v>
      </c>
      <c r="C9" s="60"/>
      <c r="D9" s="31" t="s">
        <v>239</v>
      </c>
      <c r="E9" s="32" t="s">
        <v>318</v>
      </c>
      <c r="G9" s="56" t="s">
        <v>314</v>
      </c>
    </row>
    <row r="10" customFormat="false" ht="15" hidden="false" customHeight="true" outlineLevel="0" collapsed="false">
      <c r="B10" s="9" t="s">
        <v>319</v>
      </c>
      <c r="C10" s="58"/>
      <c r="D10" s="31" t="s">
        <v>226</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221</v>
      </c>
      <c r="D13" s="28" t="s">
        <v>222</v>
      </c>
      <c r="E13" s="28" t="s">
        <v>223</v>
      </c>
      <c r="F13" s="29" t="s">
        <v>224</v>
      </c>
      <c r="G13" s="16"/>
    </row>
    <row r="14" customFormat="false" ht="21.75" hidden="false" customHeight="true" outlineLevel="0" collapsed="false">
      <c r="B14" s="9" t="s">
        <v>417</v>
      </c>
      <c r="C14" s="30"/>
      <c r="D14" s="31" t="s">
        <v>226</v>
      </c>
      <c r="E14" s="32" t="s">
        <v>459</v>
      </c>
      <c r="F14" s="33" t="n">
        <v>300000</v>
      </c>
      <c r="G14" s="34" t="str">
        <f aca="false">IF(ISBLANK(C14),IF(Fill_Example="Yes",F14,""),C14)</f>
        <v/>
      </c>
    </row>
    <row r="15" customFormat="false" ht="33" hidden="false" customHeight="true" outlineLevel="0" collapsed="false">
      <c r="B15" s="9" t="s">
        <v>460</v>
      </c>
      <c r="C15" s="38"/>
      <c r="D15" s="31" t="s">
        <v>237</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419</v>
      </c>
      <c r="C16" s="42"/>
      <c r="D16" s="31" t="s">
        <v>239</v>
      </c>
      <c r="E16" s="32" t="s">
        <v>328</v>
      </c>
      <c r="F16" s="43" t="n">
        <v>25</v>
      </c>
      <c r="G16" s="44" t="str">
        <f aca="false">IF(AND(ISNUMBER(C16),N(C16)&lt;5),"",IF(ISBLANK(C16),IF(Fill_Example="Yes",F16,""),C16))</f>
        <v/>
      </c>
    </row>
    <row r="17" customFormat="false" ht="15" hidden="false" customHeight="true" outlineLevel="0" collapsed="false">
      <c r="B17" s="9" t="s">
        <v>461</v>
      </c>
      <c r="C17" s="38"/>
      <c r="D17" s="31" t="s">
        <v>237</v>
      </c>
      <c r="E17" s="32" t="s">
        <v>462</v>
      </c>
      <c r="F17" s="40" t="n">
        <v>0.01</v>
      </c>
      <c r="G17" s="41" t="str">
        <f aca="false">IF(ISBLANK(C17),IF(Fill_Example="Yes",F17,""),C17)</f>
        <v/>
      </c>
    </row>
    <row r="18" customFormat="false" ht="15" hidden="false" customHeight="true" outlineLevel="0" collapsed="false">
      <c r="B18" s="9" t="s">
        <v>329</v>
      </c>
      <c r="C18" s="30"/>
      <c r="D18" s="31" t="s">
        <v>226</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417</v>
      </c>
      <c r="C21" s="62" t="str">
        <f aca="false">IF(ISBLANK(Stmt_Balance),Mortgage_Balance,Stmt_Balance)</f>
        <v/>
      </c>
      <c r="D21" s="63" t="str">
        <f aca="false">IF(ISBLANK(Stmt_Balance),"Your figure","From your statement")</f>
        <v>Your figure</v>
      </c>
      <c r="E21" s="53" t="s">
        <v>423</v>
      </c>
    </row>
    <row r="22" customFormat="false" ht="15" hidden="false" customHeight="true" outlineLevel="0" collapsed="false">
      <c r="B22" s="9" t="s">
        <v>460</v>
      </c>
      <c r="C22" s="64" t="str">
        <f aca="false">IF(ISBLANK(Stmt_Rate),Current_Rate,Stmt_Rate)</f>
        <v/>
      </c>
      <c r="D22" s="63" t="str">
        <f aca="false">IF(ISBLANK(Stmt_Rate),"Your figure","From your statement")</f>
        <v>Your figure</v>
      </c>
      <c r="E22" s="53" t="s">
        <v>463</v>
      </c>
    </row>
    <row r="23" customFormat="false" ht="15" hidden="false" customHeight="true" outlineLevel="0" collapsed="false">
      <c r="B23" s="9" t="s">
        <v>419</v>
      </c>
      <c r="C23" s="65" t="str">
        <f aca="false">IF(ISBLANK(Stmt_Term),Years_Left,Stmt_Term)</f>
        <v/>
      </c>
      <c r="D23" s="63" t="str">
        <f aca="false">IF(ISBLANK(Stmt_Term),"Your figure","From your statement")</f>
        <v>Your figure</v>
      </c>
      <c r="E23" s="53" t="s">
        <v>424</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246</v>
      </c>
      <c r="C27" s="28" t="s">
        <v>247</v>
      </c>
      <c r="D27" s="28" t="s">
        <v>248</v>
      </c>
      <c r="E27" s="28" t="s">
        <v>249</v>
      </c>
      <c r="F27" s="16"/>
      <c r="G27" s="16"/>
    </row>
    <row r="28" customFormat="false" ht="23.25" hidden="false" customHeight="true" outlineLevel="0" collapsed="false">
      <c r="B28" s="25" t="s">
        <v>464</v>
      </c>
      <c r="C28" s="45" t="str">
        <f aca="false">IF(Need_1&lt;&gt;"",Need_1,Repayment_After-Repayment_Now)</f>
        <v>Choose your rate change to see this</v>
      </c>
      <c r="D28" s="67" t="str">
        <f aca="false">IF(Need_1&lt;&gt;"",Need_1,IF(Monthly_Change&gt;=0,"+","−")&amp;TEXT(ABS(Monthly_Change),"€#,##0"))</f>
        <v>Choose your rate change to see this</v>
      </c>
      <c r="E28" s="46" t="s">
        <v>465</v>
      </c>
    </row>
    <row r="29" customFormat="false" ht="17.25" hidden="false" customHeight="true" outlineLevel="0" collapsed="false">
      <c r="B29" s="25" t="s">
        <v>433</v>
      </c>
      <c r="C29" s="45" t="str">
        <f aca="false">IF(Need_2&lt;&gt;"",Need_2,IF(Used_Actual_Repayment&gt;0,Used_Actual_Repayment,Formula_Now))</f>
        <v>Choose your mortgage balance to see this</v>
      </c>
      <c r="D29" s="31" t="s">
        <v>226</v>
      </c>
      <c r="E29" s="46" t="s">
        <v>466</v>
      </c>
    </row>
    <row r="30" customFormat="false" ht="17.25" hidden="false" customHeight="true" outlineLevel="0" collapsed="false">
      <c r="B30" s="25" t="s">
        <v>467</v>
      </c>
      <c r="C30" s="45" t="str">
        <f aca="false">IF(Need_1&lt;&gt;"",Need_1,Repayment_Now+PMT(New_Rate/12,Used_Years_Left*12,-Used_Mortgage_Balance)-Formula_Now)</f>
        <v>Choose your rate change to see this</v>
      </c>
      <c r="D30" s="31" t="s">
        <v>226</v>
      </c>
      <c r="E30" s="46" t="s">
        <v>468</v>
      </c>
    </row>
    <row r="31" customFormat="false" ht="15" hidden="false" customHeight="true" outlineLevel="0" collapsed="false">
      <c r="B31" s="9" t="s">
        <v>469</v>
      </c>
      <c r="C31" s="47" t="str">
        <f aca="false">IF(Need_1&lt;&gt;"",Need_1,Monthly_Change*12)</f>
        <v>Choose your rate change to see this</v>
      </c>
      <c r="D31" s="31" t="s">
        <v>226</v>
      </c>
      <c r="E31" s="46" t="s">
        <v>470</v>
      </c>
    </row>
    <row r="32" customFormat="false" ht="15" hidden="false" customHeight="true" outlineLevel="0" collapsed="false">
      <c r="B32" s="9" t="s">
        <v>471</v>
      </c>
      <c r="C32" s="47" t="str">
        <f aca="false">IF(Need_3&lt;&gt;"",Need_3,PMT(Used_Current_Rate/12,Used_Years_Left*12,-Used_Mortgage_Balance))</f>
        <v>Choose your mortgage balance to see this</v>
      </c>
      <c r="D32" s="31" t="s">
        <v>226</v>
      </c>
      <c r="E32" s="46" t="s">
        <v>472</v>
      </c>
    </row>
    <row r="33" customFormat="false" ht="15" hidden="false" customHeight="true" outlineLevel="0" collapsed="false">
      <c r="B33" s="9" t="s">
        <v>473</v>
      </c>
      <c r="C33" s="69" t="str">
        <f aca="false">IF(Need_4&lt;&gt;"",Need_4,MAX(0,Used_Current_Rate+Rate_Change))</f>
        <v>Choose your rate change to see this</v>
      </c>
      <c r="D33" s="31" t="s">
        <v>237</v>
      </c>
      <c r="E33" s="46" t="s">
        <v>474</v>
      </c>
    </row>
    <row r="35" customFormat="false" ht="15" hidden="false" customHeight="true" outlineLevel="0" collapsed="false">
      <c r="B35" s="15" t="s">
        <v>279</v>
      </c>
      <c r="C35" s="16"/>
      <c r="D35" s="16"/>
      <c r="E35" s="16"/>
      <c r="F35" s="16"/>
      <c r="G35" s="16"/>
    </row>
    <row r="36" customFormat="false" ht="13.5" hidden="false" customHeight="true" outlineLevel="0" collapsed="false">
      <c r="B36" s="50" t="s">
        <v>475</v>
      </c>
      <c r="C36" s="50"/>
      <c r="D36" s="50"/>
      <c r="E36" s="50"/>
    </row>
    <row r="37" customFormat="false" ht="13.5" hidden="false" customHeight="true" outlineLevel="0" collapsed="false">
      <c r="B37" s="50" t="s">
        <v>476</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477</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478</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479</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480</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481</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482</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483</v>
      </c>
      <c r="E1" s="3" t="s">
        <v>484</v>
      </c>
    </row>
    <row r="2" customFormat="false" ht="15" hidden="false" customHeight="true" outlineLevel="0" collapsed="false">
      <c r="B2" s="25" t="s">
        <v>485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315</v>
      </c>
      <c r="C8" s="59"/>
      <c r="D8" s="31" t="s">
        <v>237</v>
      </c>
      <c r="E8" s="32" t="s">
        <v>316</v>
      </c>
      <c r="G8" s="56" t="s">
        <v>314</v>
      </c>
    </row>
    <row r="9" customFormat="false" ht="15" hidden="false" customHeight="true" outlineLevel="0" collapsed="false">
      <c r="B9" s="9" t="s">
        <v>317</v>
      </c>
      <c r="C9" s="60"/>
      <c r="D9" s="31" t="s">
        <v>239</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221</v>
      </c>
      <c r="D12" s="28" t="s">
        <v>222</v>
      </c>
      <c r="E12" s="28" t="s">
        <v>223</v>
      </c>
      <c r="F12" s="29" t="s">
        <v>224</v>
      </c>
      <c r="G12" s="16"/>
    </row>
    <row r="13" customFormat="false" ht="21.75" hidden="false" customHeight="true" outlineLevel="0" collapsed="false">
      <c r="B13" s="9" t="s">
        <v>325</v>
      </c>
      <c r="C13" s="30"/>
      <c r="D13" s="31" t="s">
        <v>226</v>
      </c>
      <c r="E13" s="32" t="s">
        <v>459</v>
      </c>
      <c r="F13" s="33" t="n">
        <v>300000</v>
      </c>
      <c r="G13" s="34" t="str">
        <f aca="false">IF(ISBLANK(C13),IF(Fill_Example="Yes",F13,""),C13)</f>
        <v/>
      </c>
    </row>
    <row r="14" customFormat="false" ht="33" hidden="false" customHeight="true" outlineLevel="0" collapsed="false">
      <c r="B14" s="9" t="s">
        <v>315</v>
      </c>
      <c r="C14" s="38"/>
      <c r="D14" s="31" t="s">
        <v>237</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487</v>
      </c>
      <c r="C15" s="42"/>
      <c r="D15" s="31" t="s">
        <v>239</v>
      </c>
      <c r="E15" s="32" t="s">
        <v>328</v>
      </c>
      <c r="F15" s="43" t="n">
        <v>25</v>
      </c>
      <c r="G15" s="44" t="str">
        <f aca="false">IF(AND(ISNUMBER(C15),N(C15)&lt;5),"",IF(ISBLANK(C15),IF(Fill_Example="Yes",F15,""),C15))</f>
        <v/>
      </c>
    </row>
    <row r="16" customFormat="false" ht="15" hidden="false" customHeight="true" outlineLevel="0" collapsed="false">
      <c r="B16" s="9" t="s">
        <v>488</v>
      </c>
      <c r="C16" s="42"/>
      <c r="D16" s="31" t="s">
        <v>239</v>
      </c>
      <c r="E16" s="32" t="s">
        <v>489</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487</v>
      </c>
      <c r="C21" s="65" t="str">
        <f aca="false">IF(ISBLANK(Stmt_Term),Term_A,Stmt_Term)</f>
        <v/>
      </c>
      <c r="D21" s="63" t="str">
        <f aca="false">IF(ISBLANK(Stmt_Term),"Your figure","From your statement")</f>
        <v>Your figure</v>
      </c>
      <c r="E21" s="53" t="s">
        <v>490</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246</v>
      </c>
      <c r="C24" s="28" t="s">
        <v>247</v>
      </c>
      <c r="D24" s="28" t="s">
        <v>248</v>
      </c>
      <c r="E24" s="28" t="s">
        <v>249</v>
      </c>
      <c r="F24" s="16"/>
      <c r="G24" s="16"/>
    </row>
    <row r="25" customFormat="false" ht="17.25" hidden="false" customHeight="true" outlineLevel="0" collapsed="false">
      <c r="B25" s="25" t="s">
        <v>491</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492</v>
      </c>
    </row>
    <row r="26" customFormat="false" ht="17.25" hidden="false" customHeight="true" outlineLevel="0" collapsed="false">
      <c r="B26" s="25" t="s">
        <v>493</v>
      </c>
      <c r="C26" s="45" t="str">
        <f aca="false">IF(Need_2&lt;&gt;"",Need_2,PMT(Used_Interest_Rate/12,Used_Term_A*12,-Used_Loan_Amount))</f>
        <v>Choose your mortgage amount to see this</v>
      </c>
      <c r="D26" s="31" t="s">
        <v>226</v>
      </c>
      <c r="E26" s="46" t="s">
        <v>494</v>
      </c>
    </row>
    <row r="27" customFormat="false" ht="17.25" hidden="false" customHeight="true" outlineLevel="0" collapsed="false">
      <c r="B27" s="25" t="s">
        <v>495</v>
      </c>
      <c r="C27" s="45" t="str">
        <f aca="false">IF(Need_3&lt;&gt;"",Need_3,PMT(Used_Interest_Rate/12,Term_B*12,-Used_Loan_Amount))</f>
        <v>Choose your term B to see this</v>
      </c>
      <c r="D27" s="31" t="s">
        <v>226</v>
      </c>
      <c r="E27" s="46" t="s">
        <v>496</v>
      </c>
    </row>
    <row r="28" customFormat="false" ht="15" hidden="false" customHeight="true" outlineLevel="0" collapsed="false">
      <c r="B28" s="9" t="s">
        <v>497</v>
      </c>
      <c r="C28" s="47" t="str">
        <f aca="false">IF(Need_2&lt;&gt;"",Need_2,Monthly_A*Used_Term_A*12-Used_Loan_Amount)</f>
        <v>Choose your mortgage amount to see this</v>
      </c>
      <c r="D28" s="31" t="s">
        <v>226</v>
      </c>
      <c r="E28" s="46" t="s">
        <v>498</v>
      </c>
    </row>
    <row r="29" customFormat="false" ht="15" hidden="false" customHeight="true" outlineLevel="0" collapsed="false">
      <c r="B29" s="9" t="s">
        <v>499</v>
      </c>
      <c r="C29" s="47" t="str">
        <f aca="false">IF(Need_3&lt;&gt;"",Need_3,Monthly_B*Term_B*12-Used_Loan_Amount)</f>
        <v>Choose your term B to see this</v>
      </c>
      <c r="D29" s="31" t="s">
        <v>226</v>
      </c>
      <c r="E29" s="46" t="s">
        <v>500</v>
      </c>
    </row>
    <row r="31" customFormat="false" ht="15" hidden="false" customHeight="true" outlineLevel="0" collapsed="false">
      <c r="B31" s="15" t="s">
        <v>279</v>
      </c>
      <c r="C31" s="16"/>
      <c r="D31" s="16"/>
      <c r="E31" s="16"/>
      <c r="F31" s="16"/>
      <c r="G31" s="16"/>
    </row>
    <row r="32" customFormat="false" ht="13.5" hidden="false" customHeight="true" outlineLevel="0" collapsed="false">
      <c r="B32" s="50" t="s">
        <v>501</v>
      </c>
      <c r="C32" s="50"/>
      <c r="D32" s="50"/>
      <c r="E32" s="50"/>
    </row>
    <row r="33" customFormat="false" ht="13.5" hidden="false" customHeight="true" outlineLevel="0" collapsed="false">
      <c r="B33" s="50" t="s">
        <v>502</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503</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478</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504</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505</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506</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507</v>
      </c>
      <c r="E1" s="3" t="s">
        <v>508</v>
      </c>
    </row>
    <row r="2" customFormat="false" ht="15" hidden="false" customHeight="true" outlineLevel="0" collapsed="false">
      <c r="B2" s="25" t="s">
        <v>509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510</v>
      </c>
    </row>
    <row r="5" customFormat="false" ht="15" hidden="false" customHeight="true" outlineLevel="0" collapsed="false">
      <c r="B5" s="15" t="s">
        <v>220</v>
      </c>
      <c r="C5" s="28" t="s">
        <v>221</v>
      </c>
      <c r="D5" s="28" t="s">
        <v>222</v>
      </c>
      <c r="E5" s="28" t="s">
        <v>223</v>
      </c>
      <c r="F5" s="29" t="s">
        <v>224</v>
      </c>
      <c r="G5" s="16"/>
    </row>
    <row r="6" customFormat="false" ht="15" hidden="false" customHeight="true" outlineLevel="0" collapsed="false">
      <c r="B6" s="9" t="s">
        <v>511</v>
      </c>
      <c r="C6" s="30"/>
      <c r="D6" s="31" t="s">
        <v>226</v>
      </c>
      <c r="E6" s="32" t="s">
        <v>512</v>
      </c>
      <c r="F6" s="33" t="n">
        <v>1800</v>
      </c>
      <c r="G6" s="34" t="str">
        <f aca="false">IF(ISBLANK(C6),IF(Fill_Example="Yes",F6,""),C6)</f>
        <v/>
      </c>
    </row>
    <row r="7" customFormat="false" ht="15" hidden="false" customHeight="true" outlineLevel="0" collapsed="false">
      <c r="B7" s="9" t="s">
        <v>378</v>
      </c>
      <c r="C7" s="30"/>
      <c r="D7" s="31" t="s">
        <v>226</v>
      </c>
      <c r="E7" s="32" t="s">
        <v>379</v>
      </c>
      <c r="F7" s="33" t="n">
        <v>350000</v>
      </c>
      <c r="G7" s="34" t="str">
        <f aca="false">IF(ISBLANK(C7),IF(Fill_Example="Yes",F7,""),C7)</f>
        <v/>
      </c>
    </row>
    <row r="8" customFormat="false" ht="15" hidden="false" customHeight="true" outlineLevel="0" collapsed="false">
      <c r="B8" s="9" t="s">
        <v>394</v>
      </c>
      <c r="C8" s="30"/>
      <c r="D8" s="31" t="s">
        <v>226</v>
      </c>
      <c r="E8" s="32" t="s">
        <v>513</v>
      </c>
      <c r="F8" s="33" t="n">
        <v>35000</v>
      </c>
      <c r="G8" s="34" t="str">
        <f aca="false">IF(ISBLANK(C8),IF(Fill_Example="Yes",F8,""),C8)</f>
        <v/>
      </c>
    </row>
    <row r="9" customFormat="false" ht="21.75" hidden="false" customHeight="true" outlineLevel="0" collapsed="false">
      <c r="B9" s="9" t="s">
        <v>514</v>
      </c>
      <c r="C9" s="38"/>
      <c r="D9" s="31" t="s">
        <v>237</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238</v>
      </c>
      <c r="C10" s="42"/>
      <c r="D10" s="31" t="s">
        <v>239</v>
      </c>
      <c r="E10" s="32" t="s">
        <v>489</v>
      </c>
      <c r="F10" s="43" t="n">
        <v>30</v>
      </c>
      <c r="G10" s="44" t="str">
        <f aca="false">IF(AND(ISNUMBER(C10),N(C10)&lt;5),"",IF(ISBLANK(C10),IF(Fill_Example="Yes",F10,""),C10))</f>
        <v/>
      </c>
    </row>
    <row r="11" customFormat="false" ht="15" hidden="false" customHeight="true" outlineLevel="0" collapsed="false">
      <c r="B11" s="9" t="s">
        <v>515</v>
      </c>
      <c r="C11" s="42"/>
      <c r="D11" s="31" t="s">
        <v>239</v>
      </c>
      <c r="E11" s="32" t="s">
        <v>243</v>
      </c>
      <c r="F11" s="43" t="n">
        <v>10</v>
      </c>
      <c r="G11" s="44" t="str">
        <f aca="false">IF(ISBLANK(C11),IF(Fill_Example="Yes",F11,""),C11)</f>
        <v/>
      </c>
    </row>
    <row r="12" customFormat="false" ht="21.75" hidden="false" customHeight="true" outlineLevel="0" collapsed="false">
      <c r="B12" s="9" t="s">
        <v>516</v>
      </c>
      <c r="C12" s="38"/>
      <c r="D12" s="31" t="s">
        <v>237</v>
      </c>
      <c r="E12" s="39" t="s">
        <v>517</v>
      </c>
      <c r="F12" s="40" t="n">
        <f aca="false">Set_houseGrow</f>
        <v>0.02</v>
      </c>
      <c r="G12" s="41" t="n">
        <f aca="false">IF(ISBLANK(C12),F12,C12)</f>
        <v>0.02</v>
      </c>
    </row>
    <row r="13" customFormat="false" ht="21.75" hidden="false" customHeight="true" outlineLevel="0" collapsed="false">
      <c r="B13" s="9" t="s">
        <v>518</v>
      </c>
      <c r="C13" s="38"/>
      <c r="D13" s="31" t="s">
        <v>237</v>
      </c>
      <c r="E13" s="39" t="s">
        <v>519</v>
      </c>
      <c r="F13" s="40" t="n">
        <f aca="false">Set_rentRise</f>
        <v>0.03</v>
      </c>
      <c r="G13" s="41" t="n">
        <f aca="false">IF(ISBLANK(C13),F13,C13)</f>
        <v>0.03</v>
      </c>
    </row>
    <row r="14" customFormat="false" ht="21.75" hidden="false" customHeight="true" outlineLevel="0" collapsed="false">
      <c r="B14" s="9" t="s">
        <v>520</v>
      </c>
      <c r="C14" s="38"/>
      <c r="D14" s="31" t="s">
        <v>237</v>
      </c>
      <c r="E14" s="39" t="s">
        <v>521</v>
      </c>
      <c r="F14" s="40" t="n">
        <f aca="false">Set_upkeep</f>
        <v>0.01</v>
      </c>
      <c r="G14" s="41" t="n">
        <f aca="false">IF(ISBLANK(C14),F14,C14)</f>
        <v>0.01</v>
      </c>
    </row>
    <row r="15" customFormat="false" ht="21.75" hidden="false" customHeight="true" outlineLevel="0" collapsed="false">
      <c r="B15" s="9" t="s">
        <v>241</v>
      </c>
      <c r="C15" s="30"/>
      <c r="D15" s="31" t="s">
        <v>226</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237</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40" t="n">
        <f aca="false">IF(ISNUMBER(Suggest_Deposit_Rate),ROUND(Suggest_Deposit_Rate*(1-DIRT),4),"")</f>
        <v>0.0129</v>
      </c>
      <c r="G16" s="41" t="n">
        <f aca="false">IF(ISBLANK(C16),IF(AND(Fill_Example="Yes",ISNUMBER(F16)),F16,0),C16)</f>
        <v>0</v>
      </c>
    </row>
    <row r="17" customFormat="false" ht="15" hidden="false" customHeight="true" outlineLevel="0" collapsed="false">
      <c r="B17" s="9" t="s">
        <v>242</v>
      </c>
      <c r="C17" s="42"/>
      <c r="D17" s="31" t="s">
        <v>239</v>
      </c>
      <c r="E17" s="32" t="s">
        <v>243</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226</v>
      </c>
    </row>
    <row r="19" customFormat="false" ht="15" hidden="false" customHeight="true" outlineLevel="0" collapsed="false">
      <c r="B19" s="15" t="s">
        <v>246</v>
      </c>
      <c r="C19" s="28" t="s">
        <v>247</v>
      </c>
      <c r="D19" s="28" t="s">
        <v>248</v>
      </c>
      <c r="E19" s="28" t="s">
        <v>249</v>
      </c>
      <c r="F19" s="16"/>
      <c r="G19" s="16"/>
    </row>
    <row r="20" customFormat="false" ht="17.25" hidden="false" customHeight="true" outlineLevel="0" collapsed="false">
      <c r="B20" s="25" t="s">
        <v>524</v>
      </c>
      <c r="C20" s="45" t="str">
        <f aca="false">IF(Need_1&lt;&gt;"",Need_1,Home_Value-Balance_After)</f>
        <v>Choose your home price to see this</v>
      </c>
      <c r="D20" s="31" t="s">
        <v>226</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226</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226</v>
      </c>
      <c r="E22" s="46" t="s">
        <v>529</v>
      </c>
    </row>
    <row r="23" customFormat="false" ht="15" hidden="false" customHeight="true" outlineLevel="0" collapsed="false">
      <c r="B23" s="9" t="s">
        <v>530</v>
      </c>
      <c r="C23" s="47" t="str">
        <f aca="false">IF(Need_4&lt;&gt;"",Need_4,Home_Price*(1+House_Growth)^Years)</f>
        <v>Choose your home price to see this</v>
      </c>
      <c r="D23" s="31" t="s">
        <v>226</v>
      </c>
      <c r="E23" s="46" t="s">
        <v>531</v>
      </c>
    </row>
    <row r="24" customFormat="false" ht="15" hidden="false" customHeight="true" outlineLevel="0" collapsed="false">
      <c r="B24" s="9" t="s">
        <v>532</v>
      </c>
      <c r="C24" s="47" t="str">
        <f aca="false">IF(Need_5&lt;&gt;"",Need_5,MAX(0,Home_Price-Deposit_Used))</f>
        <v>Choose your home price to see this</v>
      </c>
      <c r="D24" s="31" t="s">
        <v>226</v>
      </c>
      <c r="E24" s="46" t="s">
        <v>533</v>
      </c>
    </row>
    <row r="25" customFormat="false" ht="15" hidden="false" customHeight="true" outlineLevel="0" collapsed="false">
      <c r="B25" s="9" t="s">
        <v>319</v>
      </c>
      <c r="C25" s="47" t="str">
        <f aca="false">IF(Need_6&lt;&gt;"",Need_6,PMT(Mortgage_Rate/12,RentBuy_Term*12,-Loan))</f>
        <v>Choose your home price to see this</v>
      </c>
      <c r="D25" s="31" t="s">
        <v>226</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226</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226</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226</v>
      </c>
      <c r="E28" s="46" t="s">
        <v>540</v>
      </c>
    </row>
    <row r="29" customFormat="false" ht="21.75" hidden="false" customHeight="true" outlineLevel="0" collapsed="false">
      <c r="B29" s="9" t="s">
        <v>396</v>
      </c>
      <c r="C29" s="47" t="str">
        <f aca="false">IF(Need_9&lt;&gt;"",Need_9,SD_Rate_1*MIN(Home_Price,SD_Band_1)+SD_Rate_2*MAX(0,MIN(Home_Price,SD_Band_2)-SD_Band_1)+SD_Rate_3*MAX(0,Home_Price-SD_Band_2))</f>
        <v>Choose your home price to see this</v>
      </c>
      <c r="D29" s="31" t="s">
        <v>226</v>
      </c>
      <c r="E29" s="46" t="s">
        <v>257</v>
      </c>
    </row>
    <row r="30" customFormat="false" ht="15" hidden="false" customHeight="true" outlineLevel="0" collapsed="false">
      <c r="B30" s="9" t="s">
        <v>541</v>
      </c>
      <c r="C30" s="47" t="str">
        <f aca="false">IF(Need_10&lt;&gt;"",Need_10,Deposit_Used*((1+Opp_Rate)^Years-1))</f>
        <v>Choose your deposit to see this</v>
      </c>
      <c r="D30" s="31" t="s">
        <v>226</v>
      </c>
      <c r="E30" s="46" t="s">
        <v>542</v>
      </c>
    </row>
    <row r="32" customFormat="false" ht="15" hidden="false" customHeight="true" outlineLevel="0" collapsed="false">
      <c r="B32" s="15" t="s">
        <v>279</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403</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411</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220</v>
      </c>
      <c r="C9" s="28" t="s">
        <v>221</v>
      </c>
      <c r="D9" s="28" t="s">
        <v>222</v>
      </c>
      <c r="E9" s="28" t="s">
        <v>223</v>
      </c>
      <c r="F9" s="29" t="s">
        <v>224</v>
      </c>
      <c r="G9" s="16"/>
    </row>
    <row r="10" customFormat="false" ht="15" hidden="false" customHeight="true" outlineLevel="0" collapsed="false">
      <c r="B10" s="9" t="s">
        <v>566</v>
      </c>
      <c r="C10" s="30"/>
      <c r="D10" s="31" t="s">
        <v>226</v>
      </c>
      <c r="E10" s="32" t="s">
        <v>567</v>
      </c>
      <c r="F10" s="33" t="n">
        <v>15000</v>
      </c>
      <c r="G10" s="34" t="str">
        <f aca="false">IF(ISBLANK(C10),IF(Fill_Example="Yes",F10,""),C10)</f>
        <v/>
      </c>
    </row>
    <row r="11" customFormat="false" ht="15" hidden="false" customHeight="true" outlineLevel="0" collapsed="false">
      <c r="B11" s="9" t="s">
        <v>568</v>
      </c>
      <c r="C11" s="42"/>
      <c r="D11" s="31" t="s">
        <v>239</v>
      </c>
      <c r="E11" s="32" t="s">
        <v>243</v>
      </c>
      <c r="F11" s="43" t="n">
        <v>3</v>
      </c>
      <c r="G11" s="44" t="str">
        <f aca="false">IF(AND(ISNUMBER(C11),N(C11)&lt;1),"",IF(ISBLANK(C11),IF(Fill_Example="Yes",F11,""),C11))</f>
        <v/>
      </c>
    </row>
    <row r="12" customFormat="false" ht="15" hidden="false" customHeight="true" outlineLevel="0" collapsed="false">
      <c r="B12" s="9" t="s">
        <v>293</v>
      </c>
      <c r="C12" s="30"/>
      <c r="D12" s="31" t="s">
        <v>226</v>
      </c>
      <c r="E12" s="32" t="s">
        <v>569</v>
      </c>
      <c r="F12" s="33" t="n">
        <v>2000</v>
      </c>
      <c r="G12" s="34" t="str">
        <f aca="false">IF(ISBLANK(C12),IF(Fill_Example="Yes",F12,""),C12)</f>
        <v/>
      </c>
    </row>
    <row r="13" customFormat="false" ht="21.75" hidden="false" customHeight="true" outlineLevel="0" collapsed="false">
      <c r="B13" s="9" t="s">
        <v>570</v>
      </c>
      <c r="C13" s="38"/>
      <c r="D13" s="31" t="s">
        <v>237</v>
      </c>
      <c r="E13" s="39" t="s">
        <v>571</v>
      </c>
      <c r="F13" s="40" t="n">
        <f aca="false">AS_Cash</f>
        <v>0.01</v>
      </c>
      <c r="G13" s="41" t="n">
        <f aca="false">IF(ISBLANK(C13),F13,C13)</f>
        <v>0.01</v>
      </c>
    </row>
    <row r="15" customFormat="false" ht="15" hidden="false" customHeight="true" outlineLevel="0" collapsed="false">
      <c r="B15" s="15" t="s">
        <v>246</v>
      </c>
      <c r="C15" s="28" t="s">
        <v>247</v>
      </c>
      <c r="D15" s="28" t="s">
        <v>248</v>
      </c>
      <c r="E15" s="28" t="s">
        <v>249</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226</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226</v>
      </c>
      <c r="E17" s="46" t="s">
        <v>575</v>
      </c>
    </row>
    <row r="18" customFormat="false" ht="15" hidden="false" customHeight="true" outlineLevel="0" collapsed="false">
      <c r="B18" s="9" t="s">
        <v>576</v>
      </c>
      <c r="C18" s="47" t="str">
        <f aca="false">IF(Need_3&lt;&gt;"",Need_3,Saved*(1+Growth_Rate)^Years)</f>
        <v>Choose your years until the goal to see this</v>
      </c>
      <c r="D18" s="31" t="s">
        <v>226</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226</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279</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405</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220</v>
      </c>
      <c r="C9" s="28" t="s">
        <v>221</v>
      </c>
      <c r="D9" s="28" t="s">
        <v>222</v>
      </c>
      <c r="E9" s="28" t="s">
        <v>223</v>
      </c>
      <c r="F9" s="29" t="s">
        <v>224</v>
      </c>
      <c r="G9" s="16"/>
    </row>
    <row r="10" customFormat="false" ht="15" hidden="false" customHeight="true" outlineLevel="0" collapsed="false">
      <c r="B10" s="9" t="s">
        <v>604</v>
      </c>
      <c r="C10" s="30"/>
      <c r="D10" s="31" t="s">
        <v>226</v>
      </c>
      <c r="E10" s="32" t="s">
        <v>569</v>
      </c>
      <c r="F10" s="33" t="n">
        <v>5000</v>
      </c>
      <c r="G10" s="34" t="str">
        <f aca="false">IF(ISBLANK(C10),IF(Fill_Example="Yes",F10,""),C10)</f>
        <v/>
      </c>
    </row>
    <row r="11" customFormat="false" ht="15" hidden="false" customHeight="true" outlineLevel="0" collapsed="false">
      <c r="B11" s="9" t="s">
        <v>605</v>
      </c>
      <c r="C11" s="30"/>
      <c r="D11" s="31" t="s">
        <v>226</v>
      </c>
      <c r="E11" s="32" t="s">
        <v>606</v>
      </c>
      <c r="F11" s="33" t="n">
        <v>200</v>
      </c>
      <c r="G11" s="34" t="str">
        <f aca="false">IF(ISBLANK(C11),IF(Fill_Example="Yes",F11,""),C11)</f>
        <v/>
      </c>
    </row>
    <row r="12" customFormat="false" ht="21.75" hidden="false" customHeight="true" outlineLevel="0" collapsed="false">
      <c r="B12" s="9" t="s">
        <v>607</v>
      </c>
      <c r="C12" s="38"/>
      <c r="D12" s="31" t="s">
        <v>237</v>
      </c>
      <c r="E12" s="39" t="s">
        <v>608</v>
      </c>
      <c r="F12" s="40" t="n">
        <f aca="false">Set_invGross</f>
        <v>0.05</v>
      </c>
      <c r="G12" s="41" t="n">
        <f aca="false">IF(ISBLANK(C12),F12,C12)</f>
        <v>0.05</v>
      </c>
    </row>
    <row r="13" customFormat="false" ht="15" hidden="false" customHeight="true" outlineLevel="0" collapsed="false">
      <c r="B13" s="9" t="s">
        <v>609</v>
      </c>
      <c r="C13" s="42"/>
      <c r="D13" s="31" t="s">
        <v>239</v>
      </c>
      <c r="E13" s="32" t="s">
        <v>610</v>
      </c>
      <c r="F13" s="43" t="n">
        <v>20</v>
      </c>
      <c r="G13" s="44" t="str">
        <f aca="false">IF(ISBLANK(C13),IF(Fill_Example="Yes",F13,""),C13)</f>
        <v/>
      </c>
    </row>
    <row r="15" customFormat="false" ht="15" hidden="false" customHeight="true" outlineLevel="0" collapsed="false">
      <c r="B15" s="15" t="s">
        <v>246</v>
      </c>
      <c r="C15" s="28" t="s">
        <v>247</v>
      </c>
      <c r="D15" s="28" t="s">
        <v>248</v>
      </c>
      <c r="E15" s="28" t="s">
        <v>249</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226</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226</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226</v>
      </c>
      <c r="E18" s="46" t="s">
        <v>616</v>
      </c>
    </row>
    <row r="19" customFormat="false" ht="15" hidden="false" customHeight="true" outlineLevel="0" collapsed="false">
      <c r="B19" s="9" t="s">
        <v>617</v>
      </c>
      <c r="C19" s="47" t="str">
        <f aca="false">IF(Need_1&lt;&gt;"",Need_1,Grows_To-Paid_In)</f>
        <v>Choose your starting amount to see this</v>
      </c>
      <c r="D19" s="31" t="s">
        <v>226</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279</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226</v>
      </c>
      <c r="E11" s="32" t="s">
        <v>637</v>
      </c>
      <c r="G11" s="56" t="s">
        <v>314</v>
      </c>
    </row>
    <row r="12" customFormat="false" ht="15" hidden="false" customHeight="true" outlineLevel="0" collapsed="false">
      <c r="B12" s="9" t="s">
        <v>638</v>
      </c>
      <c r="C12" s="59"/>
      <c r="D12" s="31" t="s">
        <v>237</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221</v>
      </c>
      <c r="D15" s="28" t="s">
        <v>222</v>
      </c>
      <c r="E15" s="28" t="s">
        <v>223</v>
      </c>
      <c r="F15" s="29" t="s">
        <v>224</v>
      </c>
      <c r="G15" s="16"/>
    </row>
    <row r="16" customFormat="false" ht="21.75" hidden="false" customHeight="true" outlineLevel="0" collapsed="false">
      <c r="B16" s="9" t="s">
        <v>640</v>
      </c>
      <c r="C16" s="30"/>
      <c r="D16" s="31" t="s">
        <v>226</v>
      </c>
      <c r="E16" s="32" t="s">
        <v>641</v>
      </c>
      <c r="F16" s="33" t="n">
        <v>10000</v>
      </c>
      <c r="G16" s="34" t="str">
        <f aca="false">IF(ISBLANK(C16),IF(Fill_Example="Yes",F16,""),C16)</f>
        <v/>
      </c>
    </row>
    <row r="17" customFormat="false" ht="21.75" hidden="false" customHeight="true" outlineLevel="0" collapsed="false">
      <c r="B17" s="9" t="s">
        <v>642</v>
      </c>
      <c r="C17" s="38"/>
      <c r="D17" s="31" t="s">
        <v>237</v>
      </c>
      <c r="E17" s="39" t="s">
        <v>608</v>
      </c>
      <c r="F17" s="40" t="n">
        <f aca="false">Set_invGross</f>
        <v>0.05</v>
      </c>
      <c r="G17" s="41" t="n">
        <f aca="false">IF(ISBLANK(C17),F17,C17)</f>
        <v>0.05</v>
      </c>
    </row>
    <row r="18" customFormat="false" ht="15" hidden="false" customHeight="true" outlineLevel="0" collapsed="false">
      <c r="B18" s="9" t="s">
        <v>609</v>
      </c>
      <c r="C18" s="42"/>
      <c r="D18" s="31" t="s">
        <v>239</v>
      </c>
      <c r="E18" s="32" t="s">
        <v>610</v>
      </c>
      <c r="F18" s="43" t="n">
        <v>15</v>
      </c>
      <c r="G18" s="44" t="str">
        <f aca="false">IF(ISBLANK(C18),IF(Fill_Example="Yes",F18,""),C18)</f>
        <v/>
      </c>
    </row>
    <row r="19" customFormat="false" ht="21.75" hidden="false" customHeight="true" outlineLevel="0" collapsed="false">
      <c r="B19" s="9" t="s">
        <v>643</v>
      </c>
      <c r="C19" s="38"/>
      <c r="D19" s="31" t="s">
        <v>237</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239</v>
      </c>
      <c r="E20" s="39" t="s">
        <v>645</v>
      </c>
      <c r="F20" s="43" t="n">
        <f aca="false">Set_waitYears</f>
        <v>5</v>
      </c>
      <c r="G20" s="44" t="n">
        <f aca="false">IF(ISBLANK(C20),F20,C20)</f>
        <v>5</v>
      </c>
    </row>
    <row r="21" customFormat="false" ht="15" hidden="false" customHeight="true" outlineLevel="0" collapsed="false">
      <c r="B21" s="9" t="s">
        <v>646</v>
      </c>
      <c r="C21" s="35"/>
      <c r="D21" s="31" t="s">
        <v>233</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246</v>
      </c>
      <c r="C29" s="28" t="s">
        <v>247</v>
      </c>
      <c r="D29" s="28" t="s">
        <v>248</v>
      </c>
      <c r="E29" s="28" t="s">
        <v>249</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226</v>
      </c>
      <c r="E30" s="46" t="s">
        <v>653</v>
      </c>
    </row>
    <row r="31" customFormat="false" ht="15" hidden="false" customHeight="true" outlineLevel="0" collapsed="false">
      <c r="B31" s="9" t="s">
        <v>654</v>
      </c>
      <c r="C31" s="47" t="str">
        <f aca="false">IF(Need_1&lt;&gt;"",Need_1,Used_Amount*(1+Growth_After_Fees)^Years)</f>
        <v>Choose your years to see this</v>
      </c>
      <c r="D31" s="31" t="s">
        <v>226</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226</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226</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226</v>
      </c>
      <c r="E34" s="46" t="s">
        <v>659</v>
      </c>
    </row>
    <row r="35" customFormat="false" ht="15" hidden="false" customHeight="true" outlineLevel="0" collapsed="false">
      <c r="B35" s="9" t="s">
        <v>660</v>
      </c>
      <c r="C35" s="47" t="str">
        <f aca="false">IF(Need_1&lt;&gt;"",Need_1,Used_Amount*(1+Growth_Rate)^Years-Grows_To)</f>
        <v>Choose your years to see this</v>
      </c>
      <c r="D35" s="31" t="s">
        <v>226</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279</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220</v>
      </c>
      <c r="C5" s="28" t="s">
        <v>221</v>
      </c>
      <c r="D5" s="28" t="s">
        <v>222</v>
      </c>
      <c r="E5" s="28" t="s">
        <v>223</v>
      </c>
      <c r="F5" s="29" t="s">
        <v>224</v>
      </c>
      <c r="G5" s="16"/>
    </row>
    <row r="6" customFormat="false" ht="21.75" hidden="false" customHeight="true" outlineLevel="0" collapsed="false">
      <c r="B6" s="9" t="s">
        <v>682</v>
      </c>
      <c r="C6" s="30"/>
      <c r="D6" s="31" t="s">
        <v>226</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239</v>
      </c>
      <c r="E8" s="32" t="s">
        <v>688</v>
      </c>
      <c r="F8" s="43" t="n">
        <v>2</v>
      </c>
      <c r="G8" s="44" t="str">
        <f aca="false">IF(ISBLANK(C8),IF(Fill_Example="Yes",F8,""),C8)</f>
        <v/>
      </c>
    </row>
    <row r="9" customFormat="false" ht="21.75" hidden="false" customHeight="true" outlineLevel="0" collapsed="false">
      <c r="B9" s="9" t="s">
        <v>689</v>
      </c>
      <c r="C9" s="30"/>
      <c r="D9" s="31" t="s">
        <v>226</v>
      </c>
      <c r="E9" s="32" t="s">
        <v>690</v>
      </c>
      <c r="F9" s="33" t="n">
        <v>6250</v>
      </c>
      <c r="G9" s="34" t="str">
        <f aca="false">IF(ISBLANK(C9),IF(Fill_Example="Yes",F9,""),C9)</f>
        <v/>
      </c>
    </row>
    <row r="11" customFormat="false" ht="15" hidden="false" customHeight="true" outlineLevel="0" collapsed="false">
      <c r="B11" s="15" t="s">
        <v>246</v>
      </c>
      <c r="C11" s="28" t="s">
        <v>247</v>
      </c>
      <c r="D11" s="28" t="s">
        <v>248</v>
      </c>
      <c r="E11" s="28" t="s">
        <v>249</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226</v>
      </c>
      <c r="E13" s="46" t="s">
        <v>694</v>
      </c>
    </row>
    <row r="14" customFormat="false" ht="17.25" hidden="false" customHeight="true" outlineLevel="0" collapsed="false">
      <c r="B14" s="25" t="s">
        <v>695</v>
      </c>
      <c r="C14" s="45" t="str">
        <f aca="false">IF(Need_3&lt;&gt;"",Need_3,MAX(0,Target-Savings))</f>
        <v>Choose your essential monthly spending to see this</v>
      </c>
      <c r="D14" s="31" t="s">
        <v>226</v>
      </c>
      <c r="E14" s="46" t="s">
        <v>696</v>
      </c>
    </row>
    <row r="16" customFormat="false" ht="15" hidden="false" customHeight="true" outlineLevel="0" collapsed="false">
      <c r="B16" s="15" t="s">
        <v>279</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226</v>
      </c>
      <c r="E11" s="32" t="s">
        <v>714</v>
      </c>
      <c r="G11" s="56" t="s">
        <v>314</v>
      </c>
    </row>
    <row r="12" customFormat="false" ht="15" hidden="false" customHeight="true" outlineLevel="0" collapsed="false">
      <c r="B12" s="9" t="s">
        <v>715</v>
      </c>
      <c r="C12" s="58"/>
      <c r="D12" s="31" t="s">
        <v>226</v>
      </c>
      <c r="E12" s="32" t="s">
        <v>320</v>
      </c>
      <c r="G12" s="56" t="s">
        <v>314</v>
      </c>
    </row>
    <row r="13" customFormat="false" ht="15" hidden="false" customHeight="true" outlineLevel="0" collapsed="false">
      <c r="B13" s="9" t="s">
        <v>716</v>
      </c>
      <c r="C13" s="58"/>
      <c r="D13" s="31" t="s">
        <v>226</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226</v>
      </c>
      <c r="E15" s="32" t="s">
        <v>637</v>
      </c>
      <c r="G15" s="56" t="s">
        <v>314</v>
      </c>
    </row>
    <row r="16" customFormat="false" ht="15" hidden="false" customHeight="true" outlineLevel="0" collapsed="false">
      <c r="B16" s="9" t="s">
        <v>721</v>
      </c>
      <c r="C16" s="75"/>
      <c r="D16" s="31" t="s">
        <v>233</v>
      </c>
      <c r="E16" s="32" t="s">
        <v>722</v>
      </c>
      <c r="G16" s="56" t="s">
        <v>314</v>
      </c>
    </row>
    <row r="17" customFormat="false" ht="15" hidden="false" customHeight="true" outlineLevel="0" collapsed="false">
      <c r="B17" s="9" t="s">
        <v>638</v>
      </c>
      <c r="C17" s="59"/>
      <c r="D17" s="31" t="s">
        <v>237</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221</v>
      </c>
      <c r="D20" s="28" t="s">
        <v>222</v>
      </c>
      <c r="E20" s="28" t="s">
        <v>223</v>
      </c>
      <c r="F20" s="29" t="s">
        <v>224</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226</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226</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226</v>
      </c>
      <c r="E25" s="32" t="s">
        <v>732</v>
      </c>
      <c r="F25" s="33" t="n">
        <v>40000</v>
      </c>
      <c r="G25" s="34" t="str">
        <f aca="false">IF(ISBLANK(C25),IF(Fill_Example="Yes",F25,""),C25)</f>
        <v/>
      </c>
    </row>
    <row r="26" customFormat="false" ht="43.5" hidden="false" customHeight="true" outlineLevel="0" collapsed="false">
      <c r="B26" s="9" t="s">
        <v>733</v>
      </c>
      <c r="C26" s="30"/>
      <c r="D26" s="31" t="s">
        <v>226</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237</v>
      </c>
      <c r="E27" s="39" t="s">
        <v>735</v>
      </c>
      <c r="F27" s="40" t="n">
        <f aca="false">AS_Pen</f>
        <v>0.045</v>
      </c>
      <c r="G27" s="41" t="n">
        <f aca="false">IF(ISBLANK(C27),F27,C27)</f>
        <v>0.045</v>
      </c>
    </row>
    <row r="28" customFormat="false" ht="21.75" hidden="false" customHeight="true" outlineLevel="0" collapsed="false">
      <c r="B28" s="9" t="s">
        <v>736</v>
      </c>
      <c r="C28" s="38"/>
      <c r="D28" s="31" t="s">
        <v>237</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237</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237</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239</v>
      </c>
      <c r="E32" s="32" t="s">
        <v>743</v>
      </c>
      <c r="F32" s="43" t="n">
        <v>0</v>
      </c>
      <c r="G32" s="44" t="n">
        <f aca="false">IF(ISBLANK(C32),F32,C32)</f>
        <v>0</v>
      </c>
    </row>
    <row r="33" customFormat="false" ht="15" hidden="false" customHeight="true" outlineLevel="0" collapsed="false">
      <c r="B33" s="9" t="s">
        <v>744</v>
      </c>
      <c r="C33" s="30"/>
      <c r="D33" s="31" t="s">
        <v>226</v>
      </c>
      <c r="E33" s="32" t="s">
        <v>387</v>
      </c>
      <c r="F33" s="33" t="n">
        <v>0</v>
      </c>
      <c r="G33" s="34" t="n">
        <f aca="false">IF(ISBLANK(C33),F33,C33)</f>
        <v>0</v>
      </c>
    </row>
    <row r="34" customFormat="false" ht="15" hidden="false" customHeight="true" outlineLevel="0" collapsed="false">
      <c r="B34" s="9" t="s">
        <v>745</v>
      </c>
      <c r="C34" s="30"/>
      <c r="D34" s="31" t="s">
        <v>226</v>
      </c>
      <c r="E34" s="32" t="s">
        <v>746</v>
      </c>
      <c r="F34" s="33" t="n">
        <v>0</v>
      </c>
      <c r="G34" s="34" t="n">
        <f aca="false">IF(ISBLANK(C34),F34,C34)</f>
        <v>0</v>
      </c>
    </row>
    <row r="35" customFormat="false" ht="19.4" hidden="false" customHeight="false" outlineLevel="0" collapsed="false">
      <c r="B35" s="9" t="s">
        <v>747</v>
      </c>
      <c r="C35" s="38"/>
      <c r="D35" s="31" t="s">
        <v>718</v>
      </c>
      <c r="E35" s="39" t="s">
        <v>748</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749</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750</v>
      </c>
    </row>
    <row r="39" customFormat="false" ht="15" hidden="false" customHeight="true" outlineLevel="0" collapsed="false">
      <c r="B39" s="9" t="s">
        <v>751</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752</v>
      </c>
    </row>
    <row r="40" customFormat="false" ht="21.75" hidden="false" customHeight="true" outlineLevel="0" collapsed="false">
      <c r="B40" s="9" t="s">
        <v>753</v>
      </c>
      <c r="C40" s="49" t="str">
        <f aca="false">IF(Need_1&lt;&gt;"",Need_1,IF(AND(NOT(ISBLANK(Stmt_Projected_Fund)),Stmt_NRA=Retirement_Age+Retire_Later,Save_More=0),"Yes","No"))</f>
        <v>Choose your retirement age to see this</v>
      </c>
      <c r="D40" s="31"/>
      <c r="E40" s="46" t="s">
        <v>754</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246</v>
      </c>
      <c r="C43" s="28" t="s">
        <v>247</v>
      </c>
      <c r="D43" s="28" t="s">
        <v>248</v>
      </c>
      <c r="E43" s="28" t="s">
        <v>249</v>
      </c>
      <c r="F43" s="16"/>
      <c r="G43" s="16"/>
    </row>
    <row r="44" customFormat="false" ht="17.25" hidden="false" customHeight="true" outlineLevel="0" collapsed="false">
      <c r="B44" s="25" t="s">
        <v>755</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756</v>
      </c>
    </row>
    <row r="45" customFormat="false" ht="17.25" hidden="false" customHeight="true" outlineLevel="0" collapsed="false">
      <c r="B45" s="25" t="s">
        <v>757</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758</v>
      </c>
    </row>
    <row r="46" customFormat="false" ht="42.75" hidden="false" customHeight="true" outlineLevel="0" collapsed="false">
      <c r="B46" s="25" t="s">
        <v>759</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226</v>
      </c>
      <c r="E46" s="46" t="s">
        <v>760</v>
      </c>
    </row>
    <row r="47" customFormat="false" ht="15" hidden="false" customHeight="true" outlineLevel="0" collapsed="false">
      <c r="B47" s="9" t="s">
        <v>761</v>
      </c>
      <c r="C47" s="47" t="str">
        <f aca="false">IF(Need_3&lt;&gt;"",Need_3,Used_Pension_Today*(1+Used_Growth_Rate)^Years_To_Retirement+Contributions_Grow_To)</f>
        <v>Choose your age to see this</v>
      </c>
      <c r="D47" s="31" t="s">
        <v>226</v>
      </c>
      <c r="E47" s="46" t="s">
        <v>762</v>
      </c>
    </row>
    <row r="48" customFormat="false" ht="17.25" hidden="false" customHeight="true" outlineLevel="0" collapsed="false">
      <c r="B48" s="25" t="s">
        <v>763</v>
      </c>
      <c r="C48" s="45" t="str">
        <f aca="false">IF(Need_4&lt;&gt;"",Need_4,MAX(0,Desired_Income-Spend_Less-Other_Income)*Retire_Multiple+Bridge_Years*MIN(Other_Income,MAX(0,Desired_Income-Spend_Less)))</f>
        <v>Choose your desired retirement income to see this</v>
      </c>
      <c r="D48" s="31" t="s">
        <v>226</v>
      </c>
      <c r="E48" s="46" t="s">
        <v>764</v>
      </c>
    </row>
    <row r="49" customFormat="false" ht="15" hidden="false" customHeight="true" outlineLevel="0" collapsed="false">
      <c r="B49" s="9" t="s">
        <v>765</v>
      </c>
      <c r="C49" s="70" t="str">
        <f aca="false">IF(Need_1&lt;&gt;"",Need_1,MAX(0,State_Pension_Age-(Retirement_Age+Retire_Later)))</f>
        <v>Choose your retirement age to see this</v>
      </c>
      <c r="D49" s="31" t="s">
        <v>239</v>
      </c>
      <c r="E49" s="46" t="s">
        <v>766</v>
      </c>
    </row>
    <row r="50" customFormat="false" ht="15" hidden="false" customHeight="true" outlineLevel="0" collapsed="false">
      <c r="B50" s="9" t="s">
        <v>767</v>
      </c>
      <c r="C50" s="47" t="str">
        <f aca="false">IF(Need_5&lt;&gt;"",Need_5,Projected_Fund*MIN(Lump_Sum_Pct,Lump_Sum_Max_Pct))</f>
        <v>Choose your age to see this</v>
      </c>
      <c r="D50" s="31" t="s">
        <v>226</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768</v>
      </c>
      <c r="C51" s="47" t="str">
        <f aca="false">IF(Need_5&lt;&gt;"",Need_5,Lump_Sum_Rate*MAX(0,MIN(Lump_Sum,Lump_Sum_Cap)-Lump_Sum_Tax_Free)+Rate_Higher*MAX(0,Lump_Sum-Lump_Sum_Cap))</f>
        <v>Choose your age to see this</v>
      </c>
      <c r="D51" s="31" t="s">
        <v>226</v>
      </c>
      <c r="E51" s="46" t="s">
        <v>769</v>
      </c>
    </row>
    <row r="52" customFormat="false" ht="15" hidden="false" customHeight="true" outlineLevel="0" collapsed="false">
      <c r="B52" s="9" t="s">
        <v>770</v>
      </c>
      <c r="C52" s="47" t="str">
        <f aca="false">IF(Need_5&lt;&gt;"",Need_5,Lump_Sum-Lump_Sum_Tax)</f>
        <v>Choose your age to see this</v>
      </c>
      <c r="D52" s="31" t="s">
        <v>226</v>
      </c>
      <c r="E52" s="46" t="s">
        <v>771</v>
      </c>
    </row>
    <row r="53" customFormat="false" ht="15" hidden="false" customHeight="true" outlineLevel="0" collapsed="false">
      <c r="B53" s="76" t="s">
        <v>772</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772</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773</v>
      </c>
      <c r="C55" s="70" t="str">
        <f aca="false">IF(Need_6&lt;&gt;"",Need_6,MAX(1,Retirement_Age+Retire_Later-Age))</f>
        <v>Choose your age to see this</v>
      </c>
      <c r="D55" s="31" t="s">
        <v>239</v>
      </c>
      <c r="E55" s="46" t="s">
        <v>774</v>
      </c>
    </row>
    <row r="56" customFormat="false" ht="15" hidden="false" customHeight="true" outlineLevel="0" collapsed="false">
      <c r="B56" s="9" t="s">
        <v>775</v>
      </c>
      <c r="C56" s="47" t="str">
        <f aca="false">IF(Need_7&lt;&gt;"",Need_7,Used_Monthly_Contribution+Save_More)</f>
        <v>Choose your monthly contributions to see this</v>
      </c>
      <c r="D56" s="31" t="s">
        <v>226</v>
      </c>
      <c r="E56" s="46" t="s">
        <v>776</v>
      </c>
    </row>
    <row r="57" customFormat="false" ht="21.75" hidden="false" customHeight="true" outlineLevel="0" collapsed="false">
      <c r="B57" s="9" t="s">
        <v>777</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226</v>
      </c>
      <c r="E57" s="46" t="s">
        <v>778</v>
      </c>
    </row>
    <row r="59" customFormat="false" ht="15" hidden="false" customHeight="true" outlineLevel="0" collapsed="false">
      <c r="B59" s="15" t="s">
        <v>279</v>
      </c>
      <c r="C59" s="16"/>
      <c r="D59" s="16"/>
      <c r="E59" s="16"/>
      <c r="F59" s="16"/>
      <c r="G59" s="16"/>
    </row>
    <row r="60" customFormat="false" ht="27.75" hidden="false" customHeight="true" outlineLevel="0" collapsed="false">
      <c r="B60" s="50" t="s">
        <v>779</v>
      </c>
      <c r="C60" s="50"/>
      <c r="D60" s="50"/>
      <c r="E60" s="50"/>
    </row>
    <row r="61" customFormat="false" ht="27.75" hidden="false" customHeight="true" outlineLevel="0" collapsed="false">
      <c r="B61" s="50" t="s">
        <v>780</v>
      </c>
      <c r="C61" s="50"/>
      <c r="D61" s="50"/>
      <c r="E61" s="50"/>
    </row>
    <row r="62" customFormat="false" ht="27.75" hidden="false" customHeight="true" outlineLevel="0" collapsed="false">
      <c r="B62" s="50" t="s">
        <v>781</v>
      </c>
      <c r="C62" s="50"/>
      <c r="D62" s="50"/>
      <c r="E62" s="50"/>
    </row>
    <row r="63" customFormat="false" ht="27.75" hidden="false" customHeight="true" outlineLevel="0" collapsed="false">
      <c r="B63" s="50" t="s">
        <v>782</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783</v>
      </c>
      <c r="C65" s="50"/>
      <c r="D65" s="50"/>
      <c r="E65" s="50"/>
    </row>
    <row r="66" customFormat="false" ht="27.75" hidden="false" customHeight="true" outlineLevel="0" collapsed="false">
      <c r="B66" s="50" t="s">
        <v>784</v>
      </c>
      <c r="C66" s="50"/>
      <c r="D66" s="50"/>
      <c r="E66" s="50"/>
    </row>
    <row r="67" customFormat="false" ht="13.5" hidden="false" customHeight="true" outlineLevel="0" collapsed="false">
      <c r="B67" s="50" t="s">
        <v>785</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786</v>
      </c>
    </row>
    <row r="71" customFormat="false" ht="15" hidden="false" customHeight="true" outlineLevel="0" collapsed="false">
      <c r="B71" s="9" t="s">
        <v>787</v>
      </c>
      <c r="C71" s="54" t="str">
        <f aca="false">IF(Need_9&lt;&gt;"",Need_9,Desired_Income-Spend_Less)</f>
        <v>Choose your desired retirement income to see this</v>
      </c>
      <c r="E71" s="53" t="s">
        <v>788</v>
      </c>
    </row>
    <row r="72" customFormat="false" ht="15" hidden="false" customHeight="true" outlineLevel="0" collapsed="false">
      <c r="B72" s="9" t="s">
        <v>789</v>
      </c>
      <c r="C72" s="55" t="str">
        <f aca="false">IF(Need_1&lt;&gt;"",Need_1,Retirement_Age+Retire_Later)</f>
        <v>Choose your retirement age to see this</v>
      </c>
      <c r="E72" s="53" t="s">
        <v>790</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791</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792</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793</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794</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795</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796</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797</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798</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799</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800</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801</v>
      </c>
      <c r="E1" s="3" t="s">
        <v>802</v>
      </c>
    </row>
    <row r="2" customFormat="false" ht="15" hidden="false" customHeight="true" outlineLevel="0" collapsed="false">
      <c r="B2" s="25" t="s">
        <v>803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804</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805</v>
      </c>
      <c r="C10" s="57"/>
      <c r="D10" s="57"/>
      <c r="E10" s="57"/>
    </row>
    <row r="11" customFormat="false" ht="15" hidden="false" customHeight="true" outlineLevel="0" collapsed="false">
      <c r="B11" s="9" t="s">
        <v>638</v>
      </c>
      <c r="C11" s="59"/>
      <c r="D11" s="31" t="s">
        <v>237</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221</v>
      </c>
      <c r="D14" s="28" t="s">
        <v>222</v>
      </c>
      <c r="E14" s="28" t="s">
        <v>223</v>
      </c>
      <c r="F14" s="29" t="s">
        <v>224</v>
      </c>
      <c r="G14" s="16"/>
    </row>
    <row r="15" customFormat="false" ht="21.75" hidden="false" customHeight="true" outlineLevel="0" collapsed="false">
      <c r="B15" s="9" t="s">
        <v>806</v>
      </c>
      <c r="C15" s="30"/>
      <c r="D15" s="31" t="s">
        <v>226</v>
      </c>
      <c r="E15" s="32" t="s">
        <v>227</v>
      </c>
      <c r="F15" s="33" t="n">
        <v>60000</v>
      </c>
      <c r="G15" s="34" t="str">
        <f aca="false">IF(ISBLANK(C15),IF(Fill_Example="Yes",F15,""),C15)</f>
        <v/>
      </c>
    </row>
    <row r="16" customFormat="false" ht="15" hidden="false" customHeight="true" outlineLevel="0" collapsed="false">
      <c r="B16" s="9" t="s">
        <v>807</v>
      </c>
      <c r="C16" s="38"/>
      <c r="D16" s="31" t="s">
        <v>237</v>
      </c>
      <c r="E16" s="32" t="s">
        <v>808</v>
      </c>
      <c r="F16" s="40" t="n">
        <v>0.02</v>
      </c>
      <c r="G16" s="41" t="str">
        <f aca="false">IF(ISBLANK(C16),IF(Fill_Example="Yes",F16,""),C16)</f>
        <v/>
      </c>
    </row>
    <row r="17" customFormat="false" ht="21.75" hidden="false" customHeight="true" outlineLevel="0" collapsed="false">
      <c r="B17" s="9" t="s">
        <v>773</v>
      </c>
      <c r="C17" s="42"/>
      <c r="D17" s="31" t="s">
        <v>239</v>
      </c>
      <c r="E17" s="32" t="s">
        <v>809</v>
      </c>
      <c r="F17" s="43" t="n">
        <v>25</v>
      </c>
      <c r="G17" s="44" t="str">
        <f aca="false">IF(ISBLANK(C17),IF(Fill_Example="Yes",F17,""),C17)</f>
        <v/>
      </c>
    </row>
    <row r="18" customFormat="false" ht="21.75" hidden="false" customHeight="true" outlineLevel="0" collapsed="false">
      <c r="B18" s="9" t="s">
        <v>810</v>
      </c>
      <c r="C18" s="38"/>
      <c r="D18" s="31" t="s">
        <v>237</v>
      </c>
      <c r="E18" s="39" t="s">
        <v>735</v>
      </c>
      <c r="F18" s="40" t="n">
        <f aca="false">AS_Pen</f>
        <v>0.045</v>
      </c>
      <c r="G18" s="41" t="n">
        <f aca="false">IF(ISBLANK(C18),F18,C18)</f>
        <v>0.045</v>
      </c>
    </row>
    <row r="19" customFormat="false" ht="21.75" hidden="false" customHeight="true" outlineLevel="0" collapsed="false">
      <c r="B19" s="9" t="s">
        <v>740</v>
      </c>
      <c r="C19" s="38"/>
      <c r="D19" s="31" t="s">
        <v>237</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811</v>
      </c>
      <c r="C20" s="78"/>
      <c r="D20" s="31" t="s">
        <v>812</v>
      </c>
      <c r="E20" s="39" t="s">
        <v>813</v>
      </c>
      <c r="F20" s="79" t="str">
        <f aca="false">TE_Marginal_Rate</f>
        <v>Choose your tax status to see this</v>
      </c>
      <c r="G20" s="80" t="str">
        <f aca="false">IF(ISBLANK(C20),IF(Fill_Example="Yes",F20,""),C20)</f>
        <v/>
      </c>
    </row>
    <row r="21" customFormat="false" ht="21.75" hidden="false" customHeight="true" outlineLevel="0" collapsed="false">
      <c r="B21" s="9" t="s">
        <v>814</v>
      </c>
      <c r="C21" s="42"/>
      <c r="D21" s="31" t="s">
        <v>718</v>
      </c>
      <c r="E21" s="32" t="s">
        <v>815</v>
      </c>
      <c r="F21" s="43" t="n">
        <v>40</v>
      </c>
      <c r="G21" s="44" t="str">
        <f aca="false">IF(ISBLANK(C21),IF(Fill_Example="Yes",F21,""),C21)</f>
        <v/>
      </c>
    </row>
    <row r="22" customFormat="false" ht="15" hidden="false" customHeight="true" outlineLevel="0" collapsed="false">
      <c r="B22" s="9" t="s">
        <v>816</v>
      </c>
      <c r="C22" s="30"/>
      <c r="D22" s="31" t="s">
        <v>226</v>
      </c>
      <c r="E22" s="32" t="s">
        <v>817</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818</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752</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246</v>
      </c>
      <c r="C28" s="28" t="s">
        <v>247</v>
      </c>
      <c r="D28" s="28" t="s">
        <v>248</v>
      </c>
      <c r="E28" s="28" t="s">
        <v>249</v>
      </c>
      <c r="F28" s="16"/>
      <c r="G28" s="16"/>
    </row>
    <row r="29" customFormat="false" ht="17.25" hidden="false" customHeight="true" outlineLevel="0" collapsed="false">
      <c r="B29" s="25" t="s">
        <v>819</v>
      </c>
      <c r="C29" s="45" t="str">
        <f aca="false">IF(Need_1&lt;&gt;"",Need_1,FV((1+Used_Growth_Rate)^(1/12)-1,Years*12,-Extra_Per_Month))</f>
        <v>Choose your salary to see this</v>
      </c>
      <c r="D29" s="31" t="s">
        <v>226</v>
      </c>
      <c r="E29" s="46" t="s">
        <v>820</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226</v>
      </c>
      <c r="E30" s="46" t="s">
        <v>614</v>
      </c>
    </row>
    <row r="31" customFormat="false" ht="15" hidden="false" customHeight="true" outlineLevel="0" collapsed="false">
      <c r="B31" s="9" t="s">
        <v>821</v>
      </c>
      <c r="C31" s="47" t="str">
        <f aca="false">IF(Need_3&lt;&gt;"",Need_3,Salary*Increase_Pct/12)</f>
        <v>Choose your salary to see this</v>
      </c>
      <c r="D31" s="31" t="s">
        <v>226</v>
      </c>
      <c r="E31" s="46" t="s">
        <v>822</v>
      </c>
    </row>
    <row r="32" customFormat="false" ht="15" hidden="false" customHeight="true" outlineLevel="0" collapsed="false">
      <c r="B32" s="9" t="s">
        <v>823</v>
      </c>
      <c r="C32" s="47" t="str">
        <f aca="false">IF(Need_4&lt;&gt;"",Need_4,Extra_Per_Month-Relief_Per_Month)</f>
        <v>Choose your salary to see this</v>
      </c>
      <c r="D32" s="31" t="s">
        <v>226</v>
      </c>
      <c r="E32" s="46" t="s">
        <v>824</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226</v>
      </c>
      <c r="E33" s="46" t="s">
        <v>825</v>
      </c>
    </row>
    <row r="34" customFormat="false" ht="15" hidden="false" customHeight="true" outlineLevel="0" collapsed="false">
      <c r="B34" s="9" t="s">
        <v>826</v>
      </c>
      <c r="C34" s="47" t="str">
        <f aca="false">IF(Need_5&lt;&gt;"",Need_5,MAX(0,Relief_Limit_Year-Existing_Pension_Year))</f>
        <v>Choose your salary to see this</v>
      </c>
      <c r="D34" s="31" t="s">
        <v>226</v>
      </c>
      <c r="E34" s="46" t="s">
        <v>827</v>
      </c>
    </row>
    <row r="35" customFormat="false" ht="15" hidden="false" customHeight="true" outlineLevel="0" collapsed="false">
      <c r="B35" s="9" t="s">
        <v>828</v>
      </c>
      <c r="C35" s="47" t="str">
        <f aca="false">IF(Need_6&lt;&gt;"",Need_6,MIN(Extra_Per_Month*12,Relief_Room_Year))</f>
        <v>Choose your salary to see this</v>
      </c>
      <c r="D35" s="31" t="s">
        <v>226</v>
      </c>
      <c r="E35" s="46" t="s">
        <v>829</v>
      </c>
    </row>
    <row r="36" customFormat="false" ht="15" hidden="false" customHeight="true" outlineLevel="0" collapsed="false">
      <c r="B36" s="9" t="s">
        <v>830</v>
      </c>
      <c r="C36" s="47" t="str">
        <f aca="false">IF(Need_4&lt;&gt;"",Need_4,Relieved_Year*Tax_Rate/12)</f>
        <v>Choose your salary to see this</v>
      </c>
      <c r="D36" s="31" t="s">
        <v>226</v>
      </c>
      <c r="E36" s="46" t="s">
        <v>831</v>
      </c>
    </row>
    <row r="38" customFormat="false" ht="15" hidden="false" customHeight="true" outlineLevel="0" collapsed="false">
      <c r="B38" s="15" t="s">
        <v>279</v>
      </c>
      <c r="C38" s="16"/>
      <c r="D38" s="16"/>
      <c r="E38" s="16"/>
      <c r="F38" s="16"/>
      <c r="G38" s="16"/>
    </row>
    <row r="39" customFormat="false" ht="13.5" hidden="false" customHeight="true" outlineLevel="0" collapsed="false">
      <c r="B39" s="50" t="s">
        <v>832</v>
      </c>
      <c r="C39" s="50"/>
      <c r="D39" s="50"/>
      <c r="E39" s="50"/>
    </row>
    <row r="40" customFormat="false" ht="13.5" hidden="false" customHeight="true" outlineLevel="0" collapsed="false">
      <c r="B40" s="50" t="s">
        <v>833</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834</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835</v>
      </c>
    </row>
    <row r="47" customFormat="false" ht="15" hidden="false" customHeight="true" outlineLevel="0" collapsed="false">
      <c r="B47" s="9" t="s">
        <v>836</v>
      </c>
      <c r="C47" s="54" t="str">
        <f aca="false">IF(Need_3&lt;&gt;"",Need_3,Extra_Per_Month)</f>
        <v>Choose your salary to see this</v>
      </c>
      <c r="E47" s="53" t="s">
        <v>837</v>
      </c>
    </row>
    <row r="48" customFormat="false" ht="13.5" hidden="false" customHeight="true" outlineLevel="0" collapsed="false">
      <c r="B48" s="57" t="s">
        <v>838</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839</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840</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841</v>
      </c>
      <c r="C53" s="56" t="str">
        <f aca="false">IF(Salary="","Choose your salary to see this",IF(Increase_Pct="","Choose your contribution increase to see this",""))</f>
        <v>Choose your salary to see this</v>
      </c>
    </row>
    <row r="54" customFormat="false" ht="15" hidden="false" customHeight="true" outlineLevel="0" collapsed="false">
      <c r="B54" s="56" t="s">
        <v>842</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843</v>
      </c>
      <c r="C55" s="56" t="str">
        <f aca="false">IF(Salary="","Choose your salary to see this",IF(Age="","Choose your age to see this",""))</f>
        <v>Choose your salary to see this</v>
      </c>
    </row>
    <row r="56" customFormat="false" ht="15" hidden="false" customHeight="true" outlineLevel="0" collapsed="false">
      <c r="B56" s="56" t="s">
        <v>844</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845</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846</v>
      </c>
      <c r="E1" s="3" t="s">
        <v>847</v>
      </c>
    </row>
    <row r="2" customFormat="false" ht="15" hidden="false" customHeight="true" outlineLevel="0" collapsed="false">
      <c r="B2" s="25" t="s">
        <v>848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849</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850</v>
      </c>
      <c r="C10" s="57"/>
      <c r="D10" s="57"/>
      <c r="E10" s="57"/>
    </row>
    <row r="11" customFormat="false" ht="15" hidden="false" customHeight="true" outlineLevel="0" collapsed="false">
      <c r="B11" s="9" t="s">
        <v>638</v>
      </c>
      <c r="C11" s="59"/>
      <c r="D11" s="31" t="s">
        <v>237</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221</v>
      </c>
      <c r="D14" s="28" t="s">
        <v>222</v>
      </c>
      <c r="E14" s="28" t="s">
        <v>223</v>
      </c>
      <c r="F14" s="29" t="s">
        <v>224</v>
      </c>
      <c r="G14" s="16"/>
    </row>
    <row r="15" customFormat="false" ht="15" hidden="false" customHeight="true" outlineLevel="0" collapsed="false">
      <c r="B15" s="9" t="s">
        <v>851</v>
      </c>
      <c r="C15" s="30"/>
      <c r="D15" s="31" t="s">
        <v>226</v>
      </c>
      <c r="E15" s="32" t="s">
        <v>852</v>
      </c>
      <c r="F15" s="33" t="n">
        <v>200</v>
      </c>
      <c r="G15" s="34" t="str">
        <f aca="false">IF(ISBLANK(C15),IF(Fill_Example="Yes",F15,""),C15)</f>
        <v/>
      </c>
    </row>
    <row r="16" customFormat="false" ht="21.75" hidden="false" customHeight="true" outlineLevel="0" collapsed="false">
      <c r="B16" s="9" t="s">
        <v>853</v>
      </c>
      <c r="C16" s="30"/>
      <c r="D16" s="31" t="s">
        <v>226</v>
      </c>
      <c r="E16" s="32" t="s">
        <v>227</v>
      </c>
      <c r="F16" s="33" t="n">
        <v>60000</v>
      </c>
      <c r="G16" s="34" t="str">
        <f aca="false">IF(ISBLANK(C16),IF(Fill_Example="Yes",F16,""),C16)</f>
        <v/>
      </c>
    </row>
    <row r="17" customFormat="false" ht="21.75" hidden="false" customHeight="true" outlineLevel="0" collapsed="false">
      <c r="B17" s="9" t="s">
        <v>773</v>
      </c>
      <c r="C17" s="42"/>
      <c r="D17" s="31" t="s">
        <v>239</v>
      </c>
      <c r="E17" s="32" t="s">
        <v>854</v>
      </c>
      <c r="F17" s="43" t="n">
        <v>15</v>
      </c>
      <c r="G17" s="44" t="str">
        <f aca="false">IF(ISBLANK(C17),IF(Fill_Example="Yes",F17,""),C17)</f>
        <v/>
      </c>
    </row>
    <row r="18" customFormat="false" ht="21.75" hidden="false" customHeight="true" outlineLevel="0" collapsed="false">
      <c r="B18" s="9" t="s">
        <v>810</v>
      </c>
      <c r="C18" s="38"/>
      <c r="D18" s="31" t="s">
        <v>237</v>
      </c>
      <c r="E18" s="39" t="s">
        <v>735</v>
      </c>
      <c r="F18" s="40" t="n">
        <f aca="false">AS_Pen</f>
        <v>0.045</v>
      </c>
      <c r="G18" s="41" t="n">
        <f aca="false">IF(ISBLANK(C18),F18,C18)</f>
        <v>0.045</v>
      </c>
    </row>
    <row r="19" customFormat="false" ht="21.75" hidden="false" customHeight="true" outlineLevel="0" collapsed="false">
      <c r="B19" s="9" t="s">
        <v>740</v>
      </c>
      <c r="C19" s="38"/>
      <c r="D19" s="31" t="s">
        <v>237</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811</v>
      </c>
      <c r="C20" s="78"/>
      <c r="D20" s="31" t="s">
        <v>812</v>
      </c>
      <c r="E20" s="39" t="s">
        <v>813</v>
      </c>
      <c r="F20" s="79" t="str">
        <f aca="false">TE_Marginal_Rate</f>
        <v>Choose your tax status to see this</v>
      </c>
      <c r="G20" s="80" t="str">
        <f aca="false">IF(ISBLANK(C20),IF(Fill_Example="Yes",F20,""),C20)</f>
        <v/>
      </c>
    </row>
    <row r="21" customFormat="false" ht="21.75" hidden="false" customHeight="true" outlineLevel="0" collapsed="false">
      <c r="B21" s="9" t="s">
        <v>814</v>
      </c>
      <c r="C21" s="42"/>
      <c r="D21" s="31" t="s">
        <v>718</v>
      </c>
      <c r="E21" s="32" t="s">
        <v>815</v>
      </c>
      <c r="F21" s="43" t="n">
        <v>40</v>
      </c>
      <c r="G21" s="44" t="str">
        <f aca="false">IF(ISBLANK(C21),IF(Fill_Example="Yes",F21,""),C21)</f>
        <v/>
      </c>
    </row>
    <row r="22" customFormat="false" ht="15" hidden="false" customHeight="true" outlineLevel="0" collapsed="false">
      <c r="B22" s="9" t="s">
        <v>816</v>
      </c>
      <c r="C22" s="30"/>
      <c r="D22" s="31" t="s">
        <v>226</v>
      </c>
      <c r="E22" s="32" t="s">
        <v>817</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818</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752</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246</v>
      </c>
      <c r="C28" s="28" t="s">
        <v>247</v>
      </c>
      <c r="D28" s="28" t="s">
        <v>248</v>
      </c>
      <c r="E28" s="28" t="s">
        <v>249</v>
      </c>
      <c r="F28" s="16"/>
      <c r="G28" s="16"/>
    </row>
    <row r="29" customFormat="false" ht="17.25" hidden="false" customHeight="true" outlineLevel="0" collapsed="false">
      <c r="B29" s="25" t="s">
        <v>855</v>
      </c>
      <c r="C29" s="45" t="str">
        <f aca="false">IF(Need_1&lt;&gt;"",Need_1,FV((1+Used_Growth_Rate)^(1/12)-1,Years*12,-AVC_Per_Month))</f>
        <v>Choose your AVC per month to see this</v>
      </c>
      <c r="D29" s="31" t="s">
        <v>226</v>
      </c>
      <c r="E29" s="46" t="s">
        <v>856</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226</v>
      </c>
      <c r="E30" s="46" t="s">
        <v>614</v>
      </c>
    </row>
    <row r="31" customFormat="false" ht="15" hidden="false" customHeight="true" outlineLevel="0" collapsed="false">
      <c r="B31" s="9" t="s">
        <v>615</v>
      </c>
      <c r="C31" s="47" t="str">
        <f aca="false">IF(Need_3&lt;&gt;"",Need_3,AVC_Per_Month*12*Years)</f>
        <v>Choose your AVC per month to see this</v>
      </c>
      <c r="D31" s="31" t="s">
        <v>226</v>
      </c>
      <c r="E31" s="46" t="s">
        <v>857</v>
      </c>
    </row>
    <row r="32" customFormat="false" ht="15" hidden="false" customHeight="true" outlineLevel="0" collapsed="false">
      <c r="B32" s="9" t="s">
        <v>858</v>
      </c>
      <c r="C32" s="47" t="str">
        <f aca="false">IF(Need_4&lt;&gt;"",Need_4,Net_Cost_Per_Month*12*Years)</f>
        <v>Choose your AVC per month to see this</v>
      </c>
      <c r="D32" s="31" t="s">
        <v>226</v>
      </c>
      <c r="E32" s="46" t="s">
        <v>859</v>
      </c>
    </row>
    <row r="33" customFormat="false" ht="15" hidden="false" customHeight="true" outlineLevel="0" collapsed="false">
      <c r="B33" s="9" t="s">
        <v>860</v>
      </c>
      <c r="C33" s="47" t="str">
        <f aca="false">IF(Need_5&lt;&gt;"",Need_5,AVC_Per_Month-Relief_Per_Month)</f>
        <v>Choose your AVC per month to see this</v>
      </c>
      <c r="D33" s="31" t="s">
        <v>226</v>
      </c>
      <c r="E33" s="46" t="s">
        <v>861</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226</v>
      </c>
      <c r="E34" s="46" t="s">
        <v>825</v>
      </c>
    </row>
    <row r="35" customFormat="false" ht="15" hidden="false" customHeight="true" outlineLevel="0" collapsed="false">
      <c r="B35" s="9" t="s">
        <v>826</v>
      </c>
      <c r="C35" s="47" t="str">
        <f aca="false">IF(Need_6&lt;&gt;"",Need_6,MAX(0,Relief_Limit_Year-Existing_Pension_Year))</f>
        <v>Choose your salary to see this</v>
      </c>
      <c r="D35" s="31" t="s">
        <v>226</v>
      </c>
      <c r="E35" s="46" t="s">
        <v>827</v>
      </c>
    </row>
    <row r="36" customFormat="false" ht="15" hidden="false" customHeight="true" outlineLevel="0" collapsed="false">
      <c r="B36" s="9" t="s">
        <v>862</v>
      </c>
      <c r="C36" s="47" t="str">
        <f aca="false">IF(Need_7&lt;&gt;"",Need_7,MIN(AVC_Per_Month*12,Relief_Room_Year))</f>
        <v>Choose your AVC per month to see this</v>
      </c>
      <c r="D36" s="31" t="s">
        <v>226</v>
      </c>
      <c r="E36" s="46" t="s">
        <v>863</v>
      </c>
    </row>
    <row r="37" customFormat="false" ht="15" hidden="false" customHeight="true" outlineLevel="0" collapsed="false">
      <c r="B37" s="9" t="s">
        <v>830</v>
      </c>
      <c r="C37" s="47" t="str">
        <f aca="false">IF(Need_5&lt;&gt;"",Need_5,Relieved_Year*Tax_Rate/12)</f>
        <v>Choose your AVC per month to see this</v>
      </c>
      <c r="D37" s="31" t="s">
        <v>226</v>
      </c>
      <c r="E37" s="46" t="s">
        <v>831</v>
      </c>
    </row>
    <row r="39" customFormat="false" ht="15" hidden="false" customHeight="true" outlineLevel="0" collapsed="false">
      <c r="B39" s="15" t="s">
        <v>279</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834</v>
      </c>
      <c r="C42" s="50"/>
      <c r="D42" s="50"/>
      <c r="E42" s="50"/>
    </row>
    <row r="43" customFormat="false" ht="13.5" hidden="false" customHeight="true" outlineLevel="0" collapsed="false">
      <c r="B43" s="50" t="s">
        <v>864</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835</v>
      </c>
    </row>
    <row r="47" customFormat="false" ht="15" hidden="false" customHeight="true" outlineLevel="0" collapsed="false">
      <c r="B47" s="9" t="s">
        <v>836</v>
      </c>
      <c r="C47" s="54" t="str">
        <f aca="false">IF(Need_8&lt;&gt;"",Need_8,AVC_Per_Month)</f>
        <v>Choose your AVC per month to see this</v>
      </c>
      <c r="E47" s="53" t="s">
        <v>865</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866</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867</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868</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869</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870</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843</v>
      </c>
      <c r="C55" s="56" t="str">
        <f aca="false">IF(Salary="","Choose your salary to see this",IF(Age="","Choose your age to see this",""))</f>
        <v>Choose your salary to see this</v>
      </c>
    </row>
    <row r="56" customFormat="false" ht="15" hidden="false" customHeight="true" outlineLevel="0" collapsed="false">
      <c r="B56" s="56" t="s">
        <v>871</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872</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873</v>
      </c>
      <c r="E1" s="3" t="s">
        <v>874</v>
      </c>
    </row>
    <row r="2" customFormat="false" ht="15" hidden="false" customHeight="true" outlineLevel="0" collapsed="false">
      <c r="B2" s="25" t="s">
        <v>875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876</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877</v>
      </c>
      <c r="C10" s="57"/>
      <c r="D10" s="57"/>
      <c r="E10" s="57"/>
    </row>
    <row r="11" customFormat="false" ht="15" hidden="false" customHeight="true" outlineLevel="0" collapsed="false">
      <c r="B11" s="9" t="s">
        <v>720</v>
      </c>
      <c r="C11" s="58"/>
      <c r="D11" s="31" t="s">
        <v>226</v>
      </c>
      <c r="E11" s="32" t="s">
        <v>637</v>
      </c>
      <c r="G11" s="56" t="s">
        <v>314</v>
      </c>
    </row>
    <row r="12" customFormat="false" ht="15" hidden="false" customHeight="true" outlineLevel="0" collapsed="false">
      <c r="B12" s="9" t="s">
        <v>713</v>
      </c>
      <c r="C12" s="58"/>
      <c r="D12" s="31" t="s">
        <v>226</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221</v>
      </c>
      <c r="D15" s="28" t="s">
        <v>222</v>
      </c>
      <c r="E15" s="28" t="s">
        <v>223</v>
      </c>
      <c r="F15" s="29" t="s">
        <v>224</v>
      </c>
      <c r="G15" s="16"/>
    </row>
    <row r="16" customFormat="false" ht="21.75" hidden="false" customHeight="true" outlineLevel="0" collapsed="false">
      <c r="B16" s="9" t="s">
        <v>878</v>
      </c>
      <c r="C16" s="30"/>
      <c r="D16" s="31" t="s">
        <v>226</v>
      </c>
      <c r="E16" s="32" t="s">
        <v>879</v>
      </c>
      <c r="F16" s="33" t="n">
        <v>400000</v>
      </c>
      <c r="G16" s="34" t="str">
        <f aca="false">IF(AND(ISNUMBER(C16),N(C16)&lt;10000),"",IF(ISBLANK(C16),IF(Fill_Example="Yes",F16,""),C16))</f>
        <v/>
      </c>
    </row>
    <row r="17" customFormat="false" ht="15" hidden="false" customHeight="true" outlineLevel="0" collapsed="false">
      <c r="B17" s="9" t="s">
        <v>880</v>
      </c>
      <c r="C17" s="30"/>
      <c r="D17" s="31" t="s">
        <v>226</v>
      </c>
      <c r="E17" s="32" t="s">
        <v>881</v>
      </c>
      <c r="F17" s="33" t="n">
        <v>24000</v>
      </c>
      <c r="G17" s="34" t="str">
        <f aca="false">IF(ISBLANK(C17),IF(Fill_Example="Yes",F17,""),C17)</f>
        <v/>
      </c>
    </row>
    <row r="18" customFormat="false" ht="21.75" hidden="false" customHeight="true" outlineLevel="0" collapsed="false">
      <c r="B18" s="9" t="s">
        <v>882</v>
      </c>
      <c r="C18" s="38"/>
      <c r="D18" s="31" t="s">
        <v>237</v>
      </c>
      <c r="E18" s="39" t="s">
        <v>883</v>
      </c>
      <c r="F18" s="40" t="n">
        <f aca="false">AS_PenRet</f>
        <v>0.0315</v>
      </c>
      <c r="G18" s="41" t="n">
        <f aca="false">IF(ISBLANK(C18),F18,C18)</f>
        <v>0.0315</v>
      </c>
    </row>
    <row r="19" customFormat="false" ht="21.75" hidden="false" customHeight="true" outlineLevel="0" collapsed="false">
      <c r="B19" s="9" t="s">
        <v>884</v>
      </c>
      <c r="C19" s="35"/>
      <c r="D19" s="31"/>
      <c r="E19" s="39" t="s">
        <v>885</v>
      </c>
      <c r="F19" s="36" t="str">
        <f aca="false">IF(Set_ddTiming="end","End of year","Start of year")</f>
        <v>Start of year</v>
      </c>
      <c r="G19" s="37" t="str">
        <f aca="false">IF(ISBLANK(C19),F19,C19)</f>
        <v>Start of year</v>
      </c>
    </row>
    <row r="20" customFormat="false" ht="21.75" hidden="false" customHeight="true" outlineLevel="0" collapsed="false">
      <c r="B20" s="9" t="s">
        <v>886</v>
      </c>
      <c r="C20" s="42"/>
      <c r="D20" s="31" t="s">
        <v>718</v>
      </c>
      <c r="E20" s="39" t="s">
        <v>887</v>
      </c>
      <c r="F20" s="43" t="n">
        <v>66</v>
      </c>
      <c r="G20" s="44" t="str">
        <f aca="false">IF(ISBLANK(C20),IF(Fill_Example="Yes",F20,""),C20)</f>
        <v/>
      </c>
    </row>
    <row r="21" customFormat="false" ht="21.75" hidden="false" customHeight="true" outlineLevel="0" collapsed="false">
      <c r="B21" s="9" t="s">
        <v>888</v>
      </c>
      <c r="C21" s="42"/>
      <c r="D21" s="31" t="s">
        <v>718</v>
      </c>
      <c r="E21" s="39" t="s">
        <v>889</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878</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890</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246</v>
      </c>
      <c r="C27" s="28" t="s">
        <v>247</v>
      </c>
      <c r="D27" s="28" t="s">
        <v>248</v>
      </c>
      <c r="E27" s="28" t="s">
        <v>249</v>
      </c>
      <c r="F27" s="16"/>
      <c r="G27" s="16"/>
    </row>
    <row r="28" customFormat="false" ht="23.25" hidden="false" customHeight="true" outlineLevel="0" collapsed="false">
      <c r="B28" s="25" t="s">
        <v>891</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892</v>
      </c>
    </row>
    <row r="29" customFormat="false" ht="23.25" hidden="false" customHeight="true" outlineLevel="0" collapsed="false">
      <c r="B29" s="25" t="s">
        <v>893</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894</v>
      </c>
    </row>
    <row r="30" customFormat="false" ht="15" hidden="false" customHeight="true" outlineLevel="0" collapsed="false">
      <c r="B30" s="9" t="s">
        <v>895</v>
      </c>
      <c r="C30" s="81" t="str">
        <f aca="false">IF(Need_3&lt;&gt;"",Need_3,Yearly_Withdrawal/Used_Retirement_Savings)</f>
        <v>Choose your yearly withdrawal to see this</v>
      </c>
      <c r="D30" s="31" t="s">
        <v>237</v>
      </c>
      <c r="E30" s="46" t="s">
        <v>896</v>
      </c>
    </row>
    <row r="31" customFormat="false" ht="15" hidden="false" customHeight="true" outlineLevel="0" collapsed="false">
      <c r="B31" s="15" t="s">
        <v>897</v>
      </c>
      <c r="C31" s="16"/>
      <c r="D31" s="16"/>
      <c r="E31" s="16"/>
      <c r="F31" s="16"/>
      <c r="G31" s="16"/>
    </row>
    <row r="32" customFormat="false" ht="27.75" hidden="false" customHeight="true" outlineLevel="0" collapsed="false">
      <c r="B32" s="82" t="s">
        <v>898</v>
      </c>
      <c r="C32" s="82" t="s">
        <v>899</v>
      </c>
      <c r="D32" s="82" t="s">
        <v>900</v>
      </c>
      <c r="E32" s="82" t="s">
        <v>901</v>
      </c>
      <c r="F32" s="82" t="s">
        <v>902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279</v>
      </c>
      <c r="C95" s="16"/>
      <c r="D95" s="16"/>
      <c r="E95" s="16"/>
      <c r="F95" s="16"/>
      <c r="G95" s="16"/>
    </row>
    <row r="96" customFormat="false" ht="27.75" hidden="false" customHeight="true" outlineLevel="0" collapsed="false">
      <c r="B96" s="50" t="s">
        <v>903</v>
      </c>
      <c r="C96" s="50"/>
      <c r="D96" s="50"/>
      <c r="E96" s="50"/>
    </row>
    <row r="97" customFormat="false" ht="13.5" hidden="false" customHeight="true" outlineLevel="0" collapsed="false">
      <c r="B97" s="50" t="s">
        <v>904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905</v>
      </c>
      <c r="C99" s="50"/>
      <c r="D99" s="50"/>
      <c r="E99" s="50"/>
    </row>
    <row r="100" customFormat="false" ht="13.5" hidden="false" customHeight="true" outlineLevel="0" collapsed="false">
      <c r="B100" s="50" t="s">
        <v>906</v>
      </c>
      <c r="C100" s="50"/>
      <c r="D100" s="50"/>
      <c r="E100" s="50"/>
    </row>
    <row r="101" customFormat="false" ht="13.5" hidden="false" customHeight="true" outlineLevel="0" collapsed="false">
      <c r="B101" s="50" t="s">
        <v>907</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478</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908</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909</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910</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911</v>
      </c>
      <c r="E1" s="3" t="s">
        <v>912</v>
      </c>
    </row>
    <row r="2" customFormat="false" ht="15" hidden="false" customHeight="true" outlineLevel="0" collapsed="false">
      <c r="B2" s="25" t="s">
        <v>913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914</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877</v>
      </c>
      <c r="C10" s="57"/>
      <c r="D10" s="57"/>
      <c r="E10" s="57"/>
    </row>
    <row r="11" customFormat="false" ht="15" hidden="false" customHeight="true" outlineLevel="0" collapsed="false">
      <c r="B11" s="9" t="s">
        <v>720</v>
      </c>
      <c r="C11" s="58"/>
      <c r="D11" s="31" t="s">
        <v>226</v>
      </c>
      <c r="E11" s="32" t="s">
        <v>637</v>
      </c>
      <c r="G11" s="56" t="s">
        <v>314</v>
      </c>
    </row>
    <row r="12" customFormat="false" ht="15" hidden="false" customHeight="true" outlineLevel="0" collapsed="false">
      <c r="B12" s="9" t="s">
        <v>713</v>
      </c>
      <c r="C12" s="58"/>
      <c r="D12" s="31" t="s">
        <v>226</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221</v>
      </c>
      <c r="D15" s="28" t="s">
        <v>222</v>
      </c>
      <c r="E15" s="28" t="s">
        <v>223</v>
      </c>
      <c r="F15" s="29" t="s">
        <v>224</v>
      </c>
      <c r="G15" s="16"/>
    </row>
    <row r="16" customFormat="false" ht="21.75" hidden="false" customHeight="true" outlineLevel="0" collapsed="false">
      <c r="B16" s="9" t="s">
        <v>878</v>
      </c>
      <c r="C16" s="30"/>
      <c r="D16" s="31" t="s">
        <v>226</v>
      </c>
      <c r="E16" s="32" t="s">
        <v>879</v>
      </c>
      <c r="F16" s="33" t="n">
        <v>400000</v>
      </c>
      <c r="G16" s="34" t="str">
        <f aca="false">IF(ISBLANK(C16),IF(Fill_Example="Yes",F16,""),C16)</f>
        <v/>
      </c>
    </row>
    <row r="17" customFormat="false" ht="15" hidden="false" customHeight="true" outlineLevel="0" collapsed="false">
      <c r="B17" s="9" t="s">
        <v>880</v>
      </c>
      <c r="C17" s="30"/>
      <c r="D17" s="31" t="s">
        <v>226</v>
      </c>
      <c r="E17" s="32" t="s">
        <v>881</v>
      </c>
      <c r="F17" s="33" t="n">
        <v>20000</v>
      </c>
      <c r="G17" s="34" t="str">
        <f aca="false">IF(ISBLANK(C17),IF(Fill_Example="Yes",F17,""),C17)</f>
        <v/>
      </c>
    </row>
    <row r="18" customFormat="false" ht="21.75" hidden="false" customHeight="true" outlineLevel="0" collapsed="false">
      <c r="B18" s="9" t="s">
        <v>915</v>
      </c>
      <c r="C18" s="38"/>
      <c r="D18" s="31" t="s">
        <v>237</v>
      </c>
      <c r="E18" s="39" t="s">
        <v>916</v>
      </c>
      <c r="F18" s="40" t="n">
        <f aca="false">Set_riskMu_1</f>
        <v>0.02</v>
      </c>
      <c r="G18" s="41" t="n">
        <f aca="false">IF(ISBLANK(C18),F18,C18)</f>
        <v>0.02</v>
      </c>
    </row>
    <row r="19" customFormat="false" ht="21.75" hidden="false" customHeight="true" outlineLevel="0" collapsed="false">
      <c r="B19" s="9" t="s">
        <v>917</v>
      </c>
      <c r="C19" s="38"/>
      <c r="D19" s="31" t="s">
        <v>237</v>
      </c>
      <c r="E19" s="39" t="s">
        <v>918</v>
      </c>
      <c r="F19" s="40" t="n">
        <f aca="false">Set_riskMu_2</f>
        <v>0.04</v>
      </c>
      <c r="G19" s="41" t="n">
        <f aca="false">IF(ISBLANK(C19),F19,C19)</f>
        <v>0.04</v>
      </c>
    </row>
    <row r="20" customFormat="false" ht="21.75" hidden="false" customHeight="true" outlineLevel="0" collapsed="false">
      <c r="B20" s="9" t="s">
        <v>919</v>
      </c>
      <c r="C20" s="38"/>
      <c r="D20" s="31" t="s">
        <v>237</v>
      </c>
      <c r="E20" s="39" t="s">
        <v>920</v>
      </c>
      <c r="F20" s="40" t="n">
        <f aca="false">Set_riskMu_3</f>
        <v>0.06</v>
      </c>
      <c r="G20" s="41" t="n">
        <f aca="false">IF(ISBLANK(C20),F20,C20)</f>
        <v>0.06</v>
      </c>
    </row>
    <row r="21" customFormat="false" ht="21.75" hidden="false" customHeight="true" outlineLevel="0" collapsed="false">
      <c r="B21" s="9" t="s">
        <v>884</v>
      </c>
      <c r="C21" s="35"/>
      <c r="D21" s="31"/>
      <c r="E21" s="39" t="s">
        <v>885</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878</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890</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246</v>
      </c>
      <c r="C27" s="28" t="s">
        <v>247</v>
      </c>
      <c r="D27" s="28" t="s">
        <v>248</v>
      </c>
      <c r="E27" s="28" t="s">
        <v>249</v>
      </c>
      <c r="F27" s="16"/>
      <c r="G27" s="16"/>
    </row>
    <row r="28" customFormat="false" ht="23.25" hidden="false" customHeight="true" outlineLevel="0" collapsed="false">
      <c r="B28" s="25" t="s">
        <v>921</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922</v>
      </c>
    </row>
    <row r="29" customFormat="false" ht="15" hidden="false" customHeight="true" outlineLevel="0" collapsed="false">
      <c r="B29" s="9" t="s">
        <v>923</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924</v>
      </c>
    </row>
    <row r="30" customFormat="false" ht="15" hidden="false" customHeight="true" outlineLevel="0" collapsed="false">
      <c r="B30" s="9" t="s">
        <v>925</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926</v>
      </c>
    </row>
    <row r="31" customFormat="false" ht="15" hidden="false" customHeight="true" outlineLevel="0" collapsed="false">
      <c r="B31" s="15" t="s">
        <v>927</v>
      </c>
      <c r="C31" s="16"/>
      <c r="D31" s="16"/>
      <c r="E31" s="16"/>
      <c r="F31" s="16"/>
      <c r="G31" s="16"/>
    </row>
    <row r="32" customFormat="false" ht="27.75" hidden="false" customHeight="true" outlineLevel="0" collapsed="false">
      <c r="B32" s="82" t="s">
        <v>898</v>
      </c>
      <c r="C32" s="82" t="s">
        <v>928</v>
      </c>
      <c r="D32" s="82" t="s">
        <v>929</v>
      </c>
      <c r="E32" s="82" t="s">
        <v>930</v>
      </c>
      <c r="F32" s="82" t="s">
        <v>931</v>
      </c>
      <c r="G32" s="82" t="s">
        <v>932</v>
      </c>
      <c r="H32" s="82" t="s">
        <v>933</v>
      </c>
      <c r="I32" s="82" t="s">
        <v>934</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279</v>
      </c>
      <c r="C95" s="16"/>
      <c r="D95" s="16"/>
      <c r="E95" s="16"/>
      <c r="F95" s="16"/>
      <c r="G95" s="16"/>
    </row>
    <row r="96" customFormat="false" ht="27.75" hidden="false" customHeight="true" outlineLevel="0" collapsed="false">
      <c r="B96" s="50" t="s">
        <v>935</v>
      </c>
      <c r="C96" s="50"/>
      <c r="D96" s="50"/>
      <c r="E96" s="50"/>
    </row>
    <row r="97" customFormat="false" ht="13.5" hidden="false" customHeight="true" outlineLevel="0" collapsed="false">
      <c r="B97" s="50" t="s">
        <v>936</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937</v>
      </c>
      <c r="C99" s="50"/>
      <c r="D99" s="50"/>
      <c r="E99" s="50"/>
    </row>
    <row r="100" customFormat="false" ht="13.5" hidden="false" customHeight="true" outlineLevel="0" collapsed="false">
      <c r="B100" s="50" t="s">
        <v>938</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478</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939</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940</v>
      </c>
      <c r="E1" s="3" t="s">
        <v>941</v>
      </c>
    </row>
    <row r="2" customFormat="false" ht="15" hidden="false" customHeight="true" outlineLevel="0" collapsed="false">
      <c r="B2" s="25" t="s">
        <v>942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943</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226</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221</v>
      </c>
      <c r="D14" s="28" t="s">
        <v>222</v>
      </c>
      <c r="E14" s="28" t="s">
        <v>223</v>
      </c>
      <c r="F14" s="29" t="s">
        <v>224</v>
      </c>
      <c r="G14" s="16"/>
    </row>
    <row r="15" customFormat="false" ht="21.75" hidden="false" customHeight="true" outlineLevel="0" collapsed="false">
      <c r="B15" s="9" t="s">
        <v>640</v>
      </c>
      <c r="C15" s="30"/>
      <c r="D15" s="31" t="s">
        <v>226</v>
      </c>
      <c r="E15" s="32" t="s">
        <v>641</v>
      </c>
      <c r="F15" s="33" t="n">
        <v>20000</v>
      </c>
      <c r="G15" s="34" t="str">
        <f aca="false">IF(ISBLANK(C15),IF(Fill_Example="Yes",F15,""),C15)</f>
        <v/>
      </c>
    </row>
    <row r="16" customFormat="false" ht="21.75" hidden="false" customHeight="true" outlineLevel="0" collapsed="false">
      <c r="B16" s="9" t="s">
        <v>944</v>
      </c>
      <c r="C16" s="38"/>
      <c r="D16" s="31" t="s">
        <v>237</v>
      </c>
      <c r="E16" s="39" t="s">
        <v>945</v>
      </c>
      <c r="F16" s="40" t="n">
        <f aca="false">Set_invGross</f>
        <v>0.05</v>
      </c>
      <c r="G16" s="41" t="n">
        <f aca="false">IF(ISBLANK(C16),F16,C16)</f>
        <v>0.05</v>
      </c>
    </row>
    <row r="17" customFormat="false" ht="15" hidden="false" customHeight="true" outlineLevel="0" collapsed="false">
      <c r="B17" s="9" t="s">
        <v>609</v>
      </c>
      <c r="C17" s="42"/>
      <c r="D17" s="31" t="s">
        <v>239</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246</v>
      </c>
      <c r="C23" s="28" t="s">
        <v>247</v>
      </c>
      <c r="D23" s="28" t="s">
        <v>248</v>
      </c>
      <c r="E23" s="28" t="s">
        <v>249</v>
      </c>
      <c r="F23" s="16"/>
      <c r="G23" s="16"/>
    </row>
    <row r="24" customFormat="false" ht="17.25" hidden="false" customHeight="true" outlineLevel="0" collapsed="false">
      <c r="B24" s="25" t="s">
        <v>946</v>
      </c>
      <c r="C24" s="45" t="str">
        <f aca="false">IF(Need_1&lt;&gt;"",Need_1,IF(Inflation_Choice="","Choose your inflation rate to see this",Future_Value/(1+Inflation_Choice)^Years))</f>
        <v>Choose your years to see this</v>
      </c>
      <c r="D24" s="31" t="s">
        <v>226</v>
      </c>
      <c r="E24" s="46" t="s">
        <v>947</v>
      </c>
    </row>
    <row r="25" customFormat="false" ht="17.25" hidden="false" customHeight="true" outlineLevel="0" collapsed="false">
      <c r="B25" s="25" t="s">
        <v>948</v>
      </c>
      <c r="C25" s="45" t="str">
        <f aca="false">IF(Need_2&lt;&gt;"",Need_2,Used_Amount*(1+Nominal_Return)^Years)</f>
        <v>Choose your years to see this</v>
      </c>
      <c r="D25" s="31" t="s">
        <v>226</v>
      </c>
      <c r="E25" s="46" t="s">
        <v>949</v>
      </c>
    </row>
    <row r="26" customFormat="false" ht="17.25" hidden="false" customHeight="true" outlineLevel="0" collapsed="false">
      <c r="B26" s="25" t="s">
        <v>950</v>
      </c>
      <c r="C26" s="85" t="str">
        <f aca="false">IF(Need_3&lt;&gt;"",Need_3,IF(Inflation_Choice="","Choose your inflation rate to see this",(1+Nominal_Return)/(1+Inflation_Choice)-1))</f>
        <v>Choose your inflation rate to see this</v>
      </c>
      <c r="D26" s="31"/>
      <c r="E26" s="46" t="s">
        <v>951</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279</v>
      </c>
      <c r="C29" s="16"/>
      <c r="D29" s="16"/>
      <c r="E29" s="16"/>
      <c r="F29" s="16"/>
      <c r="G29" s="16"/>
    </row>
    <row r="30" customFormat="false" ht="13.5" hidden="false" customHeight="true" outlineLevel="0" collapsed="false">
      <c r="B30" s="50" t="s">
        <v>952</v>
      </c>
      <c r="C30" s="50"/>
      <c r="D30" s="50"/>
      <c r="E30" s="50"/>
    </row>
    <row r="31" customFormat="false" ht="13.5" hidden="false" customHeight="true" outlineLevel="0" collapsed="false">
      <c r="B31" s="50" t="s">
        <v>953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478</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955</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956</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957</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958</v>
      </c>
      <c r="E1" s="3" t="s">
        <v>959</v>
      </c>
    </row>
    <row r="2" customFormat="false" ht="15" hidden="false" customHeight="true" outlineLevel="0" collapsed="false">
      <c r="B2" s="25" t="s">
        <v>960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961</v>
      </c>
    </row>
    <row r="5" customFormat="false" ht="15" hidden="false" customHeight="true" outlineLevel="0" collapsed="false">
      <c r="B5" s="15" t="s">
        <v>564</v>
      </c>
      <c r="C5" s="28" t="s">
        <v>221</v>
      </c>
      <c r="D5" s="28" t="s">
        <v>222</v>
      </c>
      <c r="E5" s="28" t="s">
        <v>223</v>
      </c>
      <c r="F5" s="29" t="s">
        <v>224</v>
      </c>
      <c r="G5" s="16"/>
    </row>
    <row r="6" customFormat="false" ht="21.75" hidden="false" customHeight="true" outlineLevel="0" collapsed="false">
      <c r="B6" s="9" t="s">
        <v>565</v>
      </c>
      <c r="C6" s="38"/>
      <c r="D6" s="31" t="s">
        <v>237</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962</v>
      </c>
      <c r="C11" s="58"/>
      <c r="D11" s="31" t="s">
        <v>226</v>
      </c>
      <c r="E11" s="32" t="s">
        <v>963</v>
      </c>
      <c r="G11" s="56" t="s">
        <v>314</v>
      </c>
    </row>
    <row r="12" customFormat="false" ht="15" hidden="false" customHeight="true" outlineLevel="0" collapsed="false">
      <c r="B12" s="9" t="s">
        <v>638</v>
      </c>
      <c r="C12" s="59"/>
      <c r="D12" s="31" t="s">
        <v>237</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221</v>
      </c>
      <c r="D15" s="28" t="s">
        <v>222</v>
      </c>
      <c r="E15" s="28" t="s">
        <v>223</v>
      </c>
      <c r="F15" s="29" t="s">
        <v>224</v>
      </c>
      <c r="G15" s="16"/>
    </row>
    <row r="16" customFormat="false" ht="15" hidden="false" customHeight="true" outlineLevel="0" collapsed="false">
      <c r="B16" s="9" t="s">
        <v>964</v>
      </c>
      <c r="C16" s="30"/>
      <c r="D16" s="31" t="s">
        <v>226</v>
      </c>
      <c r="E16" s="32" t="s">
        <v>965</v>
      </c>
      <c r="F16" s="33" t="n">
        <v>300</v>
      </c>
      <c r="G16" s="34" t="str">
        <f aca="false">IF(ISBLANK(C16),IF(Fill_Example="Yes",F16,""),C16)</f>
        <v/>
      </c>
    </row>
    <row r="17" customFormat="false" ht="15" hidden="false" customHeight="true" outlineLevel="0" collapsed="false">
      <c r="B17" s="9" t="s">
        <v>609</v>
      </c>
      <c r="C17" s="42"/>
      <c r="D17" s="31" t="s">
        <v>239</v>
      </c>
      <c r="E17" s="32" t="s">
        <v>610</v>
      </c>
      <c r="F17" s="43" t="n">
        <v>15</v>
      </c>
      <c r="G17" s="44" t="str">
        <f aca="false">IF(ISBLANK(C17),IF(Fill_Example="Yes",F17,""),C17)</f>
        <v/>
      </c>
    </row>
    <row r="18" customFormat="false" ht="21.75" hidden="false" customHeight="true" outlineLevel="0" collapsed="false">
      <c r="B18" s="9" t="s">
        <v>966</v>
      </c>
      <c r="C18" s="38"/>
      <c r="D18" s="31" t="s">
        <v>237</v>
      </c>
      <c r="E18" s="39" t="s">
        <v>608</v>
      </c>
      <c r="F18" s="40" t="n">
        <f aca="false">Set_invGross</f>
        <v>0.05</v>
      </c>
      <c r="G18" s="41" t="n">
        <f aca="false">IF(ISBLANK(C18),F18,C18)</f>
        <v>0.05</v>
      </c>
    </row>
    <row r="19" customFormat="false" ht="21.75" hidden="false" customHeight="true" outlineLevel="0" collapsed="false">
      <c r="B19" s="9" t="s">
        <v>643</v>
      </c>
      <c r="C19" s="38"/>
      <c r="D19" s="31" t="s">
        <v>237</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233</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967</v>
      </c>
    </row>
    <row r="24" customFormat="false" ht="15" hidden="false" customHeight="true" outlineLevel="0" collapsed="false">
      <c r="B24" s="9" t="s">
        <v>964</v>
      </c>
      <c r="C24" s="62" t="str">
        <f aca="false">IF(ISBLANK(Stmt_Monthly_Invested),Monthly_Amount,Stmt_Monthly_Invested)</f>
        <v/>
      </c>
      <c r="D24" s="63" t="str">
        <f aca="false">IF(ISBLANK(Stmt_Monthly_Invested),"Your figure","From your statement")</f>
        <v>Your figure</v>
      </c>
      <c r="E24" s="53" t="s">
        <v>968</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246</v>
      </c>
      <c r="C28" s="28" t="s">
        <v>247</v>
      </c>
      <c r="D28" s="28" t="s">
        <v>248</v>
      </c>
      <c r="E28" s="28" t="s">
        <v>249</v>
      </c>
      <c r="F28" s="16"/>
      <c r="G28" s="16"/>
    </row>
    <row r="29" customFormat="false" ht="17.25" hidden="false" customHeight="true" outlineLevel="0" collapsed="false">
      <c r="B29" s="25" t="s">
        <v>969</v>
      </c>
      <c r="C29" s="45" t="str">
        <f aca="false">IF(Need_1&lt;&gt;"",Need_1,IF(Adjust_For_Inflation="Yes",Value_Today,Value_After_Fees))</f>
        <v>Choose your years to see this</v>
      </c>
      <c r="D29" s="31" t="s">
        <v>226</v>
      </c>
      <c r="E29" s="46" t="s">
        <v>970</v>
      </c>
    </row>
    <row r="30" customFormat="false" ht="15" hidden="false" customHeight="true" outlineLevel="0" collapsed="false">
      <c r="B30" s="9" t="s">
        <v>971</v>
      </c>
      <c r="C30" s="47" t="str">
        <f aca="false">IF(Need_1&lt;&gt;"",Need_1,FV((1+Growth_After_Fees)^(1/12)-1,Years*12,-Used_Monthly_Amount))</f>
        <v>Choose your years to see this</v>
      </c>
      <c r="D30" s="31" t="s">
        <v>226</v>
      </c>
      <c r="E30" s="46" t="s">
        <v>972</v>
      </c>
    </row>
    <row r="31" customFormat="false" ht="15" hidden="false" customHeight="true" outlineLevel="0" collapsed="false">
      <c r="B31" s="9" t="s">
        <v>973</v>
      </c>
      <c r="C31" s="47" t="str">
        <f aca="false">IF(Need_2&lt;&gt;"",Need_2,FV((1+Growth_Rate)^(1/12)-1,Years*12,-Used_Monthly_Amount))</f>
        <v>Choose your years to see this</v>
      </c>
      <c r="D31" s="31" t="s">
        <v>226</v>
      </c>
      <c r="E31" s="46" t="s">
        <v>974</v>
      </c>
    </row>
    <row r="32" customFormat="false" ht="17.25" hidden="false" customHeight="true" outlineLevel="0" collapsed="false">
      <c r="B32" s="25" t="s">
        <v>660</v>
      </c>
      <c r="C32" s="45" t="str">
        <f aca="false">IF(Need_1&lt;&gt;"",Need_1,Value_Before_Fees-Value_After_Fees)</f>
        <v>Choose your years to see this</v>
      </c>
      <c r="D32" s="31" t="s">
        <v>226</v>
      </c>
      <c r="E32" s="46" t="s">
        <v>975</v>
      </c>
    </row>
    <row r="33" customFormat="false" ht="15" hidden="false" customHeight="true" outlineLevel="0" collapsed="false">
      <c r="B33" s="9" t="s">
        <v>615</v>
      </c>
      <c r="C33" s="47" t="str">
        <f aca="false">IF(Need_3&lt;&gt;"",Need_3,Used_Monthly_Amount*12*Years)</f>
        <v>Choose your years to see this</v>
      </c>
      <c r="D33" s="31" t="s">
        <v>226</v>
      </c>
      <c r="E33" s="46" t="s">
        <v>976</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226</v>
      </c>
      <c r="E34" s="46" t="s">
        <v>977</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279</v>
      </c>
      <c r="C39" s="16"/>
      <c r="D39" s="16"/>
      <c r="E39" s="16"/>
      <c r="F39" s="16"/>
      <c r="G39" s="16"/>
    </row>
    <row r="40" customFormat="false" ht="27.75" hidden="false" customHeight="true" outlineLevel="0" collapsed="false">
      <c r="B40" s="50" t="s">
        <v>978</v>
      </c>
      <c r="C40" s="50"/>
      <c r="D40" s="50"/>
      <c r="E40" s="50"/>
    </row>
    <row r="41" customFormat="false" ht="13.5" hidden="false" customHeight="true" outlineLevel="0" collapsed="false">
      <c r="B41" s="50" t="s">
        <v>979</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980</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981</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982</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983</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984</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985</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986</v>
      </c>
      <c r="E1" s="3" t="s">
        <v>987</v>
      </c>
    </row>
    <row r="2" customFormat="false" ht="15" hidden="false" customHeight="true" outlineLevel="0" collapsed="false">
      <c r="B2" s="25" t="s">
        <v>988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989</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226</v>
      </c>
      <c r="E7" s="32" t="s">
        <v>637</v>
      </c>
      <c r="G7" s="56" t="s">
        <v>314</v>
      </c>
    </row>
    <row r="8" customFormat="false" ht="15" hidden="false" customHeight="true" outlineLevel="0" collapsed="false">
      <c r="B8" s="9" t="s">
        <v>638</v>
      </c>
      <c r="C8" s="59"/>
      <c r="D8" s="31" t="s">
        <v>237</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221</v>
      </c>
      <c r="D11" s="28" t="s">
        <v>222</v>
      </c>
      <c r="E11" s="28" t="s">
        <v>223</v>
      </c>
      <c r="F11" s="29" t="s">
        <v>224</v>
      </c>
      <c r="G11" s="16"/>
    </row>
    <row r="12" customFormat="false" ht="21.75" hidden="false" customHeight="true" outlineLevel="0" collapsed="false">
      <c r="B12" s="9" t="s">
        <v>990</v>
      </c>
      <c r="C12" s="30"/>
      <c r="D12" s="31" t="s">
        <v>226</v>
      </c>
      <c r="E12" s="32" t="s">
        <v>991</v>
      </c>
      <c r="F12" s="33" t="n">
        <v>50000</v>
      </c>
      <c r="G12" s="34" t="str">
        <f aca="false">IF(ISBLANK(C12),IF(Fill_Example="Yes",F12,""),C12)</f>
        <v/>
      </c>
    </row>
    <row r="13" customFormat="false" ht="15" hidden="false" customHeight="true" outlineLevel="0" collapsed="false">
      <c r="B13" s="9" t="s">
        <v>609</v>
      </c>
      <c r="C13" s="42"/>
      <c r="D13" s="31" t="s">
        <v>239</v>
      </c>
      <c r="E13" s="32" t="s">
        <v>610</v>
      </c>
      <c r="F13" s="43" t="n">
        <v>20</v>
      </c>
      <c r="G13" s="44" t="str">
        <f aca="false">IF(ISBLANK(C13),IF(Fill_Example="Yes",F13,""),C13)</f>
        <v/>
      </c>
    </row>
    <row r="14" customFormat="false" ht="21.75" hidden="false" customHeight="true" outlineLevel="0" collapsed="false">
      <c r="B14" s="9" t="s">
        <v>966</v>
      </c>
      <c r="C14" s="38"/>
      <c r="D14" s="31" t="s">
        <v>237</v>
      </c>
      <c r="E14" s="39" t="s">
        <v>608</v>
      </c>
      <c r="F14" s="40" t="n">
        <f aca="false">Set_invGross</f>
        <v>0.05</v>
      </c>
      <c r="G14" s="41" t="n">
        <f aca="false">IF(ISBLANK(C14),F14,C14)</f>
        <v>0.05</v>
      </c>
    </row>
    <row r="15" customFormat="false" ht="21.75" hidden="false" customHeight="true" outlineLevel="0" collapsed="false">
      <c r="B15" s="9" t="s">
        <v>992</v>
      </c>
      <c r="C15" s="38"/>
      <c r="D15" s="31" t="s">
        <v>237</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993</v>
      </c>
      <c r="C16" s="38"/>
      <c r="D16" s="31" t="s">
        <v>237</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990</v>
      </c>
      <c r="C20" s="62" t="str">
        <f aca="false">IF(ISBLANK(Stmt_Total_Value),Amount_Invested,Stmt_Total_Value)</f>
        <v/>
      </c>
      <c r="D20" s="63" t="str">
        <f aca="false">IF(ISBLANK(Stmt_Total_Value),"Your figure","From your statement")</f>
        <v>Your figure</v>
      </c>
      <c r="E20" s="53" t="s">
        <v>994</v>
      </c>
    </row>
    <row r="21" customFormat="false" ht="15" hidden="false" customHeight="true" outlineLevel="0" collapsed="false">
      <c r="B21" s="9" t="s">
        <v>995</v>
      </c>
      <c r="C21" s="64" t="str">
        <f aca="false">IF(NOT(ISBLANK(Stmt_Charges)),Stmt_Charges,IF(Statement_Uploaded="Yes",0,Fee_A))</f>
        <v/>
      </c>
      <c r="D21" s="63" t="str">
        <f aca="false">IF(NOT(ISBLANK(Stmt_Charges)),"From your statement",IF(Statement_Uploaded="Yes","None shown on your statement","Your figure"))</f>
        <v>Your figure</v>
      </c>
      <c r="E21" s="53" t="s">
        <v>996</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246</v>
      </c>
      <c r="C24" s="28" t="s">
        <v>247</v>
      </c>
      <c r="D24" s="28" t="s">
        <v>248</v>
      </c>
      <c r="E24" s="28" t="s">
        <v>249</v>
      </c>
      <c r="F24" s="16"/>
      <c r="G24" s="16"/>
    </row>
    <row r="25" customFormat="false" ht="17.25" hidden="false" customHeight="true" outlineLevel="0" collapsed="false">
      <c r="B25" s="25" t="s">
        <v>997</v>
      </c>
      <c r="C25" s="45" t="str">
        <f aca="false">IF(Need_1&lt;&gt;"",Need_1,ABS(Value_With_Fee_A-Value_With_Fee_B))</f>
        <v>Choose your years to see this</v>
      </c>
      <c r="D25" s="31" t="s">
        <v>226</v>
      </c>
      <c r="E25" s="46" t="s">
        <v>998</v>
      </c>
    </row>
    <row r="26" customFormat="false" ht="17.25" hidden="false" customHeight="true" outlineLevel="0" collapsed="false">
      <c r="B26" s="25" t="s">
        <v>999</v>
      </c>
      <c r="C26" s="45" t="str">
        <f aca="false">IF(Need_2&lt;&gt;"",Need_2,Used_Amount_Invested*((1+Growth_Rate)*(1-Used_Fee_A))^Years)</f>
        <v>Choose your years to see this</v>
      </c>
      <c r="D26" s="31" t="s">
        <v>226</v>
      </c>
      <c r="E26" s="46" t="s">
        <v>1000</v>
      </c>
    </row>
    <row r="27" customFormat="false" ht="17.25" hidden="false" customHeight="true" outlineLevel="0" collapsed="false">
      <c r="B27" s="25" t="s">
        <v>1001</v>
      </c>
      <c r="C27" s="45" t="str">
        <f aca="false">IF(Need_3&lt;&gt;"",Need_3,Used_Amount_Invested*((1+Growth_Rate)*(1-Fee_B))^Years)</f>
        <v>Choose your years to see this</v>
      </c>
      <c r="D27" s="31" t="s">
        <v>226</v>
      </c>
      <c r="E27" s="46" t="s">
        <v>1002</v>
      </c>
    </row>
    <row r="28" customFormat="false" ht="15" hidden="false" customHeight="true" outlineLevel="0" collapsed="false">
      <c r="B28" s="9" t="s">
        <v>1003</v>
      </c>
      <c r="C28" s="69" t="str">
        <f aca="false">IF(Need_4&lt;&gt;"",Need_4,ABS(Fee_B-Used_Fee_A))</f>
        <v>Choose the first fee (fee A) to see this</v>
      </c>
      <c r="D28" s="31" t="s">
        <v>237</v>
      </c>
      <c r="E28" s="46" t="s">
        <v>1004</v>
      </c>
    </row>
    <row r="30" customFormat="false" ht="15" hidden="false" customHeight="true" outlineLevel="0" collapsed="false">
      <c r="B30" s="15" t="s">
        <v>279</v>
      </c>
      <c r="C30" s="16"/>
      <c r="D30" s="16"/>
      <c r="E30" s="16"/>
      <c r="F30" s="16"/>
      <c r="G30" s="16"/>
    </row>
    <row r="31" customFormat="false" ht="13.5" hidden="false" customHeight="true" outlineLevel="0" collapsed="false">
      <c r="B31" s="50" t="s">
        <v>1005</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1006</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478</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1007</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1008</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1009</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1010</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1011</v>
      </c>
      <c r="E1" s="3" t="s">
        <v>1012</v>
      </c>
    </row>
    <row r="2" customFormat="false" ht="15" hidden="false" customHeight="true" outlineLevel="0" collapsed="false">
      <c r="B2" s="25" t="s">
        <v>1013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1014</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226</v>
      </c>
      <c r="E7" s="32" t="s">
        <v>637</v>
      </c>
      <c r="G7" s="56" t="s">
        <v>314</v>
      </c>
    </row>
    <row r="8" customFormat="false" ht="15" hidden="false" customHeight="true" outlineLevel="0" collapsed="false">
      <c r="B8" s="9" t="s">
        <v>1015</v>
      </c>
      <c r="C8" s="59"/>
      <c r="D8" s="31" t="s">
        <v>237</v>
      </c>
      <c r="E8" s="32" t="s">
        <v>1016</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221</v>
      </c>
      <c r="D11" s="28" t="s">
        <v>222</v>
      </c>
      <c r="E11" s="28" t="s">
        <v>223</v>
      </c>
      <c r="F11" s="29" t="s">
        <v>224</v>
      </c>
      <c r="G11" s="16"/>
    </row>
    <row r="12" customFormat="false" ht="21.75" hidden="false" customHeight="true" outlineLevel="0" collapsed="false">
      <c r="B12" s="9" t="s">
        <v>640</v>
      </c>
      <c r="C12" s="30"/>
      <c r="D12" s="31" t="s">
        <v>226</v>
      </c>
      <c r="E12" s="32" t="s">
        <v>991</v>
      </c>
      <c r="F12" s="33" t="n">
        <v>20000</v>
      </c>
      <c r="G12" s="34" t="str">
        <f aca="false">IF(ISBLANK(C12),IF(Fill_Example="Yes",F12,""),C12)</f>
        <v/>
      </c>
    </row>
    <row r="13" customFormat="false" ht="15" hidden="false" customHeight="true" outlineLevel="0" collapsed="false">
      <c r="B13" s="9" t="s">
        <v>609</v>
      </c>
      <c r="C13" s="42"/>
      <c r="D13" s="31" t="s">
        <v>239</v>
      </c>
      <c r="E13" s="32" t="s">
        <v>243</v>
      </c>
      <c r="F13" s="43" t="n">
        <v>10</v>
      </c>
      <c r="G13" s="44" t="str">
        <f aca="false">IF(AND(ISNUMBER(C13),N(C13)&lt;1),"",IF(ISBLANK(C13),IF(Fill_Example="Yes",F13,""),C13))</f>
        <v/>
      </c>
    </row>
    <row r="14" customFormat="false" ht="21.75" hidden="false" customHeight="true" outlineLevel="0" collapsed="false">
      <c r="B14" s="9" t="s">
        <v>1017</v>
      </c>
      <c r="C14" s="42"/>
      <c r="D14" s="31" t="s">
        <v>1018</v>
      </c>
      <c r="E14" s="39" t="s">
        <v>1019</v>
      </c>
      <c r="F14" s="43" t="n">
        <f aca="false">Set_style</f>
        <v>2</v>
      </c>
      <c r="G14" s="44" t="n">
        <f aca="false">IF(AND(ISNUMBER(C14),OR(N(C14)&lt;1,N(C14)&gt;3)),"",IF(ISBLANK(C14),F14,C14))</f>
        <v>2</v>
      </c>
    </row>
    <row r="15" customFormat="false" ht="21.75" hidden="false" customHeight="true" outlineLevel="0" collapsed="false">
      <c r="B15" s="9" t="s">
        <v>1020</v>
      </c>
      <c r="C15" s="38"/>
      <c r="D15" s="31" t="s">
        <v>237</v>
      </c>
      <c r="E15" s="39" t="s">
        <v>1021</v>
      </c>
      <c r="F15" s="40" t="n">
        <f aca="false">Set_riskMu_1</f>
        <v>0.02</v>
      </c>
      <c r="G15" s="41" t="n">
        <f aca="false">IF(ISBLANK(C15),F15,C15)</f>
        <v>0.02</v>
      </c>
    </row>
    <row r="16" customFormat="false" ht="21.75" hidden="false" customHeight="true" outlineLevel="0" collapsed="false">
      <c r="B16" s="9" t="s">
        <v>1022</v>
      </c>
      <c r="C16" s="38"/>
      <c r="D16" s="31" t="s">
        <v>237</v>
      </c>
      <c r="E16" s="39" t="s">
        <v>1023</v>
      </c>
      <c r="F16" s="40" t="n">
        <f aca="false">Set_riskMu_2</f>
        <v>0.04</v>
      </c>
      <c r="G16" s="41" t="n">
        <f aca="false">IF(ISBLANK(C16),F16,C16)</f>
        <v>0.04</v>
      </c>
    </row>
    <row r="17" customFormat="false" ht="21.75" hidden="false" customHeight="true" outlineLevel="0" collapsed="false">
      <c r="B17" s="9" t="s">
        <v>1024</v>
      </c>
      <c r="C17" s="38"/>
      <c r="D17" s="31" t="s">
        <v>237</v>
      </c>
      <c r="E17" s="39" t="s">
        <v>1025</v>
      </c>
      <c r="F17" s="40" t="n">
        <f aca="false">Set_riskMu_3</f>
        <v>0.06</v>
      </c>
      <c r="G17" s="41" t="n">
        <f aca="false">IF(ISBLANK(C17),F17,C17)</f>
        <v>0.06</v>
      </c>
    </row>
    <row r="18" customFormat="false" ht="21.75" hidden="false" customHeight="true" outlineLevel="0" collapsed="false">
      <c r="B18" s="9" t="s">
        <v>1026</v>
      </c>
      <c r="C18" s="38"/>
      <c r="D18" s="31" t="s">
        <v>237</v>
      </c>
      <c r="E18" s="39" t="s">
        <v>1027</v>
      </c>
      <c r="F18" s="40" t="n">
        <f aca="false">Set_riskVol_1</f>
        <v>0.05</v>
      </c>
      <c r="G18" s="41" t="n">
        <f aca="false">IF(ISBLANK(C18),F18,C18)</f>
        <v>0.05</v>
      </c>
    </row>
    <row r="19" customFormat="false" ht="21.75" hidden="false" customHeight="true" outlineLevel="0" collapsed="false">
      <c r="B19" s="9" t="s">
        <v>1028</v>
      </c>
      <c r="C19" s="38"/>
      <c r="D19" s="31" t="s">
        <v>237</v>
      </c>
      <c r="E19" s="39" t="s">
        <v>1029</v>
      </c>
      <c r="F19" s="40" t="n">
        <f aca="false">Set_riskVol_2</f>
        <v>0.1</v>
      </c>
      <c r="G19" s="41" t="n">
        <f aca="false">IF(ISBLANK(C19),F19,C19)</f>
        <v>0.1</v>
      </c>
    </row>
    <row r="20" customFormat="false" ht="21.75" hidden="false" customHeight="true" outlineLevel="0" collapsed="false">
      <c r="B20" s="9" t="s">
        <v>1030</v>
      </c>
      <c r="C20" s="38"/>
      <c r="D20" s="31" t="s">
        <v>237</v>
      </c>
      <c r="E20" s="39" t="s">
        <v>1031</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1032</v>
      </c>
      <c r="C24" s="65" t="n">
        <f aca="false">IF(ISBLANK(Stmt_Shares_Pct),Style,IF(Stmt_Shares_Pct&gt;=Shares_For_Growth,3,IF(Stmt_Shares_Pct&gt;=Shares_For_Balanced,2,1)))</f>
        <v>2</v>
      </c>
      <c r="D24" s="63" t="str">
        <f aca="false">IF(ISBLANK(Stmt_Shares_Pct),"Your figure","From your statement (holdings in shares)")</f>
        <v>Your figure</v>
      </c>
      <c r="E24" s="53" t="s">
        <v>1033</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246</v>
      </c>
      <c r="C27" s="28" t="s">
        <v>247</v>
      </c>
      <c r="D27" s="28" t="s">
        <v>248</v>
      </c>
      <c r="E27" s="28" t="s">
        <v>249</v>
      </c>
      <c r="F27" s="16"/>
      <c r="G27" s="16"/>
    </row>
    <row r="28" customFormat="false" ht="17.25" hidden="false" customHeight="true" outlineLevel="0" collapsed="false">
      <c r="B28" s="25" t="s">
        <v>1034</v>
      </c>
      <c r="C28" s="45" t="str">
        <f aca="false">IF(Need_1&lt;&gt;"",Need_1,Used_Amount*(1+Middle_Growth)^Years)</f>
        <v>Choose your years to see this</v>
      </c>
      <c r="D28" s="67" t="str">
        <f aca="false">IF(Need_1&lt;&gt;"",Need_1,Style_Name&amp;" · middle outcome")</f>
        <v>Choose your years to see this</v>
      </c>
      <c r="E28" s="46" t="s">
        <v>1035</v>
      </c>
    </row>
    <row r="29" customFormat="false" ht="17.25" hidden="false" customHeight="true" outlineLevel="0" collapsed="false">
      <c r="B29" s="25" t="s">
        <v>1036</v>
      </c>
      <c r="C29" s="45" t="str">
        <f aca="false">IF(Need_2&lt;&gt;"",Need_2,Used_Amount*(1+Middle_Growth-Spread)^Years)</f>
        <v>Choose your years to see this</v>
      </c>
      <c r="D29" s="31" t="s">
        <v>226</v>
      </c>
      <c r="E29" s="46" t="s">
        <v>1037</v>
      </c>
    </row>
    <row r="30" customFormat="false" ht="17.25" hidden="false" customHeight="true" outlineLevel="0" collapsed="false">
      <c r="B30" s="25" t="s">
        <v>1038</v>
      </c>
      <c r="C30" s="45" t="str">
        <f aca="false">IF(Need_2&lt;&gt;"",Need_2,Used_Amount*(1+Middle_Growth+Spread)^Years)</f>
        <v>Choose your years to see this</v>
      </c>
      <c r="D30" s="31" t="s">
        <v>226</v>
      </c>
      <c r="E30" s="46" t="s">
        <v>1039</v>
      </c>
    </row>
    <row r="31" customFormat="false" ht="15" hidden="false" customHeight="true" outlineLevel="0" collapsed="false">
      <c r="B31" s="9" t="s">
        <v>1040</v>
      </c>
      <c r="C31" s="69" t="n">
        <f aca="false">IF(Need_3&lt;&gt;"",Need_3,ROUND((Volatility*One_In_20_Z-Middle_Growth)*100,0)/100)</f>
        <v>0.12</v>
      </c>
      <c r="D31" s="31" t="s">
        <v>237</v>
      </c>
      <c r="E31" s="46" t="s">
        <v>1041</v>
      </c>
    </row>
    <row r="32" customFormat="false" ht="15" hidden="false" customHeight="true" outlineLevel="0" collapsed="false">
      <c r="B32" s="9" t="s">
        <v>1032</v>
      </c>
      <c r="C32" s="49" t="str">
        <f aca="false">IF(Need_4&lt;&gt;"",Need_4,IF(OR(Used_Style&lt;1,Used_Style&gt;3,Used_Style&lt;&gt;INT(Used_Style)),"Choose 1, 2 or 3",INDEX(Risk_Names,Used_Style)))</f>
        <v>Balanced</v>
      </c>
      <c r="D32" s="31"/>
      <c r="E32" s="46" t="s">
        <v>1042</v>
      </c>
    </row>
    <row r="33" customFormat="false" ht="15" hidden="false" customHeight="true" outlineLevel="0" collapsed="false">
      <c r="B33" s="9" t="s">
        <v>1043</v>
      </c>
      <c r="C33" s="69" t="n">
        <f aca="false">IF(Need_5&lt;&gt;"",Need_5,CHOOSE(Used_Style,Mu_Cautious,Mu_Balanced,Mu_Growth))</f>
        <v>0.04</v>
      </c>
      <c r="D33" s="31" t="s">
        <v>237</v>
      </c>
      <c r="E33" s="46" t="s">
        <v>1044</v>
      </c>
    </row>
    <row r="34" customFormat="false" ht="15" hidden="false" customHeight="true" outlineLevel="0" collapsed="false">
      <c r="B34" s="9" t="s">
        <v>1045</v>
      </c>
      <c r="C34" s="69" t="n">
        <f aca="false">IF(Need_6&lt;&gt;"",Need_6,CHOOSE(Used_Style,Vol_Cautious,Vol_Balanced,Vol_Growth))</f>
        <v>0.1</v>
      </c>
      <c r="D34" s="31" t="s">
        <v>237</v>
      </c>
      <c r="E34" s="46" t="s">
        <v>1046</v>
      </c>
    </row>
    <row r="35" customFormat="false" ht="15" hidden="false" customHeight="true" outlineLevel="0" collapsed="false">
      <c r="B35" s="9" t="s">
        <v>1047</v>
      </c>
      <c r="C35" s="68" t="str">
        <f aca="false">IF(Need_7&lt;&gt;"",Need_7,Volatility/SQRT(Years))</f>
        <v>Choose your years to see this</v>
      </c>
      <c r="D35" s="31"/>
      <c r="E35" s="46" t="s">
        <v>1048</v>
      </c>
    </row>
    <row r="37" customFormat="false" ht="15" hidden="false" customHeight="true" outlineLevel="0" collapsed="false">
      <c r="B37" s="15" t="s">
        <v>279</v>
      </c>
      <c r="C37" s="16"/>
      <c r="D37" s="16"/>
      <c r="E37" s="16"/>
      <c r="F37" s="16"/>
      <c r="G37" s="16"/>
    </row>
    <row r="38" customFormat="false" ht="27.75" hidden="false" customHeight="true" outlineLevel="0" collapsed="false">
      <c r="B38" s="50" t="s">
        <v>1049</v>
      </c>
      <c r="C38" s="50"/>
      <c r="D38" s="50"/>
      <c r="E38" s="50"/>
    </row>
    <row r="39" customFormat="false" ht="13.5" hidden="false" customHeight="true" outlineLevel="0" collapsed="false">
      <c r="B39" s="50" t="s">
        <v>1050</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1051</v>
      </c>
      <c r="C41" s="50"/>
      <c r="D41" s="50"/>
      <c r="E41" s="50"/>
    </row>
    <row r="42" customFormat="false" ht="13.5" hidden="false" customHeight="true" outlineLevel="0" collapsed="false">
      <c r="B42" s="50" t="s">
        <v>1052</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478</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1053</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1054</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1055</v>
      </c>
      <c r="C50" s="56" t="str">
        <f aca="false">""</f>
        <v/>
      </c>
    </row>
    <row r="51" customFormat="false" ht="15" hidden="false" customHeight="true" outlineLevel="0" collapsed="false">
      <c r="B51" s="56" t="s">
        <v>1056</v>
      </c>
      <c r="C51" s="56" t="str">
        <f aca="false">""</f>
        <v/>
      </c>
    </row>
    <row r="52" customFormat="false" ht="15" hidden="false" customHeight="true" outlineLevel="0" collapsed="false">
      <c r="B52" s="56" t="s">
        <v>1057</v>
      </c>
      <c r="C52" s="56" t="str">
        <f aca="false">""</f>
        <v/>
      </c>
    </row>
    <row r="53" customFormat="false" ht="15" hidden="false" customHeight="true" outlineLevel="0" collapsed="false">
      <c r="B53" s="56" t="s">
        <v>1058</v>
      </c>
      <c r="C53" s="56" t="str">
        <f aca="false">""</f>
        <v/>
      </c>
    </row>
    <row r="54" customFormat="false" ht="15" hidden="false" customHeight="true" outlineLevel="0" collapsed="false">
      <c r="B54" s="56" t="s">
        <v>1059</v>
      </c>
      <c r="C54" s="56" t="str">
        <f aca="false">IF(Years="","Choose your years to see this","")</f>
        <v>Choose your years to see this</v>
      </c>
    </row>
    <row r="56" customFormat="false" ht="15" hidden="false" customHeight="true" outlineLevel="0" collapsed="false">
      <c r="B56" s="23" t="s">
        <v>1060</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1061</v>
      </c>
      <c r="E1" s="3" t="s">
        <v>1062</v>
      </c>
    </row>
    <row r="2" customFormat="false" ht="15" hidden="false" customHeight="true" outlineLevel="0" collapsed="false">
      <c r="B2" s="25" t="s">
        <v>1063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221</v>
      </c>
      <c r="D10" s="28" t="s">
        <v>222</v>
      </c>
      <c r="E10" s="28" t="s">
        <v>223</v>
      </c>
      <c r="F10" s="29" t="s">
        <v>224</v>
      </c>
      <c r="G10" s="16"/>
    </row>
    <row r="11" customFormat="false" ht="21.75" hidden="false" customHeight="true" outlineLevel="0" collapsed="false">
      <c r="B11" s="9" t="s">
        <v>225</v>
      </c>
      <c r="C11" s="30"/>
      <c r="D11" s="31" t="s">
        <v>226</v>
      </c>
      <c r="E11" s="32" t="s">
        <v>1065</v>
      </c>
      <c r="F11" s="33" t="n">
        <v>60000</v>
      </c>
      <c r="G11" s="34" t="str">
        <f aca="false">IF(ISBLANK(C11),IF(Fill_Example="Yes",F11,""),C11)</f>
        <v/>
      </c>
    </row>
    <row r="12" customFormat="false" ht="21.75" hidden="false" customHeight="true" outlineLevel="0" collapsed="false">
      <c r="B12" s="9" t="s">
        <v>1066</v>
      </c>
      <c r="C12" s="42"/>
      <c r="D12" s="31" t="s">
        <v>239</v>
      </c>
      <c r="E12" s="39" t="s">
        <v>1067</v>
      </c>
      <c r="F12" s="43" t="n">
        <f aca="false">Set_lifeYears</f>
        <v>15</v>
      </c>
      <c r="G12" s="44" t="n">
        <f aca="false">IF(ISBLANK(C12),F12,C12)</f>
        <v>15</v>
      </c>
    </row>
    <row r="13" customFormat="false" ht="21.75" hidden="false" customHeight="true" outlineLevel="0" collapsed="false">
      <c r="B13" s="9" t="s">
        <v>1068</v>
      </c>
      <c r="C13" s="38"/>
      <c r="D13" s="31" t="s">
        <v>237</v>
      </c>
      <c r="E13" s="39" t="s">
        <v>1069</v>
      </c>
      <c r="F13" s="40" t="n">
        <f aca="false">Set_lifeShare</f>
        <v>0.6</v>
      </c>
      <c r="G13" s="41" t="n">
        <f aca="false">IF(ISBLANK(C13),F13,C13)</f>
        <v>0.6</v>
      </c>
    </row>
    <row r="14" customFormat="false" ht="21.75" hidden="false" customHeight="true" outlineLevel="0" collapsed="false">
      <c r="B14" s="9" t="s">
        <v>417</v>
      </c>
      <c r="C14" s="30"/>
      <c r="D14" s="31" t="s">
        <v>226</v>
      </c>
      <c r="E14" s="32" t="s">
        <v>1070</v>
      </c>
      <c r="F14" s="33" t="n">
        <v>250000</v>
      </c>
      <c r="G14" s="34" t="str">
        <f aca="false">IF(ISBLANK(C14),IF(Fill_Example="Yes",F14,""),C14)</f>
        <v/>
      </c>
    </row>
    <row r="15" customFormat="false" ht="15" hidden="false" customHeight="true" outlineLevel="0" collapsed="false">
      <c r="B15" s="9" t="s">
        <v>1071</v>
      </c>
      <c r="C15" s="35"/>
      <c r="D15" s="31" t="s">
        <v>233</v>
      </c>
      <c r="E15" s="32" t="s">
        <v>1072</v>
      </c>
      <c r="F15" s="36" t="s">
        <v>235</v>
      </c>
      <c r="G15" s="37" t="str">
        <f aca="false">IF(ISBLANK(C15),IF(Fill_Example="Yes",F15,""),C15)</f>
        <v/>
      </c>
    </row>
    <row r="16" customFormat="false" ht="21.75" hidden="false" customHeight="true" outlineLevel="0" collapsed="false">
      <c r="B16" s="9" t="s">
        <v>1073</v>
      </c>
      <c r="C16" s="30"/>
      <c r="D16" s="31" t="s">
        <v>226</v>
      </c>
      <c r="E16" s="32" t="s">
        <v>1074</v>
      </c>
      <c r="F16" s="33" t="n">
        <v>10000</v>
      </c>
      <c r="G16" s="34" t="str">
        <f aca="false">IF(ISBLANK(C16),IF(Debts_Listed_Total&gt;0,Debts_Listed_Total,IF(Fill_Example="Yes",F16,"")),C16)</f>
        <v/>
      </c>
    </row>
    <row r="17" customFormat="false" ht="21.75" hidden="false" customHeight="true" outlineLevel="0" collapsed="false">
      <c r="B17" s="9" t="s">
        <v>1075</v>
      </c>
      <c r="C17" s="30"/>
      <c r="D17" s="31" t="s">
        <v>226</v>
      </c>
      <c r="E17" s="32" t="s">
        <v>1076</v>
      </c>
      <c r="F17" s="33" t="n">
        <v>20000</v>
      </c>
      <c r="G17" s="34" t="str">
        <f aca="false">IF(ISBLANK(C17),IF(Fill_Example="Yes",F17,""),C17)</f>
        <v/>
      </c>
    </row>
    <row r="18" customFormat="false" ht="15" hidden="false" customHeight="true" outlineLevel="0" collapsed="false">
      <c r="B18" s="9" t="s">
        <v>1077</v>
      </c>
      <c r="C18" s="30"/>
      <c r="D18" s="31" t="s">
        <v>226</v>
      </c>
      <c r="E18" s="32" t="s">
        <v>1078</v>
      </c>
      <c r="F18" s="33" t="n">
        <v>100000</v>
      </c>
      <c r="G18" s="34" t="str">
        <f aca="false">IF(ISBLANK(C18),IF(Cover_Existing_Total&gt;0,Cover_Existing_Total,IF(Fill_Example="Yes",F18,"")),C18)</f>
        <v/>
      </c>
    </row>
    <row r="19" customFormat="false" ht="33" hidden="false" customHeight="true" outlineLevel="0" collapsed="false">
      <c r="B19" s="9" t="s">
        <v>1079</v>
      </c>
      <c r="C19" s="86"/>
      <c r="D19" s="31" t="s">
        <v>1080</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417</v>
      </c>
      <c r="C22" s="62" t="str">
        <f aca="false">IF(ISBLANK(Stmt_Balance),Mortgage_Balance,Stmt_Balance)</f>
        <v/>
      </c>
      <c r="D22" s="63" t="str">
        <f aca="false">IF(ISBLANK(Stmt_Balance),"Your figure","From your statement")</f>
        <v>Your figure</v>
      </c>
      <c r="E22" s="53" t="s">
        <v>423</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246</v>
      </c>
      <c r="C25" s="28" t="s">
        <v>247</v>
      </c>
      <c r="D25" s="28" t="s">
        <v>248</v>
      </c>
      <c r="E25" s="28" t="s">
        <v>249</v>
      </c>
      <c r="F25" s="16"/>
      <c r="G25" s="16"/>
    </row>
    <row r="26" customFormat="false" ht="17.25" hidden="false" customHeight="true" outlineLevel="0" collapsed="false">
      <c r="B26" s="25" t="s">
        <v>1081</v>
      </c>
      <c r="C26" s="45" t="str">
        <f aca="false">IF(Need_1&lt;&gt;"",Need_1,MAX(0,Income_Need+Debts_To_Clear-Already_Have))</f>
        <v>Choose your gross yearly income to see this</v>
      </c>
      <c r="D26" s="31" t="s">
        <v>226</v>
      </c>
      <c r="E26" s="46" t="s">
        <v>1082</v>
      </c>
    </row>
    <row r="27" customFormat="false" ht="17.25" hidden="false" customHeight="true" outlineLevel="0" collapsed="false">
      <c r="B27" s="25" t="s">
        <v>1083</v>
      </c>
      <c r="C27" s="45" t="str">
        <f aca="false">IF(Need_2&lt;&gt;"",Need_2,MAX(0,Yearly_Income*Life_Replace-Survivor_Pension*Weeks_Per_Year)*Years_Support)</f>
        <v>Choose your gross yearly income to see this</v>
      </c>
      <c r="D27" s="31" t="s">
        <v>226</v>
      </c>
      <c r="E27" s="46" t="s">
        <v>1084</v>
      </c>
    </row>
    <row r="28" customFormat="false" ht="17.25" hidden="false" customHeight="true" outlineLevel="0" collapsed="false">
      <c r="B28" s="25" t="s">
        <v>1085</v>
      </c>
      <c r="C28" s="45" t="str">
        <f aca="false">IF(Need_3&lt;&gt;"",Need_3,IF(Mortgage_Protected="Yes",0,Used_Mortgage_Balance)+Other_Debts)</f>
        <v>Choose your mortgage protection answer to see this</v>
      </c>
      <c r="D28" s="31" t="s">
        <v>226</v>
      </c>
      <c r="E28" s="46" t="s">
        <v>1086</v>
      </c>
    </row>
    <row r="29" customFormat="false" ht="15" hidden="false" customHeight="true" outlineLevel="0" collapsed="false">
      <c r="B29" s="9" t="s">
        <v>1087</v>
      </c>
      <c r="C29" s="47" t="str">
        <f aca="false">IF(Need_4&lt;&gt;"",Need_4,Existing_Cover+Savings)</f>
        <v>Choose your savings &amp; investments to see this</v>
      </c>
      <c r="D29" s="31" t="s">
        <v>226</v>
      </c>
      <c r="E29" s="46" t="s">
        <v>1088</v>
      </c>
    </row>
    <row r="30" customFormat="false" ht="15" hidden="false" customHeight="true" outlineLevel="0" collapsed="false">
      <c r="B30" s="9" t="s">
        <v>1089</v>
      </c>
      <c r="C30" s="47" t="str">
        <f aca="false">IF(Need_5&lt;&gt;"",Need_5,Yearly_Income*Life_Replace*Years_Support)</f>
        <v>Choose your gross yearly income to see this</v>
      </c>
      <c r="D30" s="31" t="s">
        <v>226</v>
      </c>
      <c r="E30" s="46" t="s">
        <v>1090</v>
      </c>
    </row>
    <row r="32" customFormat="false" ht="15" hidden="false" customHeight="true" outlineLevel="0" collapsed="false">
      <c r="B32" s="15" t="s">
        <v>279</v>
      </c>
      <c r="C32" s="16"/>
      <c r="D32" s="16"/>
      <c r="E32" s="16"/>
      <c r="F32" s="16"/>
      <c r="G32" s="16"/>
    </row>
    <row r="33" customFormat="false" ht="13.5" hidden="false" customHeight="true" outlineLevel="0" collapsed="false">
      <c r="B33" s="50" t="s">
        <v>1091</v>
      </c>
      <c r="C33" s="50"/>
      <c r="D33" s="50"/>
      <c r="E33" s="50"/>
    </row>
    <row r="34" customFormat="false" ht="27.75" hidden="false" customHeight="true" outlineLevel="0" collapsed="false">
      <c r="B34" s="50" t="s">
        <v>1092</v>
      </c>
      <c r="C34" s="50"/>
      <c r="D34" s="50"/>
      <c r="E34" s="50"/>
    </row>
    <row r="35" customFormat="false" ht="13.5" hidden="false" customHeight="true" outlineLevel="0" collapsed="false">
      <c r="B35" s="50" t="s">
        <v>1093</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1094</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1095</v>
      </c>
    </row>
    <row r="42" customFormat="false" ht="15" hidden="false" customHeight="true" outlineLevel="0" collapsed="false">
      <c r="B42" s="9" t="s">
        <v>1096</v>
      </c>
      <c r="C42" s="54" t="str">
        <f aca="false">IF(Need_1&lt;&gt;"",Need_1,Cover_Gap)</f>
        <v>Choose your gross yearly income to see this</v>
      </c>
      <c r="E42" s="53" t="s">
        <v>1097</v>
      </c>
    </row>
    <row r="43" customFormat="false" ht="13.5" hidden="false" customHeight="true" outlineLevel="0" collapsed="false">
      <c r="B43" s="57" t="s">
        <v>1098</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1099</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1100</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1101</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1102</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1103</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1104</v>
      </c>
      <c r="E1" s="3" t="s">
        <v>1105</v>
      </c>
    </row>
    <row r="2" customFormat="false" ht="15" hidden="false" customHeight="true" outlineLevel="0" collapsed="false">
      <c r="B2" s="25" t="s">
        <v>1106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1107</v>
      </c>
    </row>
    <row r="5" customFormat="false" ht="15" hidden="false" customHeight="true" outlineLevel="0" collapsed="false">
      <c r="B5" s="15" t="s">
        <v>220</v>
      </c>
      <c r="C5" s="28" t="s">
        <v>221</v>
      </c>
      <c r="D5" s="28" t="s">
        <v>222</v>
      </c>
      <c r="E5" s="28" t="s">
        <v>223</v>
      </c>
      <c r="F5" s="29" t="s">
        <v>224</v>
      </c>
      <c r="G5" s="16"/>
    </row>
    <row r="6" customFormat="false" ht="21.75" hidden="false" customHeight="true" outlineLevel="0" collapsed="false">
      <c r="B6" s="9" t="s">
        <v>682</v>
      </c>
      <c r="C6" s="30"/>
      <c r="D6" s="31" t="s">
        <v>226</v>
      </c>
      <c r="E6" s="32" t="s">
        <v>683</v>
      </c>
      <c r="F6" s="33" t="n">
        <v>2500</v>
      </c>
      <c r="G6" s="34" t="str">
        <f aca="false">IF(ISBLANK(C6),IF(Fill_Example="Yes",F6,""),C6)</f>
        <v/>
      </c>
    </row>
    <row r="7" customFormat="false" ht="15" hidden="false" customHeight="true" outlineLevel="0" collapsed="false">
      <c r="B7" s="9" t="s">
        <v>1108</v>
      </c>
      <c r="C7" s="42"/>
      <c r="D7" s="31" t="s">
        <v>685</v>
      </c>
      <c r="E7" s="32" t="s">
        <v>1109</v>
      </c>
      <c r="F7" s="43" t="n">
        <v>3</v>
      </c>
      <c r="G7" s="44" t="str">
        <f aca="false">IF(ISBLANK(C7),IF(Fill_Example="Yes",F7,""),C7)</f>
        <v/>
      </c>
    </row>
    <row r="8" customFormat="false" ht="21.75" hidden="false" customHeight="true" outlineLevel="0" collapsed="false">
      <c r="B8" s="9" t="s">
        <v>689</v>
      </c>
      <c r="C8" s="30"/>
      <c r="D8" s="31" t="s">
        <v>226</v>
      </c>
      <c r="E8" s="32" t="s">
        <v>1110</v>
      </c>
      <c r="F8" s="33" t="n">
        <v>8000</v>
      </c>
      <c r="G8" s="34" t="str">
        <f aca="false">IF(ISBLANK(C8),IF(Fill_Example="Yes",F8,""),C8)</f>
        <v/>
      </c>
    </row>
    <row r="9" customFormat="false" ht="21.75" hidden="false" customHeight="true" outlineLevel="0" collapsed="false">
      <c r="B9" s="9" t="s">
        <v>225</v>
      </c>
      <c r="C9" s="30"/>
      <c r="D9" s="31" t="s">
        <v>226</v>
      </c>
      <c r="E9" s="32" t="s">
        <v>1065</v>
      </c>
      <c r="F9" s="33" t="n">
        <v>60000</v>
      </c>
      <c r="G9" s="34" t="str">
        <f aca="false">IF(ISBLANK(C9),IF(Fill_Example="Yes",F9,""),C9)</f>
        <v/>
      </c>
    </row>
    <row r="10" customFormat="false" ht="21.75" hidden="false" customHeight="true" outlineLevel="0" collapsed="false">
      <c r="B10" s="9" t="s">
        <v>1111</v>
      </c>
      <c r="C10" s="86"/>
      <c r="D10" s="31" t="s">
        <v>1080</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246</v>
      </c>
      <c r="C12" s="28" t="s">
        <v>247</v>
      </c>
      <c r="D12" s="28" t="s">
        <v>248</v>
      </c>
      <c r="E12" s="28" t="s">
        <v>249</v>
      </c>
      <c r="F12" s="16"/>
      <c r="G12" s="16"/>
    </row>
    <row r="13" customFormat="false" ht="23.25" hidden="false" customHeight="true" outlineLevel="0" collapsed="false">
      <c r="B13" s="25" t="s">
        <v>1112</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1113</v>
      </c>
    </row>
    <row r="14" customFormat="false" ht="17.25" hidden="false" customHeight="true" outlineLevel="0" collapsed="false">
      <c r="B14" s="25" t="s">
        <v>1114</v>
      </c>
      <c r="C14" s="45" t="str">
        <f aca="false">IF(Need_2&lt;&gt;"",Need_2,MAX(0,Essential_Spending-Illness_Benefit_Month))</f>
        <v>Choose your essential monthly spending to see this</v>
      </c>
      <c r="D14" s="31" t="s">
        <v>226</v>
      </c>
      <c r="E14" s="46" t="s">
        <v>1115</v>
      </c>
    </row>
    <row r="15" customFormat="false" ht="17.25" hidden="false" customHeight="true" outlineLevel="0" collapsed="false">
      <c r="B15" s="25" t="s">
        <v>1116</v>
      </c>
      <c r="C15" s="45" t="str">
        <f aca="false">IF(Need_3&lt;&gt;"",Need_3,MIN(Monthly_Gap,IP_Max))</f>
        <v>Choose your essential monthly spending to see this</v>
      </c>
      <c r="D15" s="31" t="s">
        <v>226</v>
      </c>
      <c r="E15" s="46" t="s">
        <v>1117</v>
      </c>
    </row>
    <row r="16" customFormat="false" ht="15" hidden="false" customHeight="true" outlineLevel="0" collapsed="false">
      <c r="B16" s="9" t="s">
        <v>1118</v>
      </c>
      <c r="C16" s="47" t="str">
        <f aca="false">IF(Need_4&lt;&gt;"",Need_4,Illness_Benefit*Weeks_Per_Year/12)</f>
        <v>Choose your Illness Benefit to see this</v>
      </c>
      <c r="D16" s="31" t="s">
        <v>226</v>
      </c>
      <c r="E16" s="46" t="s">
        <v>1119</v>
      </c>
    </row>
    <row r="17" customFormat="false" ht="23.25" hidden="false" customHeight="true" outlineLevel="0" collapsed="false">
      <c r="B17" s="9" t="s">
        <v>1120</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1121</v>
      </c>
    </row>
    <row r="18" customFormat="false" ht="15" hidden="false" customHeight="true" outlineLevel="0" collapsed="false">
      <c r="B18" s="9" t="s">
        <v>1122</v>
      </c>
      <c r="C18" s="47" t="str">
        <f aca="false">IF(Need_6&lt;&gt;"",Need_6,MAX(0,Gross_Income*IP_Max_Pct/12-Illness_Benefit_Month))</f>
        <v>Choose your gross yearly income to see this</v>
      </c>
      <c r="D18" s="31" t="s">
        <v>226</v>
      </c>
      <c r="E18" s="46" t="s">
        <v>1123</v>
      </c>
    </row>
    <row r="20" customFormat="false" ht="15" hidden="false" customHeight="true" outlineLevel="0" collapsed="false">
      <c r="B20" s="15" t="s">
        <v>279</v>
      </c>
      <c r="C20" s="16"/>
      <c r="D20" s="16"/>
      <c r="E20" s="16"/>
      <c r="F20" s="16"/>
      <c r="G20" s="16"/>
    </row>
    <row r="21" customFormat="false" ht="27.75" hidden="false" customHeight="true" outlineLevel="0" collapsed="false">
      <c r="B21" s="50" t="s">
        <v>1124</v>
      </c>
      <c r="C21" s="50"/>
      <c r="D21" s="50"/>
      <c r="E21" s="50"/>
    </row>
    <row r="22" customFormat="false" ht="13.5" hidden="false" customHeight="true" outlineLevel="0" collapsed="false">
      <c r="B22" s="50" t="s">
        <v>1125</v>
      </c>
      <c r="C22" s="50"/>
      <c r="D22" s="50"/>
      <c r="E22" s="50"/>
    </row>
    <row r="23" customFormat="false" ht="13.5" hidden="false" customHeight="true" outlineLevel="0" collapsed="false">
      <c r="B23" s="50" t="s">
        <v>1126</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1127</v>
      </c>
      <c r="C25" s="50"/>
      <c r="D25" s="50"/>
      <c r="E25" s="50"/>
    </row>
    <row r="26" customFormat="false" ht="13.5" hidden="false" customHeight="true" outlineLevel="0" collapsed="false">
      <c r="B26" s="50" t="s">
        <v>1128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1129</v>
      </c>
    </row>
    <row r="30" customFormat="false" ht="15" hidden="false" customHeight="true" outlineLevel="0" collapsed="false">
      <c r="B30" s="9" t="s">
        <v>1130</v>
      </c>
      <c r="C30" s="54" t="str">
        <f aca="false">IF(Need_3&lt;&gt;"",Need_3,IP_Needed)</f>
        <v>Choose your essential monthly spending to see this</v>
      </c>
      <c r="E30" s="53" t="s">
        <v>1131</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1132</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1133</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1134</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1135</v>
      </c>
      <c r="C36" s="56" t="str">
        <f aca="false">IF(Illness_Benefit="","Choose your Illness Benefit to see this","")</f>
        <v>Choose your Illness Benefit to see this</v>
      </c>
    </row>
    <row r="37" customFormat="false" ht="15" hidden="false" customHeight="true" outlineLevel="0" collapsed="false">
      <c r="B37" s="56" t="s">
        <v>1136</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1137</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1138</v>
      </c>
      <c r="E1" s="3" t="s">
        <v>1139</v>
      </c>
    </row>
    <row r="2" customFormat="false" ht="15" hidden="false" customHeight="true" outlineLevel="0" collapsed="false">
      <c r="B2" s="25" t="s">
        <v>1140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1141</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315</v>
      </c>
      <c r="C8" s="59"/>
      <c r="D8" s="31" t="s">
        <v>237</v>
      </c>
      <c r="E8" s="32" t="s">
        <v>316</v>
      </c>
      <c r="G8" s="56" t="s">
        <v>314</v>
      </c>
    </row>
    <row r="9" customFormat="false" ht="15" hidden="false" customHeight="true" outlineLevel="0" collapsed="false">
      <c r="B9" s="9" t="s">
        <v>317</v>
      </c>
      <c r="C9" s="60"/>
      <c r="D9" s="31" t="s">
        <v>239</v>
      </c>
      <c r="E9" s="32" t="s">
        <v>318</v>
      </c>
      <c r="G9" s="56" t="s">
        <v>314</v>
      </c>
    </row>
    <row r="10" customFormat="false" ht="15" hidden="false" customHeight="true" outlineLevel="0" collapsed="false">
      <c r="B10" s="9" t="s">
        <v>319</v>
      </c>
      <c r="C10" s="58"/>
      <c r="D10" s="31" t="s">
        <v>226</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221</v>
      </c>
      <c r="D13" s="28" t="s">
        <v>222</v>
      </c>
      <c r="E13" s="28" t="s">
        <v>223</v>
      </c>
      <c r="F13" s="29" t="s">
        <v>224</v>
      </c>
      <c r="G13" s="16"/>
    </row>
    <row r="14" customFormat="false" ht="21.75" hidden="false" customHeight="true" outlineLevel="0" collapsed="false">
      <c r="B14" s="9" t="s">
        <v>417</v>
      </c>
      <c r="C14" s="30"/>
      <c r="D14" s="31" t="s">
        <v>226</v>
      </c>
      <c r="E14" s="32" t="s">
        <v>1142</v>
      </c>
      <c r="F14" s="33" t="n">
        <v>250000</v>
      </c>
      <c r="G14" s="34" t="str">
        <f aca="false">IF(ISBLANK(C14),IF(Fill_Example="Yes",F14,""),C14)</f>
        <v/>
      </c>
    </row>
    <row r="15" customFormat="false" ht="21.75" hidden="false" customHeight="true" outlineLevel="0" collapsed="false">
      <c r="B15" s="9" t="s">
        <v>315</v>
      </c>
      <c r="C15" s="38"/>
      <c r="D15" s="31" t="s">
        <v>237</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419</v>
      </c>
      <c r="C16" s="42"/>
      <c r="D16" s="31" t="s">
        <v>239</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226</v>
      </c>
      <c r="E17" s="32" t="s">
        <v>1143</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417</v>
      </c>
      <c r="C20" s="62" t="str">
        <f aca="false">IF(ISBLANK(Stmt_Balance),Mortgage_Balance,Stmt_Balance)</f>
        <v/>
      </c>
      <c r="D20" s="63" t="str">
        <f aca="false">IF(ISBLANK(Stmt_Balance),"Your figure","From your statement")</f>
        <v>Your figure</v>
      </c>
      <c r="E20" s="53" t="s">
        <v>423</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419</v>
      </c>
      <c r="C22" s="65" t="str">
        <f aca="false">IF(ISBLANK(Stmt_Term),Years_Left,Stmt_Term)</f>
        <v/>
      </c>
      <c r="D22" s="63" t="str">
        <f aca="false">IF(ISBLANK(Stmt_Term),"Your figure","From your statement")</f>
        <v>Your figure</v>
      </c>
      <c r="E22" s="53" t="s">
        <v>424</v>
      </c>
    </row>
    <row r="23" customFormat="false" ht="15" hidden="false" customHeight="true" outlineLevel="0" collapsed="false">
      <c r="B23" s="9" t="s">
        <v>337</v>
      </c>
      <c r="C23" s="62" t="n">
        <f aca="false">IF(ISBLANK(Stmt_Repayment),Actual_Repayment,Stmt_Repayment)</f>
        <v>0</v>
      </c>
      <c r="D23" s="63"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246</v>
      </c>
      <c r="C26" s="28" t="s">
        <v>247</v>
      </c>
      <c r="D26" s="28" t="s">
        <v>248</v>
      </c>
      <c r="E26" s="28" t="s">
        <v>249</v>
      </c>
      <c r="F26" s="16"/>
      <c r="G26" s="16"/>
    </row>
    <row r="27" customFormat="false" ht="17.25" hidden="false" customHeight="true" outlineLevel="0" collapsed="false">
      <c r="B27" s="25" t="s">
        <v>1144</v>
      </c>
      <c r="C27" s="45" t="str">
        <f aca="false">IF(Need_1&lt;&gt;"",Need_1,Used_Mortgage_Balance)</f>
        <v>Choose your mortgage balance to see this</v>
      </c>
      <c r="D27" s="31" t="s">
        <v>226</v>
      </c>
      <c r="E27" s="46" t="s">
        <v>1145</v>
      </c>
    </row>
    <row r="28" customFormat="false" ht="15" hidden="false" customHeight="true" outlineLevel="0" collapsed="false">
      <c r="B28" s="76" t="s">
        <v>772</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1146</v>
      </c>
      <c r="C29" s="45" t="str">
        <f aca="false">IF(Need_2&lt;&gt;"",Need_2,IF(Warning&lt;&gt;"","—",MAX(0,-FV(Monthly_Rate,MP_Year_1*12,-Repayment,Used_Mortgage_Balance))))</f>
        <v>Choose your mortgage balance to see this</v>
      </c>
      <c r="D29" s="31" t="s">
        <v>226</v>
      </c>
      <c r="E29" s="46" t="s">
        <v>1147</v>
      </c>
    </row>
    <row r="30" customFormat="false" ht="17.25" hidden="false" customHeight="true" outlineLevel="0" collapsed="false">
      <c r="B30" s="25" t="s">
        <v>1148</v>
      </c>
      <c r="C30" s="45" t="str">
        <f aca="false">IF(Need_2&lt;&gt;"",Need_2,IF(Warning&lt;&gt;"","—",MAX(0,-FV(Monthly_Rate,MP_Year_2*12,-Repayment,Used_Mortgage_Balance))))</f>
        <v>Choose your mortgage balance to see this</v>
      </c>
      <c r="D30" s="31" t="s">
        <v>226</v>
      </c>
      <c r="E30" s="46" t="s">
        <v>1149</v>
      </c>
    </row>
    <row r="31" customFormat="false" ht="17.25" hidden="false" customHeight="true" outlineLevel="0" collapsed="false">
      <c r="B31" s="25" t="s">
        <v>1150</v>
      </c>
      <c r="C31" s="45" t="str">
        <f aca="false">IF(Need_2&lt;&gt;"",Need_2,IF(Warning&lt;&gt;"","—",MAX(0,-FV(Monthly_Rate,MP_Year_3*12,-Repayment,Used_Mortgage_Balance))))</f>
        <v>Choose your mortgage balance to see this</v>
      </c>
      <c r="D31" s="31" t="s">
        <v>226</v>
      </c>
      <c r="E31" s="46" t="s">
        <v>1151</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1152</v>
      </c>
      <c r="C33" s="47" t="str">
        <f aca="false">IF(Need_2&lt;&gt;"",Need_2,IF(Used_Actual_Repayment&gt;0,Used_Actual_Repayment,PMT(Monthly_Rate,Used_Years_Left*12,-Used_Mortgage_Balance)))</f>
        <v>Choose your mortgage balance to see this</v>
      </c>
      <c r="D33" s="31" t="s">
        <v>226</v>
      </c>
      <c r="E33" s="46" t="s">
        <v>434</v>
      </c>
    </row>
    <row r="35" customFormat="false" ht="15" hidden="false" customHeight="true" outlineLevel="0" collapsed="false">
      <c r="B35" s="15" t="s">
        <v>279</v>
      </c>
      <c r="C35" s="16"/>
      <c r="D35" s="16"/>
      <c r="E35" s="16"/>
      <c r="F35" s="16"/>
      <c r="G35" s="16"/>
    </row>
    <row r="36" customFormat="false" ht="13.5" hidden="false" customHeight="true" outlineLevel="0" collapsed="false">
      <c r="B36" s="50" t="s">
        <v>1153</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478</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1155</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454</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1156</v>
      </c>
      <c r="E1" s="3" t="s">
        <v>1157</v>
      </c>
    </row>
    <row r="2" customFormat="false" ht="15" hidden="false" customHeight="true" outlineLevel="0" collapsed="false">
      <c r="B2" s="25" t="s">
        <v>1158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1159</v>
      </c>
    </row>
    <row r="5" customFormat="false" ht="15" hidden="false" customHeight="true" outlineLevel="0" collapsed="false">
      <c r="B5" s="15" t="s">
        <v>310</v>
      </c>
      <c r="C5" s="16"/>
      <c r="D5" s="16"/>
      <c r="E5" s="16"/>
      <c r="F5" s="16"/>
      <c r="G5" s="16"/>
    </row>
    <row r="6" customFormat="false" ht="27.75" hidden="false" customHeight="true" outlineLevel="0" collapsed="false">
      <c r="B6" s="57" t="s">
        <v>1160</v>
      </c>
      <c r="C6" s="57"/>
      <c r="D6" s="57"/>
      <c r="E6" s="57"/>
    </row>
    <row r="7" customFormat="false" ht="15" hidden="false" customHeight="true" outlineLevel="0" collapsed="false">
      <c r="B7" s="9" t="s">
        <v>312</v>
      </c>
      <c r="C7" s="58"/>
      <c r="D7" s="31" t="s">
        <v>226</v>
      </c>
      <c r="E7" s="32" t="s">
        <v>313</v>
      </c>
      <c r="G7" s="56" t="s">
        <v>314</v>
      </c>
    </row>
    <row r="8" customFormat="false" ht="15" hidden="false" customHeight="true" outlineLevel="0" collapsed="false">
      <c r="B8" s="9" t="s">
        <v>1161</v>
      </c>
      <c r="C8" s="58"/>
      <c r="D8" s="31" t="s">
        <v>226</v>
      </c>
      <c r="E8" s="32" t="s">
        <v>637</v>
      </c>
      <c r="G8" s="56" t="s">
        <v>314</v>
      </c>
    </row>
    <row r="9" customFormat="false" ht="15" hidden="false" customHeight="true" outlineLevel="0" collapsed="false">
      <c r="B9" s="9" t="s">
        <v>713</v>
      </c>
      <c r="C9" s="58"/>
      <c r="D9" s="31" t="s">
        <v>226</v>
      </c>
      <c r="E9" s="32" t="s">
        <v>714</v>
      </c>
      <c r="G9" s="56" t="s">
        <v>314</v>
      </c>
    </row>
    <row r="10" customFormat="false" ht="15" hidden="false" customHeight="true" outlineLevel="0" collapsed="false">
      <c r="B10" s="9" t="s">
        <v>636</v>
      </c>
      <c r="C10" s="58"/>
      <c r="D10" s="31" t="s">
        <v>226</v>
      </c>
      <c r="E10" s="32" t="s">
        <v>637</v>
      </c>
      <c r="G10" s="56" t="s">
        <v>314</v>
      </c>
    </row>
    <row r="12" customFormat="false" ht="15" hidden="false" customHeight="true" outlineLevel="0" collapsed="false">
      <c r="B12" s="15" t="s">
        <v>324</v>
      </c>
      <c r="C12" s="28" t="s">
        <v>221</v>
      </c>
      <c r="D12" s="28" t="s">
        <v>222</v>
      </c>
      <c r="E12" s="28" t="s">
        <v>223</v>
      </c>
      <c r="F12" s="29" t="s">
        <v>224</v>
      </c>
      <c r="G12" s="16"/>
    </row>
    <row r="13" customFormat="false" ht="21.75" hidden="false" customHeight="true" outlineLevel="0" collapsed="false">
      <c r="B13" s="9" t="s">
        <v>1162</v>
      </c>
      <c r="C13" s="30"/>
      <c r="D13" s="31" t="s">
        <v>226</v>
      </c>
      <c r="E13" s="32" t="s">
        <v>1163</v>
      </c>
      <c r="F13" s="33" t="n">
        <v>15000</v>
      </c>
      <c r="G13" s="34" t="str">
        <f aca="false">IF(ISBLANK(C13),IF(Fill_Example="Yes",F13,""),C13)</f>
        <v/>
      </c>
    </row>
    <row r="14" customFormat="false" ht="21.75" hidden="false" customHeight="true" outlineLevel="0" collapsed="false">
      <c r="B14" s="9" t="s">
        <v>56</v>
      </c>
      <c r="C14" s="30"/>
      <c r="D14" s="31" t="s">
        <v>226</v>
      </c>
      <c r="E14" s="32" t="s">
        <v>1164</v>
      </c>
      <c r="F14" s="33" t="n">
        <v>10000</v>
      </c>
      <c r="G14" s="34" t="str">
        <f aca="false">IF(ISBLANK(C14),IF(Fill_Example="Yes",F14,""),C14)</f>
        <v/>
      </c>
    </row>
    <row r="15" customFormat="false" ht="21.75" hidden="false" customHeight="true" outlineLevel="0" collapsed="false">
      <c r="B15" s="9" t="s">
        <v>1165</v>
      </c>
      <c r="C15" s="30"/>
      <c r="D15" s="31" t="s">
        <v>226</v>
      </c>
      <c r="E15" s="32" t="s">
        <v>1166</v>
      </c>
      <c r="F15" s="33" t="n">
        <v>60000</v>
      </c>
      <c r="G15" s="34" t="str">
        <f aca="false">IF(ISBLANK(C15),IF(Pens_Value_Total&gt;0,Pens_Value_Total,IF(Fill_Example="Yes",F15,"")),C15)</f>
        <v/>
      </c>
    </row>
    <row r="16" customFormat="false" ht="21.75" hidden="false" customHeight="true" outlineLevel="0" collapsed="false">
      <c r="B16" s="9" t="s">
        <v>1167</v>
      </c>
      <c r="C16" s="30"/>
      <c r="D16" s="31" t="s">
        <v>226</v>
      </c>
      <c r="E16" s="32" t="s">
        <v>1168</v>
      </c>
      <c r="F16" s="33" t="n">
        <v>350000</v>
      </c>
      <c r="G16" s="34" t="str">
        <f aca="false">IF(ISBLANK(C16),IF(Fill_Example="Yes",F16,""),C16)</f>
        <v/>
      </c>
    </row>
    <row r="17" customFormat="false" ht="21.75" hidden="false" customHeight="true" outlineLevel="0" collapsed="false">
      <c r="B17" s="9" t="s">
        <v>532</v>
      </c>
      <c r="C17" s="30"/>
      <c r="D17" s="31" t="s">
        <v>226</v>
      </c>
      <c r="E17" s="32" t="s">
        <v>1169</v>
      </c>
      <c r="F17" s="33" t="n">
        <v>250000</v>
      </c>
      <c r="G17" s="34" t="str">
        <f aca="false">IF(ISBLANK(C17),IF(Fill_Example="Yes",F17,""),C17)</f>
        <v/>
      </c>
    </row>
    <row r="18" customFormat="false" ht="21.75" hidden="false" customHeight="true" outlineLevel="0" collapsed="false">
      <c r="B18" s="9" t="s">
        <v>1170</v>
      </c>
      <c r="C18" s="30"/>
      <c r="D18" s="31" t="s">
        <v>226</v>
      </c>
      <c r="E18" s="32" t="s">
        <v>1171</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1172</v>
      </c>
    </row>
    <row r="22" customFormat="false" ht="15" hidden="false" customHeight="true" outlineLevel="0" collapsed="false">
      <c r="B22" s="9" t="s">
        <v>1167</v>
      </c>
      <c r="C22" s="62" t="str">
        <f aca="false">IF(ISBLANK(Stmt_Property_Value),Property,Stmt_Property_Value)</f>
        <v/>
      </c>
      <c r="D22" s="63" t="str">
        <f aca="false">IF(ISBLANK(Stmt_Property_Value),"Your figure","From your statement")</f>
        <v>Your figure</v>
      </c>
      <c r="E22" s="53" t="s">
        <v>1173</v>
      </c>
    </row>
    <row r="23" customFormat="false" ht="15" hidden="false" customHeight="true" outlineLevel="0" collapsed="false">
      <c r="B23" s="9" t="s">
        <v>1165</v>
      </c>
      <c r="C23" s="62" t="str">
        <f aca="false">IF(ISBLANK(Stmt_Pension_Value),Pensions,Stmt_Pension_Value)</f>
        <v/>
      </c>
      <c r="D23" s="63" t="str">
        <f aca="false">IF(ISBLANK(Stmt_Pension_Value),"Your figure","From your statement")</f>
        <v>Your figure</v>
      </c>
      <c r="E23" s="53" t="s">
        <v>1174</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1175</v>
      </c>
    </row>
    <row r="26" customFormat="false" ht="15" hidden="false" customHeight="true" outlineLevel="0" collapsed="false">
      <c r="B26" s="15" t="s">
        <v>246</v>
      </c>
      <c r="C26" s="28" t="s">
        <v>247</v>
      </c>
      <c r="D26" s="28" t="s">
        <v>248</v>
      </c>
      <c r="E26" s="28" t="s">
        <v>249</v>
      </c>
      <c r="F26" s="16"/>
      <c r="G26" s="16"/>
    </row>
    <row r="27" customFormat="false" ht="17.25" hidden="false" customHeight="true" outlineLevel="0" collapsed="false">
      <c r="B27" s="25" t="s">
        <v>1176</v>
      </c>
      <c r="C27" s="45" t="str">
        <f aca="false">IF(Need_1&lt;&gt;"",Need_1,You_Own-You_Owe)</f>
        <v>Choose your savings to see this</v>
      </c>
      <c r="D27" s="31" t="s">
        <v>226</v>
      </c>
      <c r="E27" s="46" t="s">
        <v>1177</v>
      </c>
    </row>
    <row r="28" customFormat="false" ht="17.25" hidden="false" customHeight="true" outlineLevel="0" collapsed="false">
      <c r="B28" s="25" t="s">
        <v>1178</v>
      </c>
      <c r="C28" s="45" t="str">
        <f aca="false">IF(Need_2&lt;&gt;"",Need_2,Savings+Used_Investments+Used_Pensions+Used_Property)</f>
        <v>Choose your savings to see this</v>
      </c>
      <c r="D28" s="31" t="s">
        <v>226</v>
      </c>
      <c r="E28" s="46" t="s">
        <v>1179</v>
      </c>
    </row>
    <row r="29" customFormat="false" ht="17.25" hidden="false" customHeight="true" outlineLevel="0" collapsed="false">
      <c r="B29" s="25" t="s">
        <v>1180</v>
      </c>
      <c r="C29" s="45" t="str">
        <f aca="false">IF(Need_3&lt;&gt;"",Need_3,Used_Mortgage+Other_Loans)</f>
        <v>Choose your other loans to see this</v>
      </c>
      <c r="D29" s="31" t="s">
        <v>226</v>
      </c>
      <c r="E29" s="46" t="s">
        <v>1181</v>
      </c>
    </row>
    <row r="31" customFormat="false" ht="15" hidden="false" customHeight="true" outlineLevel="0" collapsed="false">
      <c r="B31" s="15" t="s">
        <v>279</v>
      </c>
      <c r="C31" s="16"/>
      <c r="D31" s="16"/>
      <c r="E31" s="16"/>
      <c r="F31" s="16"/>
      <c r="G31" s="16"/>
    </row>
    <row r="32" customFormat="false" ht="13.5" hidden="false" customHeight="true" outlineLevel="0" collapsed="false">
      <c r="B32" s="50" t="s">
        <v>1182</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1183</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478</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1184</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1185</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1186</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1187</v>
      </c>
      <c r="E1" s="3" t="s">
        <v>1188</v>
      </c>
    </row>
    <row r="2" customFormat="false" ht="15" hidden="false" customHeight="true" outlineLevel="0" collapsed="false">
      <c r="B2" s="25" t="s">
        <v>1189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1190</v>
      </c>
    </row>
    <row r="5" customFormat="false" ht="15" hidden="false" customHeight="true" outlineLevel="0" collapsed="false">
      <c r="B5" s="15" t="s">
        <v>220</v>
      </c>
      <c r="C5" s="28" t="s">
        <v>221</v>
      </c>
      <c r="D5" s="28" t="s">
        <v>222</v>
      </c>
      <c r="E5" s="28" t="s">
        <v>223</v>
      </c>
      <c r="F5" s="29" t="s">
        <v>224</v>
      </c>
      <c r="G5" s="16"/>
    </row>
    <row r="6" customFormat="false" ht="15" hidden="false" customHeight="true" outlineLevel="0" collapsed="false">
      <c r="B6" s="9" t="s">
        <v>1191</v>
      </c>
      <c r="C6" s="30"/>
      <c r="D6" s="31" t="s">
        <v>226</v>
      </c>
      <c r="E6" s="32" t="s">
        <v>1192</v>
      </c>
      <c r="F6" s="33" t="n">
        <v>3500</v>
      </c>
      <c r="G6" s="34" t="str">
        <f aca="false">IF(ISBLANK(C6),IF(Fill_Example="Yes",F6,""),C6)</f>
        <v/>
      </c>
    </row>
    <row r="7" customFormat="false" ht="21.75" hidden="false" customHeight="true" outlineLevel="0" collapsed="false">
      <c r="B7" s="9" t="s">
        <v>1193</v>
      </c>
      <c r="C7" s="30"/>
      <c r="D7" s="31" t="s">
        <v>226</v>
      </c>
      <c r="E7" s="32" t="s">
        <v>1194</v>
      </c>
      <c r="F7" s="33" t="n">
        <v>2000</v>
      </c>
      <c r="G7" s="34" t="str">
        <f aca="false">IF(ISBLANK(C7),IF(Fill_Example="Yes",F7,""),C7)</f>
        <v/>
      </c>
    </row>
    <row r="8" customFormat="false" ht="15" hidden="false" customHeight="true" outlineLevel="0" collapsed="false">
      <c r="B8" s="9" t="s">
        <v>1195</v>
      </c>
      <c r="C8" s="30"/>
      <c r="D8" s="31" t="s">
        <v>226</v>
      </c>
      <c r="E8" s="32" t="s">
        <v>1196</v>
      </c>
      <c r="F8" s="33" t="n">
        <v>800</v>
      </c>
      <c r="G8" s="34" t="str">
        <f aca="false">IF(ISBLANK(C8),IF(Fill_Example="Yes",F8,""),C8)</f>
        <v/>
      </c>
    </row>
    <row r="9" customFormat="false" ht="21.75" hidden="false" customHeight="true" outlineLevel="0" collapsed="false">
      <c r="B9" s="9" t="s">
        <v>1197</v>
      </c>
      <c r="C9" s="30"/>
      <c r="D9" s="31" t="s">
        <v>226</v>
      </c>
      <c r="E9" s="32" t="s">
        <v>1198</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1199</v>
      </c>
      <c r="C12" s="62" t="str">
        <f aca="false">IF(Take_Home="",TE_Take_Home_Month,Take_Home)</f>
        <v>Choose your tax status to see this</v>
      </c>
      <c r="D12" s="63" t="str">
        <f aca="false">IF(Take_Home="","From the Tax engine","Your figure")</f>
        <v>From the Tax engine</v>
      </c>
      <c r="E12" s="53" t="s">
        <v>1200</v>
      </c>
    </row>
    <row r="14" customFormat="false" ht="15" hidden="false" customHeight="true" outlineLevel="0" collapsed="false">
      <c r="B14" s="15" t="s">
        <v>246</v>
      </c>
      <c r="C14" s="28" t="s">
        <v>247</v>
      </c>
      <c r="D14" s="28" t="s">
        <v>248</v>
      </c>
      <c r="E14" s="28" t="s">
        <v>249</v>
      </c>
      <c r="F14" s="16"/>
      <c r="G14" s="16"/>
    </row>
    <row r="15" customFormat="false" ht="17.25" hidden="false" customHeight="true" outlineLevel="0" collapsed="false">
      <c r="B15" s="25" t="s">
        <v>1201</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1202</v>
      </c>
    </row>
    <row r="16" customFormat="false" ht="17.25" hidden="false" customHeight="true" outlineLevel="0" collapsed="false">
      <c r="B16" s="25" t="s">
        <v>1203</v>
      </c>
      <c r="C16" s="45" t="str">
        <f aca="false">IF(Need_2&lt;&gt;"",Need_2,Essentials+Lifestyle+Debt_Repayments)</f>
        <v>Choose your essentials to see this</v>
      </c>
      <c r="D16" s="31" t="s">
        <v>226</v>
      </c>
      <c r="E16" s="46" t="s">
        <v>1204</v>
      </c>
    </row>
    <row r="18" customFormat="false" ht="15" hidden="false" customHeight="true" outlineLevel="0" collapsed="false">
      <c r="B18" s="15" t="s">
        <v>279</v>
      </c>
      <c r="C18" s="16"/>
      <c r="D18" s="16"/>
      <c r="E18" s="16"/>
      <c r="F18" s="16"/>
      <c r="G18" s="16"/>
    </row>
    <row r="19" customFormat="false" ht="13.5" hidden="false" customHeight="true" outlineLevel="0" collapsed="false">
      <c r="B19" s="50" t="s">
        <v>1205</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1206</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1207</v>
      </c>
    </row>
    <row r="25" customFormat="false" ht="15" hidden="false" customHeight="true" outlineLevel="0" collapsed="false">
      <c r="B25" s="9" t="s">
        <v>1208</v>
      </c>
      <c r="C25" s="54" t="str">
        <f aca="false">IF(Need_1&lt;&gt;"",Need_1,IF(Surplus&gt;0,ROUND(Surplus*12,0),"—"))</f>
        <v>Choose your essentials to see this</v>
      </c>
      <c r="E25" s="53" t="s">
        <v>1209</v>
      </c>
    </row>
    <row r="26" customFormat="false" ht="15" hidden="false" customHeight="true" outlineLevel="0" collapsed="false">
      <c r="B26" s="9" t="s">
        <v>295</v>
      </c>
      <c r="C26" s="55" t="str">
        <f aca="false">IF(Need_1&lt;&gt;"",Need_1,IF(Surplus&gt;0,1,"—"))</f>
        <v>Choose your essentials to see this</v>
      </c>
      <c r="E26" s="53" t="s">
        <v>1210</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1211</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1212</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1213</v>
      </c>
      <c r="E1" s="3" t="s">
        <v>1214</v>
      </c>
    </row>
    <row r="2" customFormat="false" ht="15" hidden="false" customHeight="true" outlineLevel="0" collapsed="false">
      <c r="B2" s="25" t="s">
        <v>1215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1216</v>
      </c>
    </row>
    <row r="5" customFormat="false" ht="15" hidden="false" customHeight="true" outlineLevel="0" collapsed="false">
      <c r="B5" s="15" t="s">
        <v>220</v>
      </c>
      <c r="C5" s="28" t="s">
        <v>221</v>
      </c>
      <c r="D5" s="28" t="s">
        <v>222</v>
      </c>
      <c r="E5" s="28" t="s">
        <v>223</v>
      </c>
      <c r="F5" s="29" t="s">
        <v>224</v>
      </c>
      <c r="G5" s="16"/>
    </row>
    <row r="6" customFormat="false" ht="15" hidden="false" customHeight="true" outlineLevel="0" collapsed="false">
      <c r="B6" s="9" t="s">
        <v>1191</v>
      </c>
      <c r="C6" s="30"/>
      <c r="D6" s="31" t="s">
        <v>226</v>
      </c>
      <c r="E6" s="32" t="s">
        <v>1192</v>
      </c>
      <c r="F6" s="33" t="n">
        <v>3500</v>
      </c>
      <c r="G6" s="34" t="str">
        <f aca="false">IF(ISBLANK(C6),IF(Fill_Example="Yes",F6,""),C6)</f>
        <v/>
      </c>
    </row>
    <row r="7" customFormat="false" ht="21.75" hidden="false" customHeight="true" outlineLevel="0" collapsed="false">
      <c r="B7" s="9" t="s">
        <v>1217</v>
      </c>
      <c r="C7" s="38"/>
      <c r="D7" s="31" t="s">
        <v>237</v>
      </c>
      <c r="E7" s="39" t="s">
        <v>1218</v>
      </c>
      <c r="F7" s="40" t="n">
        <f aca="false">Set_budget_1</f>
        <v>0.5</v>
      </c>
      <c r="G7" s="41" t="n">
        <f aca="false">IF(ISBLANK(C7),F7,C7)</f>
        <v>0.5</v>
      </c>
    </row>
    <row r="8" customFormat="false" ht="21.75" hidden="false" customHeight="true" outlineLevel="0" collapsed="false">
      <c r="B8" s="9" t="s">
        <v>1219</v>
      </c>
      <c r="C8" s="38"/>
      <c r="D8" s="31" t="s">
        <v>237</v>
      </c>
      <c r="E8" s="39" t="s">
        <v>1220</v>
      </c>
      <c r="F8" s="40" t="n">
        <f aca="false">Set_budget_2</f>
        <v>0.3</v>
      </c>
      <c r="G8" s="41" t="n">
        <f aca="false">IF(ISBLANK(C8),F8,C8)</f>
        <v>0.3</v>
      </c>
    </row>
    <row r="9" customFormat="false" ht="21.75" hidden="false" customHeight="true" outlineLevel="0" collapsed="false">
      <c r="B9" s="9" t="s">
        <v>1221</v>
      </c>
      <c r="C9" s="38"/>
      <c r="D9" s="31" t="s">
        <v>237</v>
      </c>
      <c r="E9" s="39" t="s">
        <v>1222</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1199</v>
      </c>
      <c r="C12" s="62" t="str">
        <f aca="false">IF(Take_Home="",TE_Take_Home_Month,Take_Home)</f>
        <v>Choose your tax status to see this</v>
      </c>
      <c r="D12" s="63" t="str">
        <f aca="false">IF(Take_Home="","From the Tax engine","Your figure")</f>
        <v>From the Tax engine</v>
      </c>
      <c r="E12" s="53" t="s">
        <v>1200</v>
      </c>
    </row>
    <row r="14" customFormat="false" ht="15" hidden="false" customHeight="true" outlineLevel="0" collapsed="false">
      <c r="B14" s="15" t="s">
        <v>246</v>
      </c>
      <c r="C14" s="28" t="s">
        <v>247</v>
      </c>
      <c r="D14" s="28" t="s">
        <v>248</v>
      </c>
      <c r="E14" s="28" t="s">
        <v>249</v>
      </c>
      <c r="F14" s="16"/>
      <c r="G14" s="16"/>
    </row>
    <row r="15" customFormat="false" ht="15" hidden="false" customHeight="true" outlineLevel="0" collapsed="false">
      <c r="B15" s="76" t="s">
        <v>772</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1223</v>
      </c>
      <c r="C16" s="45" t="str">
        <f aca="false">IF(Need_2&lt;&gt;"",Need_2,Used_Take_Home*Budget_Save)</f>
        <v>Choose your tax status to see this</v>
      </c>
      <c r="D16" s="31" t="s">
        <v>226</v>
      </c>
      <c r="E16" s="46" t="s">
        <v>1224</v>
      </c>
    </row>
    <row r="17" customFormat="false" ht="17.25" hidden="false" customHeight="true" outlineLevel="0" collapsed="false">
      <c r="B17" s="25" t="s">
        <v>1225</v>
      </c>
      <c r="C17" s="45" t="str">
        <f aca="false">IF(Need_3&lt;&gt;"",Need_3,Used_Take_Home*Budget_Needs)</f>
        <v>Choose your tax status to see this</v>
      </c>
      <c r="D17" s="31" t="s">
        <v>226</v>
      </c>
      <c r="E17" s="46" t="s">
        <v>1226</v>
      </c>
    </row>
    <row r="18" customFormat="false" ht="17.25" hidden="false" customHeight="true" outlineLevel="0" collapsed="false">
      <c r="B18" s="25" t="s">
        <v>1227</v>
      </c>
      <c r="C18" s="45" t="str">
        <f aca="false">IF(Need_4&lt;&gt;"",Need_4,Used_Take_Home*Budget_Wants)</f>
        <v>Choose your tax status to see this</v>
      </c>
      <c r="D18" s="31" t="s">
        <v>226</v>
      </c>
      <c r="E18" s="46" t="s">
        <v>1228</v>
      </c>
    </row>
    <row r="20" customFormat="false" ht="15" hidden="false" customHeight="true" outlineLevel="0" collapsed="false">
      <c r="B20" s="15" t="s">
        <v>279</v>
      </c>
      <c r="C20" s="16"/>
      <c r="D20" s="16"/>
      <c r="E20" s="16"/>
      <c r="F20" s="16"/>
      <c r="G20" s="16"/>
    </row>
    <row r="21" customFormat="false" ht="13.5" hidden="false" customHeight="true" outlineLevel="0" collapsed="false">
      <c r="B21" s="50" t="s">
        <v>1229</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1230</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478</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1231</v>
      </c>
      <c r="C29" s="56" t="str">
        <f aca="false">""</f>
        <v/>
      </c>
    </row>
    <row r="30" customFormat="false" ht="15" hidden="false" customHeight="true" outlineLevel="0" collapsed="false">
      <c r="B30" s="56" t="s">
        <v>1232</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1233</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1234</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1235</v>
      </c>
      <c r="E1" s="3" t="s">
        <v>1236</v>
      </c>
    </row>
    <row r="2" customFormat="false" ht="15" hidden="false" customHeight="true" outlineLevel="0" collapsed="false">
      <c r="B2" s="25" t="s">
        <v>1237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1238</v>
      </c>
    </row>
    <row r="5" customFormat="false" ht="15" hidden="false" customHeight="true" outlineLevel="0" collapsed="false">
      <c r="B5" s="15" t="s">
        <v>220</v>
      </c>
      <c r="C5" s="28" t="s">
        <v>221</v>
      </c>
      <c r="D5" s="28" t="s">
        <v>222</v>
      </c>
      <c r="E5" s="28" t="s">
        <v>223</v>
      </c>
      <c r="F5" s="29" t="s">
        <v>224</v>
      </c>
      <c r="G5" s="16"/>
    </row>
    <row r="6" customFormat="false" ht="21.75" hidden="false" customHeight="true" outlineLevel="0" collapsed="false">
      <c r="B6" s="9" t="s">
        <v>1239</v>
      </c>
      <c r="C6" s="30"/>
      <c r="D6" s="31" t="s">
        <v>226</v>
      </c>
      <c r="E6" s="32" t="s">
        <v>1240</v>
      </c>
      <c r="F6" s="33" t="n">
        <v>5000</v>
      </c>
      <c r="G6" s="34" t="str">
        <f aca="false">IF(ISBLANK(C6),IF(Fill_Example="Yes",F6,""),C6)</f>
        <v/>
      </c>
    </row>
    <row r="7" customFormat="false" ht="33" hidden="false" customHeight="true" outlineLevel="0" collapsed="false">
      <c r="B7" s="9" t="s">
        <v>1241</v>
      </c>
      <c r="C7" s="38"/>
      <c r="D7" s="31" t="s">
        <v>237</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1242</v>
      </c>
      <c r="C8" s="30"/>
      <c r="D8" s="31" t="s">
        <v>226</v>
      </c>
      <c r="E8" s="32" t="s">
        <v>1243</v>
      </c>
      <c r="F8" s="33" t="n">
        <v>250</v>
      </c>
      <c r="G8" s="34" t="str">
        <f aca="false">IF(ISBLANK(C8),IF(Fill_Example="Yes",F8,""),C8)</f>
        <v/>
      </c>
    </row>
    <row r="9" customFormat="false" ht="15" hidden="false" customHeight="true" outlineLevel="0" collapsed="false">
      <c r="B9" s="9" t="s">
        <v>1244</v>
      </c>
      <c r="C9" s="30"/>
      <c r="D9" s="31" t="s">
        <v>226</v>
      </c>
      <c r="E9" s="32" t="s">
        <v>1245</v>
      </c>
      <c r="F9" s="33" t="n">
        <v>0</v>
      </c>
      <c r="G9" s="34" t="n">
        <f aca="false">IF(ISBLANK(C9),F9,C9)</f>
        <v>0</v>
      </c>
    </row>
    <row r="11" customFormat="false" ht="15" hidden="false" customHeight="true" outlineLevel="0" collapsed="false">
      <c r="B11" s="15" t="s">
        <v>246</v>
      </c>
      <c r="C11" s="28" t="s">
        <v>247</v>
      </c>
      <c r="D11" s="28" t="s">
        <v>248</v>
      </c>
      <c r="E11" s="28" t="s">
        <v>249</v>
      </c>
      <c r="F11" s="16"/>
      <c r="G11" s="16"/>
    </row>
    <row r="12" customFormat="false" ht="17.25" hidden="false" customHeight="true" outlineLevel="0" collapsed="false">
      <c r="B12" s="25" t="s">
        <v>1246</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1247</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226</v>
      </c>
      <c r="E13" s="46" t="s">
        <v>1248</v>
      </c>
    </row>
    <row r="14" customFormat="false" ht="15" hidden="false" customHeight="true" outlineLevel="0" collapsed="false">
      <c r="B14" s="9" t="s">
        <v>1249</v>
      </c>
      <c r="C14" s="68" t="str">
        <f aca="false">IF(Need_2&lt;&gt;"",Need_2,(1+APR)^(1/12)-1)</f>
        <v>Choose your credit-card rate to see this</v>
      </c>
      <c r="D14" s="31"/>
      <c r="E14" s="46" t="s">
        <v>1250</v>
      </c>
    </row>
    <row r="15" customFormat="false" ht="15" hidden="false" customHeight="true" outlineLevel="0" collapsed="false">
      <c r="B15" s="9" t="s">
        <v>1251</v>
      </c>
      <c r="C15" s="47" t="str">
        <f aca="false">IF(Need_3&lt;&gt;"",Need_3,Monthly_Payment+Extra_Payment)</f>
        <v>Choose your monthly payment to see this</v>
      </c>
      <c r="D15" s="31" t="s">
        <v>226</v>
      </c>
      <c r="E15" s="46" t="s">
        <v>1252</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226</v>
      </c>
      <c r="E16" s="46" t="s">
        <v>1253</v>
      </c>
    </row>
    <row r="18" customFormat="false" ht="15" hidden="false" customHeight="true" outlineLevel="0" collapsed="false">
      <c r="B18" s="15" t="s">
        <v>279</v>
      </c>
      <c r="C18" s="16"/>
      <c r="D18" s="16"/>
      <c r="E18" s="16"/>
      <c r="F18" s="16"/>
      <c r="G18" s="16"/>
    </row>
    <row r="19" customFormat="false" ht="13.5" hidden="false" customHeight="true" outlineLevel="0" collapsed="false">
      <c r="B19" s="50" t="s">
        <v>1254</v>
      </c>
      <c r="C19" s="50"/>
      <c r="D19" s="50"/>
      <c r="E19" s="50"/>
    </row>
    <row r="20" customFormat="false" ht="13.5" hidden="false" customHeight="true" outlineLevel="0" collapsed="false">
      <c r="B20" s="50" t="s">
        <v>1255</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1256</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1257</v>
      </c>
    </row>
    <row r="29" customFormat="false" ht="13.5" hidden="false" customHeight="true" outlineLevel="0" collapsed="false">
      <c r="B29" s="57" t="s">
        <v>1258</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1259</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1260</v>
      </c>
      <c r="C33" s="56" t="str">
        <f aca="false">IF(APR="","Choose your credit-card rate to see this","")</f>
        <v>Choose your credit-card rate to see this</v>
      </c>
    </row>
    <row r="34" customFormat="false" ht="15" hidden="false" customHeight="true" outlineLevel="0" collapsed="false">
      <c r="B34" s="56" t="s">
        <v>1261</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1262</v>
      </c>
      <c r="E1" s="3" t="s">
        <v>1263</v>
      </c>
    </row>
    <row r="2" customFormat="false" ht="15" hidden="false" customHeight="true" outlineLevel="0" collapsed="false">
      <c r="B2" s="25" t="s">
        <v>1264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1265</v>
      </c>
    </row>
    <row r="5" customFormat="false" ht="15" hidden="false" customHeight="true" outlineLevel="0" collapsed="false">
      <c r="B5" s="15" t="s">
        <v>220</v>
      </c>
      <c r="C5" s="28" t="s">
        <v>221</v>
      </c>
      <c r="D5" s="28" t="s">
        <v>222</v>
      </c>
      <c r="E5" s="28" t="s">
        <v>223</v>
      </c>
      <c r="F5" s="29" t="s">
        <v>224</v>
      </c>
      <c r="G5" s="16"/>
    </row>
    <row r="6" customFormat="false" ht="15" hidden="false" customHeight="true" outlineLevel="0" collapsed="false">
      <c r="B6" s="9" t="s">
        <v>1266</v>
      </c>
      <c r="C6" s="30"/>
      <c r="D6" s="31" t="s">
        <v>226</v>
      </c>
      <c r="E6" s="32" t="s">
        <v>1267</v>
      </c>
      <c r="F6" s="33" t="n">
        <v>15000</v>
      </c>
      <c r="G6" s="34" t="str">
        <f aca="false">IF(ISBLANK(C6),IF(Fill_Example="Yes",F6,""),C6)</f>
        <v/>
      </c>
    </row>
    <row r="7" customFormat="false" ht="21.75" hidden="false" customHeight="true" outlineLevel="0" collapsed="false">
      <c r="B7" s="9" t="s">
        <v>1241</v>
      </c>
      <c r="C7" s="38"/>
      <c r="D7" s="31" t="s">
        <v>237</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239</v>
      </c>
      <c r="E8" s="32" t="s">
        <v>688</v>
      </c>
      <c r="F8" s="43" t="n">
        <v>5</v>
      </c>
      <c r="G8" s="44" t="str">
        <f aca="false">IF(AND(ISNUMBER(C8),N(C8)&lt;1),"",IF(ISBLANK(C8),IF(Fill_Example="Yes",F8,""),C8))</f>
        <v/>
      </c>
    </row>
    <row r="10" customFormat="false" ht="15" hidden="false" customHeight="true" outlineLevel="0" collapsed="false">
      <c r="B10" s="15" t="s">
        <v>246</v>
      </c>
      <c r="C10" s="28" t="s">
        <v>247</v>
      </c>
      <c r="D10" s="28" t="s">
        <v>248</v>
      </c>
      <c r="E10" s="28" t="s">
        <v>249</v>
      </c>
      <c r="F10" s="16"/>
      <c r="G10" s="16"/>
    </row>
    <row r="11" customFormat="false" ht="17.25" hidden="false" customHeight="true" outlineLevel="0" collapsed="false">
      <c r="B11" s="25" t="s">
        <v>319</v>
      </c>
      <c r="C11" s="45" t="str">
        <f aca="false">IF(Need_1&lt;&gt;"",Need_1,PMT(Monthly_Rate,Years*12,-Loan_Amount))</f>
        <v>Choose your loan amount to see this</v>
      </c>
      <c r="D11" s="31" t="s">
        <v>226</v>
      </c>
      <c r="E11" s="46" t="s">
        <v>1268</v>
      </c>
    </row>
    <row r="12" customFormat="false" ht="17.25" hidden="false" customHeight="true" outlineLevel="0" collapsed="false">
      <c r="B12" s="25" t="s">
        <v>344</v>
      </c>
      <c r="C12" s="45" t="str">
        <f aca="false">IF(Need_1&lt;&gt;"",Need_1,Total_Repaid-Loan_Amount)</f>
        <v>Choose your loan amount to see this</v>
      </c>
      <c r="D12" s="31" t="s">
        <v>226</v>
      </c>
      <c r="E12" s="46" t="s">
        <v>1269</v>
      </c>
    </row>
    <row r="13" customFormat="false" ht="15" hidden="false" customHeight="true" outlineLevel="0" collapsed="false">
      <c r="B13" s="9" t="s">
        <v>346</v>
      </c>
      <c r="C13" s="47" t="str">
        <f aca="false">IF(Need_1&lt;&gt;"",Need_1,Monthly_Repayment*Years*12)</f>
        <v>Choose your loan amount to see this</v>
      </c>
      <c r="D13" s="31" t="s">
        <v>226</v>
      </c>
      <c r="E13" s="46" t="s">
        <v>1270</v>
      </c>
    </row>
    <row r="14" customFormat="false" ht="15" hidden="false" customHeight="true" outlineLevel="0" collapsed="false">
      <c r="B14" s="9" t="s">
        <v>1249</v>
      </c>
      <c r="C14" s="68" t="str">
        <f aca="false">IF(Need_2&lt;&gt;"",Need_2,(1+APR)^(1/12)-1)</f>
        <v>Choose your loan rate to see this</v>
      </c>
      <c r="D14" s="31"/>
      <c r="E14" s="46" t="s">
        <v>1250</v>
      </c>
    </row>
    <row r="16" customFormat="false" ht="15" hidden="false" customHeight="true" outlineLevel="0" collapsed="false">
      <c r="B16" s="15" t="s">
        <v>279</v>
      </c>
      <c r="C16" s="16"/>
      <c r="D16" s="16"/>
      <c r="E16" s="16"/>
      <c r="F16" s="16"/>
      <c r="G16" s="16"/>
    </row>
    <row r="17" customFormat="false" ht="13.5" hidden="false" customHeight="true" outlineLevel="0" collapsed="false">
      <c r="B17" s="50" t="s">
        <v>1271</v>
      </c>
      <c r="C17" s="50"/>
      <c r="D17" s="50"/>
      <c r="E17" s="50"/>
    </row>
    <row r="18" customFormat="false" ht="13.5" hidden="false" customHeight="true" outlineLevel="0" collapsed="false">
      <c r="B18" s="50" t="s">
        <v>1272</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478</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1273</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1260</v>
      </c>
      <c r="C27" s="56" t="str">
        <f aca="false">IF(APR="","Choose your loan rate to see this","")</f>
        <v>Choose your loan rate to see this</v>
      </c>
    </row>
    <row r="29" customFormat="false" ht="15" hidden="false" customHeight="true" outlineLevel="0" collapsed="false">
      <c r="B29" s="23" t="s">
        <v>1274</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35" hidden="false" customHeight="false" outlineLevel="0" collapsed="false">
      <c r="B1" s="90" t="s">
        <v>1275</v>
      </c>
    </row>
    <row r="2" customFormat="false" ht="61.5" hidden="false" customHeight="true" outlineLevel="0" collapsed="false">
      <c r="B2" s="91" t="s">
        <v>1276</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false" outlineLevel="0" collapsed="false">
      <c r="B4" s="93" t="s">
        <v>1277</v>
      </c>
      <c r="C4" s="93" t="s">
        <v>221</v>
      </c>
      <c r="D4" s="93" t="s">
        <v>222</v>
      </c>
      <c r="E4" s="93" t="s">
        <v>1278</v>
      </c>
      <c r="F4" s="93" t="s">
        <v>1279</v>
      </c>
      <c r="G4" s="93" t="s">
        <v>1280</v>
      </c>
      <c r="H4" s="93" t="s">
        <v>1281</v>
      </c>
    </row>
    <row r="5" customFormat="false" ht="15" hidden="false" customHeight="false" outlineLevel="0" collapsed="false">
      <c r="B5" s="1" t="s">
        <v>723</v>
      </c>
      <c r="C5" s="94"/>
      <c r="D5" s="1" t="s">
        <v>718</v>
      </c>
      <c r="E5" s="23" t="s">
        <v>1282</v>
      </c>
      <c r="F5" s="23" t="n">
        <v>38</v>
      </c>
      <c r="G5" s="95" t="n">
        <f aca="false">IF(ISBLANK(C5),IF(AND(Fill_Example="Yes",F5&lt;&gt;""),F5,0),IF(AND(ISNUMBER(C5),C5&gt;=18,C5&lt;=80,C5=INT(C5)),C5,0))</f>
        <v>0</v>
      </c>
      <c r="H5" s="95" t="n">
        <f aca="false">IF(ISBLANK(C5),IF(AND(Fill_Example="Yes",F5&lt;&gt;""),1,0),IF(AND(ISNUMBER(C5),C5&gt;=18,C5&lt;=80,C5=INT(C5)),1,0))</f>
        <v>0</v>
      </c>
    </row>
    <row r="6" customFormat="false" ht="15" hidden="false" customHeight="false" outlineLevel="0" collapsed="false">
      <c r="B6" s="1" t="s">
        <v>1283</v>
      </c>
      <c r="C6" s="94"/>
      <c r="E6" s="23" t="s">
        <v>1284</v>
      </c>
      <c r="F6" s="23" t="s">
        <v>235</v>
      </c>
      <c r="G6" s="95" t="str">
        <f aca="false">IF(ISBLANK(C6),IF(Fill_Example="Yes",F6,""),IF(ISNUMBER(MATCH(C6,{"Yes","No"},0)),C6,""))</f>
        <v/>
      </c>
      <c r="H6" s="95" t="n">
        <f aca="false">IF(G6="",0,1)</f>
        <v>0</v>
      </c>
    </row>
    <row r="7" customFormat="false" ht="15" hidden="false" customHeight="false" outlineLevel="0" collapsed="false">
      <c r="B7" s="1" t="s">
        <v>1285</v>
      </c>
      <c r="C7" s="94"/>
      <c r="E7" s="23" t="s">
        <v>1286</v>
      </c>
      <c r="F7" s="23"/>
      <c r="G7" s="95" t="str">
        <f aca="false">IF(ISBLANK(C7),IF(Fill_Example="Yes",F7,""),IF(ISNUMBER(MATCH(C7,{"Yes","No"},0)),C7,""))</f>
        <v/>
      </c>
      <c r="H7" s="95" t="n">
        <f aca="false">IF(G7="",0,1)</f>
        <v>0</v>
      </c>
    </row>
    <row r="8" customFormat="false" ht="15" hidden="false" customHeight="false" outlineLevel="0" collapsed="false">
      <c r="B8" s="1" t="s">
        <v>1287</v>
      </c>
      <c r="C8" s="94"/>
      <c r="D8" s="1" t="s">
        <v>1288</v>
      </c>
      <c r="E8" s="23" t="s">
        <v>1289</v>
      </c>
      <c r="F8" s="23" t="n">
        <v>2</v>
      </c>
      <c r="G8" s="95" t="n">
        <f aca="false">IF(ISBLANK(C8),IF(AND(Fill_Example="Yes",F8&lt;&gt;""),F8,0),IF(AND(ISNUMBER(C8),C8&gt;=0,C8&lt;=20,C8=INT(C8)),C8,0))</f>
        <v>0</v>
      </c>
      <c r="H8" s="95" t="n">
        <f aca="false">IF(ISBLANK(C8),IF(AND(Fill_Example="Yes",F8&lt;&gt;""),1,0),IF(AND(ISNUMBER(C8),C8&gt;=0,C8&lt;=20,C8=INT(C8)),1,0))</f>
        <v>0</v>
      </c>
    </row>
    <row r="9" customFormat="false" ht="15" hidden="false" customHeight="false" outlineLevel="0" collapsed="false">
      <c r="B9" s="1" t="s">
        <v>1290</v>
      </c>
      <c r="C9" s="94"/>
      <c r="D9" s="1" t="s">
        <v>718</v>
      </c>
      <c r="E9" s="23" t="s">
        <v>1291</v>
      </c>
      <c r="F9" s="23" t="n">
        <v>63</v>
      </c>
      <c r="G9" s="95" t="n">
        <f aca="false">IF(ISBLANK(C9),IF(AND(Fill_Example="Yes",F9&lt;&gt;""),F9,0),IF(AND(ISNUMBER(C9),C9&gt;=18,C9&lt;=105,C9=INT(C9)),C9,0))</f>
        <v>0</v>
      </c>
      <c r="H9" s="95" t="n">
        <f aca="false">IF(ISBLANK(C9),IF(AND(Fill_Example="Yes",F9&lt;&gt;""),1,0),IF(AND(ISNUMBER(C9),C9&gt;=18,C9&lt;=105,C9=INT(C9)),1,0))</f>
        <v>0</v>
      </c>
    </row>
    <row r="10" customFormat="false" ht="15" hidden="false" customHeight="false" outlineLevel="0" collapsed="false">
      <c r="B10" s="1" t="s">
        <v>1292</v>
      </c>
      <c r="C10" s="94"/>
      <c r="D10" s="1" t="s">
        <v>718</v>
      </c>
      <c r="E10" s="23" t="s">
        <v>1293</v>
      </c>
      <c r="F10" s="23" t="n">
        <v>66</v>
      </c>
      <c r="G10" s="95" t="n">
        <f aca="false">IF(ISBLANK(C10),IF(AND(Fill_Example="Yes",F10&lt;&gt;""),F10,0),IF(AND(ISNUMBER(C10),C10&gt;=18,C10&lt;=105,C10=INT(C10)),C10,0))</f>
        <v>0</v>
      </c>
      <c r="H10" s="95" t="n">
        <f aca="false">IF(ISBLANK(C10),IF(AND(Fill_Example="Yes",F10&lt;&gt;""),1,0),IF(AND(ISNUMBER(C10),C10&gt;=18,C10&lt;=105,C10=INT(C10)),1,0))</f>
        <v>0</v>
      </c>
    </row>
    <row r="11" customFormat="false" ht="15" hidden="false" customHeight="false" outlineLevel="0" collapsed="false">
      <c r="B11" s="1" t="s">
        <v>1294</v>
      </c>
      <c r="C11" s="94"/>
      <c r="D11" s="1" t="s">
        <v>1295</v>
      </c>
      <c r="E11" s="23" t="s">
        <v>1296</v>
      </c>
      <c r="F11" s="96" t="n">
        <f aca="false">Set_infl</f>
        <v>0.02</v>
      </c>
      <c r="G11" s="95" t="n">
        <f aca="false">IF(ISBLANK(C11),IF(AND(Fill_Example="Yes",F11&lt;&gt;""),F11,0),IF(AND(ISNUMBER(C11),C11&gt;=0,C11&lt;=0.1),C11,0))</f>
        <v>0</v>
      </c>
      <c r="H11" s="95" t="n">
        <f aca="false">IF(ISBLANK(C11),IF(AND(Fill_Example="Yes",F11&lt;&gt;""),1,0),IF(AND(ISNUMBER(C11),C11&gt;=0,C11&lt;=0.1),1,0))</f>
        <v>0</v>
      </c>
    </row>
    <row r="12" customFormat="false" ht="15" hidden="false" customHeight="false" outlineLevel="0" collapsed="false">
      <c r="B12" s="1" t="s">
        <v>1297</v>
      </c>
      <c r="C12" s="94"/>
      <c r="E12" s="23" t="s">
        <v>1298</v>
      </c>
      <c r="F12" s="23" t="s">
        <v>1299</v>
      </c>
      <c r="G12" s="95" t="str">
        <f aca="false">IF(ISBLANK(C12),IF(Fill_Example="Yes",F12,""),IF(ISNUMBER(MATCH(C12,{"Standard","Cautious"},0)),C12,""))</f>
        <v/>
      </c>
      <c r="H12" s="95" t="n">
        <f aca="false">IF(G12="",0,1)</f>
        <v>0</v>
      </c>
    </row>
    <row r="13" customFormat="false" ht="15" hidden="false" customHeight="false" outlineLevel="0" collapsed="false">
      <c r="B13" s="1" t="s">
        <v>1300</v>
      </c>
      <c r="C13" s="94"/>
      <c r="D13" s="1" t="s">
        <v>1301</v>
      </c>
      <c r="E13" s="23" t="s">
        <v>1302</v>
      </c>
      <c r="F13" s="23" t="n">
        <v>2</v>
      </c>
      <c r="G13" s="95" t="n">
        <f aca="false">IF(ISBLANK(C13),IF(AND(Fill_Example="Yes",F13&lt;&gt;""),F13,0),IF(AND(ISNUMBER(C13),C13&gt;=0,C13&lt;=4,C13=INT(C13)),C13,0))</f>
        <v>0</v>
      </c>
      <c r="H13" s="95" t="n">
        <f aca="false">IF(ISBLANK(C13),IF(AND(Fill_Example="Yes",F13&lt;&gt;""),1,0),IF(AND(ISNUMBER(C13),C13&gt;=0,C13&lt;=4,C13=INT(C13)),1,0))</f>
        <v>0</v>
      </c>
    </row>
    <row r="14" customFormat="false" ht="15" hidden="false" customHeight="false" outlineLevel="0" collapsed="false">
      <c r="B14" s="1" t="s">
        <v>1303</v>
      </c>
      <c r="C14" s="94"/>
      <c r="D14" s="1" t="s">
        <v>1304</v>
      </c>
      <c r="E14" s="23" t="s">
        <v>1305</v>
      </c>
      <c r="F14" s="23"/>
      <c r="G14" s="95" t="n">
        <f aca="false">IF(ISBLANK(C14),IF(AND(Fill_Example="Yes",F14&lt;&gt;""),F14,0),IF(AND(ISNUMBER(C14),C14&gt;=0,C14&lt;=1000000),C14,0))</f>
        <v>0</v>
      </c>
      <c r="H14" s="95" t="n">
        <f aca="false">IF(ISBLANK(C14),IF(AND(Fill_Example="Yes",F14&lt;&gt;""),1,0),IF(AND(ISNUMBER(C14),C14&gt;=0,C14&lt;=1000000),1,0))</f>
        <v>0</v>
      </c>
    </row>
    <row r="15" customFormat="false" ht="15" hidden="false" customHeight="false" outlineLevel="0" collapsed="false">
      <c r="B15" s="1" t="s">
        <v>1306</v>
      </c>
      <c r="C15" s="94"/>
      <c r="E15" s="23" t="s">
        <v>1307</v>
      </c>
      <c r="F15" s="23"/>
      <c r="G15" s="95" t="str">
        <f aca="false">IF(ISBLANK(C15),IF(Fill_Example="Yes",F15,""),IF(ISNUMBER(MATCH(C15,{"Yes","No"},0)),C15,""))</f>
        <v/>
      </c>
      <c r="H15" s="95" t="n">
        <f aca="false">IF(G15="",0,1)</f>
        <v>0</v>
      </c>
    </row>
    <row r="16" customFormat="false" ht="15" hidden="false" customHeight="false" outlineLevel="0" collapsed="false">
      <c r="B16" s="1" t="s">
        <v>1308</v>
      </c>
      <c r="C16" s="94"/>
      <c r="D16" s="1" t="s">
        <v>1304</v>
      </c>
      <c r="E16" s="23" t="s">
        <v>1309</v>
      </c>
      <c r="F16" s="23" t="n">
        <v>0</v>
      </c>
      <c r="G16" s="95" t="n">
        <f aca="false">IF(ISBLANK(C16),IF(AND(Fill_Example="Yes",F16&lt;&gt;""),F16,0),IF(AND(ISNUMBER(C16),C16&gt;=0,C16&lt;=100000),C16,0))</f>
        <v>0</v>
      </c>
      <c r="H16" s="95" t="n">
        <f aca="false">IF(ISBLANK(C16),IF(AND(Fill_Example="Yes",F16&lt;&gt;""),1,0),IF(AND(ISNUMBER(C16),C16&gt;=0,C16&lt;=100000),1,0))</f>
        <v>0</v>
      </c>
    </row>
    <row r="17" customFormat="false" ht="15" hidden="false" customHeight="false" outlineLevel="0" collapsed="false">
      <c r="B17" s="1" t="s">
        <v>1310</v>
      </c>
      <c r="C17" s="94"/>
      <c r="E17" s="23" t="s">
        <v>1311</v>
      </c>
      <c r="F17" s="23" t="s">
        <v>3</v>
      </c>
      <c r="G17" s="95" t="str">
        <f aca="false">IF(ISBLANK(C17),IF(Fill_Example="Yes",F17,""),IF(ISNUMBER(MATCH(C17,{"Yes","No"},0)),C17,""))</f>
        <v/>
      </c>
      <c r="H17" s="95" t="n">
        <f aca="false">IF(G17="",0,1)</f>
        <v>0</v>
      </c>
    </row>
    <row r="18" customFormat="false" ht="15" hidden="false" customHeight="false" outlineLevel="0" collapsed="false">
      <c r="B18" s="1" t="s">
        <v>1312</v>
      </c>
      <c r="C18" s="94"/>
      <c r="E18" s="23" t="s">
        <v>1313</v>
      </c>
      <c r="F18" s="23" t="s">
        <v>3</v>
      </c>
      <c r="G18" s="95" t="str">
        <f aca="false">IF(ISBLANK(C18),IF(Fill_Example="Yes",F18,""),IF(ISNUMBER(MATCH(C18,{"Yes","No"},0)),C18,""))</f>
        <v/>
      </c>
      <c r="H18" s="95" t="n">
        <f aca="false">IF(G18="",0,1)</f>
        <v>0</v>
      </c>
    </row>
    <row r="19" customFormat="false" ht="15" hidden="false" customHeight="false" outlineLevel="0" collapsed="false">
      <c r="B19" s="1" t="s">
        <v>1314</v>
      </c>
      <c r="C19" s="94"/>
      <c r="E19" s="23" t="s">
        <v>1315</v>
      </c>
      <c r="F19" s="23" t="s">
        <v>3</v>
      </c>
      <c r="G19" s="95" t="str">
        <f aca="false">IF(ISBLANK(C19),IF(Fill_Example="Yes",F19,""),IF(ISNUMBER(MATCH(C19,{"Yes","No"},0)),C19,""))</f>
        <v/>
      </c>
      <c r="H19" s="95" t="n">
        <f aca="false">IF(G19="",0,1)</f>
        <v>0</v>
      </c>
    </row>
    <row r="21" customFormat="false" ht="15" hidden="false" customHeight="false" outlineLevel="0" collapsed="false">
      <c r="B21" s="93" t="s">
        <v>1316</v>
      </c>
      <c r="C21" s="93" t="s">
        <v>221</v>
      </c>
      <c r="D21" s="93" t="s">
        <v>222</v>
      </c>
      <c r="E21" s="93" t="s">
        <v>1278</v>
      </c>
      <c r="F21" s="93" t="s">
        <v>1279</v>
      </c>
      <c r="G21" s="93" t="s">
        <v>1280</v>
      </c>
      <c r="H21" s="93" t="s">
        <v>1281</v>
      </c>
    </row>
    <row r="22" customFormat="false" ht="15" hidden="false" customHeight="false" outlineLevel="0" collapsed="false">
      <c r="B22" s="1" t="s">
        <v>1317</v>
      </c>
      <c r="C22" s="94"/>
      <c r="D22" s="1" t="s">
        <v>1318</v>
      </c>
      <c r="E22" s="23" t="s">
        <v>1319</v>
      </c>
      <c r="F22" s="23"/>
      <c r="G22" s="95" t="n">
        <f aca="false">IF(ISBLANK(C22),IF(AND(Fill_Example="Yes",F22&lt;&gt;""),F22,0),IF(AND(ISNUMBER(C22),C22&gt;=1,C22&lt;=22,C22=INT(C22)),C22,0))</f>
        <v>0</v>
      </c>
      <c r="H22" s="95" t="n">
        <f aca="false">IF(ISBLANK(C22),IF(AND(Fill_Example="Yes",F22&lt;&gt;""),1,0),IF(AND(ISNUMBER(C22),C22&gt;=1,C22&lt;=22,C22=INT(C22)),1,0))</f>
        <v>0</v>
      </c>
    </row>
    <row r="23" customFormat="false" ht="15" hidden="false" customHeight="false" outlineLevel="0" collapsed="false">
      <c r="B23" s="1" t="s">
        <v>1320</v>
      </c>
      <c r="C23" s="94"/>
      <c r="D23" s="1" t="s">
        <v>1304</v>
      </c>
      <c r="E23" s="23" t="s">
        <v>1321</v>
      </c>
      <c r="F23" s="23" t="n">
        <v>0</v>
      </c>
      <c r="G23" s="95" t="n">
        <f aca="false">IF(ISBLANK(C23),IF(AND(Fill_Example="Yes",F23&lt;&gt;""),F23,0),IF(AND(ISNUMBER(C23),C23&gt;=-5000,C23&lt;=10000),C23,0))</f>
        <v>0</v>
      </c>
      <c r="H23" s="95" t="n">
        <f aca="false">IF(ISBLANK(C23),IF(AND(Fill_Example="Yes",F23&lt;&gt;""),1,0),IF(AND(ISNUMBER(C23),C23&gt;=-5000,C23&lt;=10000),1,0))</f>
        <v>0</v>
      </c>
    </row>
    <row r="24" customFormat="false" ht="15" hidden="false" customHeight="false" outlineLevel="0" collapsed="false">
      <c r="B24" s="1" t="s">
        <v>1322</v>
      </c>
      <c r="C24" s="94"/>
      <c r="D24" s="1" t="s">
        <v>226</v>
      </c>
      <c r="E24" s="23" t="s">
        <v>1323</v>
      </c>
      <c r="F24" s="23" t="n">
        <v>0</v>
      </c>
      <c r="G24" s="95" t="n">
        <f aca="false">IF(ISBLANK(C24),IF(AND(Fill_Example="Yes",F24&lt;&gt;""),F24,0),IF(AND(ISNUMBER(C24),C24&gt;=0,C24&lt;=2000000),C24,0))</f>
        <v>0</v>
      </c>
      <c r="H24" s="95" t="n">
        <f aca="false">IF(ISBLANK(C24),IF(AND(Fill_Example="Yes",F24&lt;&gt;""),1,0),IF(AND(ISNUMBER(C24),C24&gt;=0,C24&lt;=2000000),1,0))</f>
        <v>0</v>
      </c>
    </row>
    <row r="26" customFormat="false" ht="15" hidden="false" customHeight="false" outlineLevel="0" collapsed="false">
      <c r="B26" s="93" t="s">
        <v>1324</v>
      </c>
      <c r="C26" s="93" t="s">
        <v>221</v>
      </c>
      <c r="D26" s="93" t="s">
        <v>222</v>
      </c>
      <c r="E26" s="93" t="s">
        <v>1278</v>
      </c>
      <c r="F26" s="93" t="s">
        <v>1279</v>
      </c>
      <c r="G26" s="93" t="s">
        <v>1280</v>
      </c>
      <c r="H26" s="93" t="s">
        <v>1281</v>
      </c>
    </row>
    <row r="27" customFormat="false" ht="15" hidden="false" customHeight="false" outlineLevel="0" collapsed="false">
      <c r="B27" s="1" t="s">
        <v>1325</v>
      </c>
      <c r="C27" s="94"/>
      <c r="E27" s="23" t="s">
        <v>1326</v>
      </c>
      <c r="F27" s="23" t="s">
        <v>1327</v>
      </c>
      <c r="G27" s="95" t="str">
        <f aca="false">IF(ISBLANK(C27),IF(Fill_Example="Yes",F27,""),IF(ISNUMBER(MATCH(C27,{"Employed","Self-employed","Not working"},0)),C27,""))</f>
        <v/>
      </c>
      <c r="H27" s="95" t="n">
        <f aca="false">IF(G27="",0,1)</f>
        <v>0</v>
      </c>
    </row>
    <row r="28" customFormat="false" ht="15" hidden="false" customHeight="false" outlineLevel="0" collapsed="false">
      <c r="B28" s="1" t="s">
        <v>225</v>
      </c>
      <c r="C28" s="94"/>
      <c r="D28" s="1" t="s">
        <v>226</v>
      </c>
      <c r="E28" s="23" t="s">
        <v>1328</v>
      </c>
      <c r="F28" s="23" t="n">
        <v>58000</v>
      </c>
      <c r="G28" s="95" t="n">
        <f aca="false">IF(ISBLANK(C28),IF(AND(Fill_Example="Yes",F28&lt;&gt;""),F28,0),IF(AND(ISNUMBER(C28),C28&gt;=0,C28&lt;=100000000),C28,0))</f>
        <v>0</v>
      </c>
      <c r="H28" s="95" t="n">
        <f aca="false">IF(ISBLANK(C28),IF(AND(Fill_Example="Yes",F28&lt;&gt;""),1,0),IF(AND(ISNUMBER(C28),C28&gt;=0,C28&lt;=100000000),1,0))</f>
        <v>0</v>
      </c>
    </row>
    <row r="29" customFormat="false" ht="15" hidden="false" customHeight="false" outlineLevel="0" collapsed="false">
      <c r="B29" s="1" t="s">
        <v>228</v>
      </c>
      <c r="C29" s="94"/>
      <c r="D29" s="1" t="s">
        <v>226</v>
      </c>
      <c r="E29" s="23" t="s">
        <v>1329</v>
      </c>
      <c r="F29" s="23" t="n">
        <v>22000</v>
      </c>
      <c r="G29" s="95" t="n">
        <f aca="false">IF(ISBLANK(C29),IF(AND(Fill_Example="Yes",F29&lt;&gt;""),F29,0),IF(AND(ISNUMBER(C29),C29&gt;=0,C29&lt;=100000000),C29,0))</f>
        <v>0</v>
      </c>
      <c r="H29" s="95" t="n">
        <f aca="false">IF(ISBLANK(C29),IF(AND(Fill_Example="Yes",F29&lt;&gt;""),1,0),IF(AND(ISNUMBER(C29),C29&gt;=0,C29&lt;=100000000),1,0))</f>
        <v>0</v>
      </c>
    </row>
    <row r="30" customFormat="false" ht="15" hidden="false" customHeight="false" outlineLevel="0" collapsed="false">
      <c r="B30" s="1" t="s">
        <v>1330</v>
      </c>
      <c r="C30" s="94"/>
      <c r="D30" s="1" t="s">
        <v>718</v>
      </c>
      <c r="E30" s="23" t="s">
        <v>1331</v>
      </c>
      <c r="F30" s="23" t="n">
        <v>37</v>
      </c>
      <c r="G30" s="95" t="n">
        <f aca="false">IF(ISBLANK(C30),IF(AND(Fill_Example="Yes",F30&lt;&gt;""),F30,0),IF(AND(ISNUMBER(C30),C30&gt;=18,C30&lt;=85,C30=INT(C30)),C30,0))</f>
        <v>0</v>
      </c>
      <c r="H30" s="95" t="n">
        <f aca="false">IF(ISBLANK(C30),IF(AND(Fill_Example="Yes",F30&lt;&gt;""),1,0),IF(AND(ISNUMBER(C30),C30&gt;=18,C30&lt;=85,C30=INT(C30)),1,0))</f>
        <v>0</v>
      </c>
    </row>
    <row r="31" customFormat="false" ht="15" hidden="false" customHeight="false" outlineLevel="0" collapsed="false">
      <c r="B31" s="1" t="s">
        <v>1332</v>
      </c>
      <c r="C31" s="94"/>
      <c r="D31" s="1" t="s">
        <v>1304</v>
      </c>
      <c r="E31" s="23" t="s">
        <v>1333</v>
      </c>
      <c r="F31" s="23" t="n">
        <v>0</v>
      </c>
      <c r="G31" s="95" t="n">
        <f aca="false">IF(ISBLANK(C31),IF(AND(Fill_Example="Yes",F31&lt;&gt;""),F31,0),IF(AND(ISNUMBER(C31),C31&gt;=0,C31&lt;=100000000),C31,0))</f>
        <v>0</v>
      </c>
      <c r="H31" s="95" t="n">
        <f aca="false">IF(ISBLANK(C31),IF(AND(Fill_Example="Yes",F31&lt;&gt;""),1,0),IF(AND(ISNUMBER(C31),C31&gt;=0,C31&lt;=100000000),1,0))</f>
        <v>0</v>
      </c>
    </row>
    <row r="32" customFormat="false" ht="15" hidden="false" customHeight="false" outlineLevel="0" collapsed="false">
      <c r="B32" s="1" t="s">
        <v>1334</v>
      </c>
      <c r="C32" s="94"/>
      <c r="D32" s="1" t="s">
        <v>1304</v>
      </c>
      <c r="E32" s="23" t="s">
        <v>1335</v>
      </c>
      <c r="F32" s="23" t="n">
        <v>3600</v>
      </c>
      <c r="G32" s="95" t="n">
        <f aca="false">IF(ISBLANK(C32),IF(AND(Fill_Example="Yes",F32&lt;&gt;""),F32,0),IF(AND(ISNUMBER(C32),C32&gt;=0,C32&lt;=100000000),C32,0))</f>
        <v>0</v>
      </c>
      <c r="H32" s="95" t="n">
        <f aca="false">IF(ISBLANK(C32),IF(AND(Fill_Example="Yes",F32&lt;&gt;""),1,0),IF(AND(ISNUMBER(C32),C32&gt;=0,C32&lt;=100000000),1,0))</f>
        <v>0</v>
      </c>
    </row>
    <row r="33" customFormat="false" ht="15" hidden="false" customHeight="false" outlineLevel="0" collapsed="false">
      <c r="B33" s="1" t="s">
        <v>1336</v>
      </c>
      <c r="C33" s="94"/>
      <c r="D33" s="1" t="s">
        <v>226</v>
      </c>
      <c r="E33" s="23" t="s">
        <v>1337</v>
      </c>
      <c r="F33" s="23" t="n">
        <v>1800</v>
      </c>
      <c r="G33" s="95" t="n">
        <f aca="false">IF(ISBLANK(C33),IF(AND(Fill_Example="Yes",F33&lt;&gt;""),F33,0),IF(AND(ISNUMBER(C33),C33&gt;=0,C33&lt;=100000000),C33,0))</f>
        <v>0</v>
      </c>
      <c r="H33" s="95" t="n">
        <f aca="false">IF(ISBLANK(C33),IF(AND(Fill_Example="Yes",F33&lt;&gt;""),1,0),IF(AND(ISNUMBER(C33),C33&gt;=0,C33&lt;=100000000),1,0))</f>
        <v>0</v>
      </c>
    </row>
    <row r="34" customFormat="false" ht="15" hidden="false" customHeight="false" outlineLevel="0" collapsed="false">
      <c r="B34" s="1" t="s">
        <v>1338</v>
      </c>
      <c r="C34" s="94"/>
      <c r="D34" s="1" t="s">
        <v>226</v>
      </c>
      <c r="E34" s="23" t="s">
        <v>1339</v>
      </c>
      <c r="F34" s="23"/>
      <c r="G34" s="95" t="n">
        <f aca="false">IF(ISBLANK(C34),IF(AND(Fill_Example="Yes",F34&lt;&gt;""),F34,0),IF(AND(ISNUMBER(C34),C34&gt;=0,C34&lt;=100000000),C34,0))</f>
        <v>0</v>
      </c>
      <c r="H34" s="95" t="n">
        <f aca="false">IF(ISBLANK(C34),IF(AND(Fill_Example="Yes",F34&lt;&gt;""),1,0),IF(AND(ISNUMBER(C34),C34&gt;=0,C34&lt;=100000000),1,0))</f>
        <v>0</v>
      </c>
    </row>
    <row r="35" customFormat="false" ht="15" hidden="false" customHeight="false" outlineLevel="0" collapsed="false">
      <c r="B35" s="1" t="s">
        <v>1340</v>
      </c>
      <c r="C35" s="94"/>
      <c r="D35" s="1" t="s">
        <v>1304</v>
      </c>
      <c r="E35" s="23" t="s">
        <v>1341</v>
      </c>
      <c r="F35" s="23"/>
      <c r="G35" s="95" t="n">
        <f aca="false">IF(ISBLANK(C35),IF(AND(Fill_Example="Yes",F35&lt;&gt;""),F35,0),IF(AND(ISNUMBER(C35),C35&gt;=0,C35&lt;=100000000),C35,0))</f>
        <v>0</v>
      </c>
      <c r="H35" s="95" t="n">
        <f aca="false">IF(ISBLANK(C35),IF(AND(Fill_Example="Yes",F35&lt;&gt;""),1,0),IF(AND(ISNUMBER(C35),C35&gt;=0,C35&lt;=100000000),1,0))</f>
        <v>0</v>
      </c>
    </row>
    <row r="36" customFormat="false" ht="15" hidden="false" customHeight="false" outlineLevel="0" collapsed="false">
      <c r="B36" s="1" t="s">
        <v>1342</v>
      </c>
      <c r="C36" s="94"/>
      <c r="E36" s="23" t="s">
        <v>1343</v>
      </c>
      <c r="F36" s="23" t="s">
        <v>1344</v>
      </c>
      <c r="G36" s="95" t="str">
        <f aca="false">IF(ISBLANK(C36),IF(Fill_Example="Yes",F36,""),IF(ISNUMBER(MATCH(C36,{"Own outright","Own with mortgage","Rent","Live with family"},0)),C36,""))</f>
        <v/>
      </c>
      <c r="H36" s="95" t="n">
        <f aca="false">IF(G36="",0,1)</f>
        <v>0</v>
      </c>
    </row>
    <row r="37" customFormat="false" ht="15" hidden="false" customHeight="false" outlineLevel="0" collapsed="false">
      <c r="B37" s="1" t="s">
        <v>530</v>
      </c>
      <c r="C37" s="94"/>
      <c r="D37" s="1" t="s">
        <v>226</v>
      </c>
      <c r="E37" s="23" t="s">
        <v>1345</v>
      </c>
      <c r="F37" s="23" t="n">
        <v>420000</v>
      </c>
      <c r="G37" s="95" t="n">
        <f aca="false">IF(ISBLANK(C37),IF(AND(Fill_Example="Yes",F37&lt;&gt;""),F37,0),IF(AND(ISNUMBER(C37),C37&gt;=0,C37&lt;=100000000),C37,0))</f>
        <v>0</v>
      </c>
      <c r="H37" s="95" t="n">
        <f aca="false">IF(ISBLANK(C37),IF(AND(Fill_Example="Yes",F37&lt;&gt;""),1,0),IF(AND(ISNUMBER(C37),C37&gt;=0,C37&lt;=100000000),1,0))</f>
        <v>0</v>
      </c>
    </row>
    <row r="38" customFormat="false" ht="15" hidden="false" customHeight="false" outlineLevel="0" collapsed="false">
      <c r="B38" s="1" t="s">
        <v>1346</v>
      </c>
      <c r="C38" s="94"/>
      <c r="D38" s="1" t="s">
        <v>226</v>
      </c>
      <c r="E38" s="23" t="s">
        <v>1347</v>
      </c>
      <c r="F38" s="23" t="n">
        <v>9000</v>
      </c>
      <c r="G38" s="95" t="n">
        <f aca="false">IF(ISBLANK(C38),IF(AND(Fill_Example="Yes",F38&lt;&gt;""),F38,0),IF(AND(ISNUMBER(C38),C38&gt;=0,C38&lt;=100000000),C38,0))</f>
        <v>0</v>
      </c>
      <c r="H38" s="95" t="n">
        <f aca="false">IF(ISBLANK(C38),IF(AND(Fill_Example="Yes",F38&lt;&gt;""),1,0),IF(AND(ISNUMBER(C38),C38&gt;=0,C38&lt;=100000000),1,0))</f>
        <v>0</v>
      </c>
    </row>
    <row r="39" customFormat="false" ht="15" hidden="false" customHeight="false" outlineLevel="0" collapsed="false">
      <c r="B39" s="1" t="s">
        <v>56</v>
      </c>
      <c r="C39" s="94"/>
      <c r="D39" s="1" t="s">
        <v>226</v>
      </c>
      <c r="E39" s="23" t="s">
        <v>1348</v>
      </c>
      <c r="F39" s="23" t="n">
        <v>6200</v>
      </c>
      <c r="G39" s="95" t="n">
        <f aca="false">IF(ISBLANK(C39),IF(AND(Fill_Example="Yes",F39&lt;&gt;""),F39,0),IF(AND(ISNUMBER(C39),C39&gt;=0,C39&lt;=100000000),C39,0))</f>
        <v>0</v>
      </c>
      <c r="H39" s="95" t="n">
        <f aca="false">IF(ISBLANK(C39),IF(AND(Fill_Example="Yes",F39&lt;&gt;""),1,0),IF(AND(ISNUMBER(C39),C39&gt;=0,C39&lt;=100000000),1,0))</f>
        <v>0</v>
      </c>
    </row>
    <row r="40" customFormat="false" ht="15" hidden="false" customHeight="false" outlineLevel="0" collapsed="false">
      <c r="B40" s="1" t="s">
        <v>1349</v>
      </c>
      <c r="C40" s="94"/>
      <c r="D40" s="1" t="s">
        <v>226</v>
      </c>
      <c r="E40" s="23" t="s">
        <v>1350</v>
      </c>
      <c r="F40" s="23" t="n">
        <v>203700</v>
      </c>
      <c r="G40" s="95" t="n">
        <f aca="false">IF(ISBLANK(C40),IF(AND(Fill_Example="Yes",F40&lt;&gt;""),F40,0),IF(AND(ISNUMBER(C40),C40&gt;=0,C40&lt;=100000000),C40,0))</f>
        <v>0</v>
      </c>
      <c r="H40" s="95" t="n">
        <f aca="false">IF(ISBLANK(C40),IF(AND(Fill_Example="Yes",F40&lt;&gt;""),1,0),IF(AND(ISNUMBER(C40),C40&gt;=0,C40&lt;=100000000),1,0))</f>
        <v>0</v>
      </c>
    </row>
    <row r="41" customFormat="false" ht="15" hidden="false" customHeight="false" outlineLevel="0" collapsed="false">
      <c r="B41" s="1" t="s">
        <v>1351</v>
      </c>
      <c r="C41" s="94"/>
      <c r="D41" s="1" t="s">
        <v>1295</v>
      </c>
      <c r="E41" s="23" t="s">
        <v>1352</v>
      </c>
      <c r="F41" s="23" t="n">
        <v>0.0385</v>
      </c>
      <c r="G41" s="95" t="n">
        <f aca="false">IF(ISBLANK(C41),IF(AND(Fill_Example="Yes",F41&lt;&gt;""),F41,0),IF(AND(ISNUMBER(C41),C41&gt;=0,C41&lt;=0.3),C41,0))</f>
        <v>0</v>
      </c>
      <c r="H41" s="95" t="n">
        <f aca="false">IF(ISBLANK(C41),IF(AND(Fill_Example="Yes",F41&lt;&gt;""),1,0),IF(AND(ISNUMBER(C41),C41&gt;=0,C41&lt;=0.3),1,0))</f>
        <v>0</v>
      </c>
    </row>
    <row r="42" customFormat="false" ht="15" hidden="false" customHeight="false" outlineLevel="0" collapsed="false">
      <c r="B42" s="1" t="s">
        <v>1353</v>
      </c>
      <c r="C42" s="94"/>
      <c r="D42" s="1" t="s">
        <v>1304</v>
      </c>
      <c r="E42" s="23" t="s">
        <v>1354</v>
      </c>
      <c r="F42" s="23" t="n">
        <v>1180</v>
      </c>
      <c r="G42" s="95" t="n">
        <f aca="false">IF(ISBLANK(C42),IF(AND(Fill_Example="Yes",F42&lt;&gt;""),F42,0),IF(AND(ISNUMBER(C42),C42&gt;=0,C42&lt;=100000000),C42,0))</f>
        <v>0</v>
      </c>
      <c r="H42" s="95" t="n">
        <f aca="false">IF(ISBLANK(C42),IF(AND(Fill_Example="Yes",F42&lt;&gt;""),1,0),IF(AND(ISNUMBER(C42),C42&gt;=0,C42&lt;=100000000),1,0))</f>
        <v>0</v>
      </c>
    </row>
    <row r="43" customFormat="false" ht="15" hidden="false" customHeight="false" outlineLevel="0" collapsed="false">
      <c r="B43" s="1" t="s">
        <v>1355</v>
      </c>
      <c r="C43" s="94"/>
      <c r="D43" s="1" t="s">
        <v>239</v>
      </c>
      <c r="E43" s="23" t="s">
        <v>1356</v>
      </c>
      <c r="F43" s="23" t="n">
        <v>21</v>
      </c>
      <c r="G43" s="95" t="n">
        <f aca="false">IF(ISBLANK(C43),IF(AND(Fill_Example="Yes",F43&lt;&gt;""),F43,0),IF(AND(ISNUMBER(C43),C43&gt;=1,C43&lt;=40,C43=INT(C43)),C43,0))</f>
        <v>0</v>
      </c>
      <c r="H43" s="95" t="n">
        <f aca="false">IF(ISBLANK(C43),IF(AND(Fill_Example="Yes",F43&lt;&gt;""),1,0),IF(AND(ISNUMBER(C43),C43&gt;=1,C43&lt;=40,C43=INT(C43)),1,0))</f>
        <v>0</v>
      </c>
    </row>
    <row r="44" customFormat="false" ht="15" hidden="false" customHeight="false" outlineLevel="0" collapsed="false">
      <c r="B44" s="1" t="s">
        <v>1357</v>
      </c>
      <c r="C44" s="94"/>
      <c r="D44" s="1" t="s">
        <v>226</v>
      </c>
      <c r="E44" s="23" t="s">
        <v>1358</v>
      </c>
      <c r="F44" s="23" t="n">
        <v>400</v>
      </c>
      <c r="G44" s="95" t="n">
        <f aca="false">IF(COUNT(Cards_Owed_Rng)&gt;0,SUM(Cards_Owed_Rng),IF(ISBLANK(C44),IF(AND(Fill_Example="Yes",F44&lt;&gt;""),F44,0),IF(AND(ISNUMBER(C44),C44&gt;=0,C44&lt;=100000000),C44,0)))</f>
        <v>0</v>
      </c>
      <c r="H44" s="95" t="n">
        <f aca="false">IF(COUNT(Cards_Owed_Rng)&gt;0,1,IF(ISBLANK(C44),IF(AND(Fill_Example="Yes",F44&lt;&gt;""),1,0),IF(AND(ISNUMBER(C44),C44&gt;=0,C44&lt;=100000000),1,0)))</f>
        <v>0</v>
      </c>
    </row>
    <row r="45" customFormat="false" ht="15" hidden="false" customHeight="false" outlineLevel="0" collapsed="false">
      <c r="B45" s="1" t="s">
        <v>1359</v>
      </c>
      <c r="C45" s="94"/>
      <c r="D45" s="1" t="s">
        <v>1304</v>
      </c>
      <c r="E45" s="23" t="s">
        <v>1360</v>
      </c>
      <c r="F45" s="23" t="n">
        <v>40</v>
      </c>
      <c r="G45" s="95" t="n">
        <f aca="false">IF(COUNT(Cards_Pay_Rng)&gt;0,SUM(Cards_Pay_Rng),IF(ISBLANK(C45),IF(AND(Fill_Example="Yes",F45&lt;&gt;""),F45,0),IF(AND(ISNUMBER(C45),C45&gt;=0,C45&lt;=100000000),C45,0)))</f>
        <v>0</v>
      </c>
      <c r="H45" s="95" t="n">
        <f aca="false">IF(COUNT(Cards_Pay_Rng)&gt;0,1,IF(ISBLANK(C45),IF(AND(Fill_Example="Yes",F45&lt;&gt;""),1,0),IF(AND(ISNUMBER(C45),C45&gt;=0,C45&lt;=100000000),1,0)))</f>
        <v>0</v>
      </c>
    </row>
    <row r="46" customFormat="false" ht="15" hidden="false" customHeight="false" outlineLevel="0" collapsed="false">
      <c r="B46" s="1" t="s">
        <v>1361</v>
      </c>
      <c r="C46" s="94"/>
      <c r="D46" s="1" t="s">
        <v>1295</v>
      </c>
      <c r="E46" s="23" t="s">
        <v>1362</v>
      </c>
      <c r="F46" s="23"/>
      <c r="G46" s="95" t="n">
        <f aca="false">IF(ISNUMBER(Cards_Rate_Avg),ROUND(Cards_Rate_Avg,6),IF(ISBLANK(C46),IF(AND(Fill_Example="Yes",F46&lt;&gt;""),F46,0),IF(AND(ISNUMBER(C46),C46&gt;=0,C46&lt;=0.3),C46,0)))</f>
        <v>0</v>
      </c>
      <c r="H46" s="95" t="n">
        <f aca="false">IF(ISBLANK(C46),IF(AND(Fill_Example="Yes",F46&lt;&gt;""),1,0),IF(AND(ISNUMBER(C46),C46&gt;=0,C46&lt;=0.3),1,0))</f>
        <v>0</v>
      </c>
    </row>
    <row r="47" customFormat="false" ht="15" hidden="false" customHeight="false" outlineLevel="0" collapsed="false">
      <c r="B47" s="1" t="s">
        <v>1363</v>
      </c>
      <c r="C47" s="94"/>
      <c r="D47" s="1" t="s">
        <v>226</v>
      </c>
      <c r="E47" s="23" t="s">
        <v>1364</v>
      </c>
      <c r="F47" s="23" t="n">
        <v>3500</v>
      </c>
      <c r="G47" s="95" t="n">
        <f aca="false">IF(COUNT(Loans_Owed_Rng)&gt;0,SUM(Loans_Owed_Rng),IF(ISBLANK(C47),IF(AND(Fill_Example="Yes",F47&lt;&gt;""),F47,0),IF(AND(ISNUMBER(C47),C47&gt;=0,C47&lt;=100000000),C47,0)))</f>
        <v>0</v>
      </c>
      <c r="H47" s="95" t="n">
        <f aca="false">IF(COUNT(Loans_Owed_Rng)&gt;0,1,IF(ISBLANK(C47),IF(AND(Fill_Example="Yes",F47&lt;&gt;""),1,0),IF(AND(ISNUMBER(C47),C47&gt;=0,C47&lt;=100000000),1,0)))</f>
        <v>0</v>
      </c>
    </row>
    <row r="48" customFormat="false" ht="15" hidden="false" customHeight="false" outlineLevel="0" collapsed="false">
      <c r="B48" s="1" t="s">
        <v>1365</v>
      </c>
      <c r="C48" s="94"/>
      <c r="D48" s="1" t="s">
        <v>1304</v>
      </c>
      <c r="E48" s="23" t="s">
        <v>1366</v>
      </c>
      <c r="F48" s="23" t="n">
        <v>100</v>
      </c>
      <c r="G48" s="95" t="n">
        <f aca="false">IF(COUNT(Loans_Pay_Rng)&gt;0,SUM(Loans_Pay_Rng),IF(ISBLANK(C48),IF(AND(Fill_Example="Yes",F48&lt;&gt;""),F48,0),IF(AND(ISNUMBER(C48),C48&gt;=0,C48&lt;=100000000),C48,0)))</f>
        <v>0</v>
      </c>
      <c r="H48" s="95" t="n">
        <f aca="false">IF(COUNT(Loans_Pay_Rng)&gt;0,1,IF(ISBLANK(C48),IF(AND(Fill_Example="Yes",F48&lt;&gt;""),1,0),IF(AND(ISNUMBER(C48),C48&gt;=0,C48&lt;=100000000),1,0)))</f>
        <v>0</v>
      </c>
    </row>
    <row r="49" customFormat="false" ht="15" hidden="false" customHeight="false" outlineLevel="0" collapsed="false">
      <c r="B49" s="1" t="s">
        <v>1367</v>
      </c>
      <c r="C49" s="94"/>
      <c r="D49" s="1" t="s">
        <v>1295</v>
      </c>
      <c r="E49" s="23" t="s">
        <v>1368</v>
      </c>
      <c r="F49" s="23"/>
      <c r="G49" s="95" t="n">
        <f aca="false">IF(ISNUMBER(Loans_Rate_Avg),ROUND(Loans_Rate_Avg,6),IF(ISBLANK(C49),IF(AND(Fill_Example="Yes",F49&lt;&gt;""),F49,0),IF(AND(ISNUMBER(C49),C49&gt;=0,C49&lt;=0.3),C49,0)))</f>
        <v>0</v>
      </c>
      <c r="H49" s="95" t="n">
        <f aca="false">IF(ISBLANK(C49),IF(AND(Fill_Example="Yes",F49&lt;&gt;""),1,0),IF(AND(ISNUMBER(C49),C49&gt;=0,C49&lt;=0.3),1,0))</f>
        <v>0</v>
      </c>
    </row>
    <row r="50" customFormat="false" ht="15" hidden="false" customHeight="false" outlineLevel="0" collapsed="false">
      <c r="B50" s="1" t="s">
        <v>1369</v>
      </c>
      <c r="C50" s="94"/>
      <c r="D50" s="1" t="s">
        <v>226</v>
      </c>
      <c r="E50" s="23" t="s">
        <v>1370</v>
      </c>
      <c r="F50" s="23" t="n">
        <v>0</v>
      </c>
      <c r="G50" s="95" t="n">
        <f aca="false">IF(ISBLANK(C50),IF(AND(Fill_Example="Yes",F50&lt;&gt;""),F50,0),IF(AND(ISNUMBER(C50),C50&gt;=0,C50&lt;=100000000),C50,0))</f>
        <v>0</v>
      </c>
      <c r="H50" s="95" t="n">
        <f aca="false">IF(ISBLANK(C50),IF(AND(Fill_Example="Yes",F50&lt;&gt;""),1,0),IF(AND(ISNUMBER(C50),C50&gt;=0,C50&lt;=100000000),1,0))</f>
        <v>0</v>
      </c>
    </row>
    <row r="51" customFormat="false" ht="15" hidden="false" customHeight="false" outlineLevel="0" collapsed="false">
      <c r="B51" s="1" t="s">
        <v>1371</v>
      </c>
      <c r="C51" s="94"/>
      <c r="D51" s="1" t="s">
        <v>1304</v>
      </c>
      <c r="E51" s="23" t="s">
        <v>1372</v>
      </c>
      <c r="F51" s="23" t="n">
        <v>0</v>
      </c>
      <c r="G51" s="95" t="n">
        <f aca="false">IF(ISBLANK(C51),IF(AND(Fill_Example="Yes",F51&lt;&gt;""),F51,0),IF(AND(ISNUMBER(C51),C51&gt;=0,C51&lt;=100000000),C51,0))</f>
        <v>0</v>
      </c>
      <c r="H51" s="95" t="n">
        <f aca="false">IF(ISBLANK(C51),IF(AND(Fill_Example="Yes",F51&lt;&gt;""),1,0),IF(AND(ISNUMBER(C51),C51&gt;=0,C51&lt;=100000000),1,0))</f>
        <v>0</v>
      </c>
    </row>
    <row r="52" customFormat="false" ht="15" hidden="false" customHeight="false" outlineLevel="0" collapsed="false">
      <c r="B52" s="1" t="s">
        <v>1373</v>
      </c>
      <c r="C52" s="94"/>
      <c r="D52" s="1" t="s">
        <v>226</v>
      </c>
      <c r="E52" s="23" t="s">
        <v>1374</v>
      </c>
      <c r="F52" s="23" t="n">
        <v>72000</v>
      </c>
      <c r="G52" s="95" t="n">
        <f aca="false">IF(COUNT(Pens_Value_Rng)&gt;0,SUM(Pens_Value_Rng),IF(ISBLANK(C52),IF(AND(Fill_Example="Yes",F52&lt;&gt;""),F52,0),IF(AND(ISNUMBER(C52),C52&gt;=0,C52&lt;=100000000),C52,0)))</f>
        <v>0</v>
      </c>
      <c r="H52" s="95" t="n">
        <f aca="false">IF(COUNT(Pens_Value_Rng)&gt;0,1,IF(ISBLANK(C52),IF(AND(Fill_Example="Yes",F52&lt;&gt;""),1,0),IF(AND(ISNUMBER(C52),C52&gt;=0,C52&lt;=100000000),1,0)))</f>
        <v>0</v>
      </c>
    </row>
    <row r="53" customFormat="false" ht="15" hidden="false" customHeight="false" outlineLevel="0" collapsed="false">
      <c r="B53" s="1" t="s">
        <v>1375</v>
      </c>
      <c r="C53" s="94"/>
      <c r="D53" s="1" t="s">
        <v>1304</v>
      </c>
      <c r="E53" s="23" t="s">
        <v>1376</v>
      </c>
      <c r="F53" s="23" t="n">
        <v>520</v>
      </c>
      <c r="G53" s="95" t="n">
        <f aca="false">IF(COUNT(Pens_Monthly_Rng)&gt;0,SUM(Pens_Monthly_Rng),IF(ISBLANK(C53),IF(AND(Fill_Example="Yes",F53&lt;&gt;""),F53,0),IF(AND(ISNUMBER(C53),C53&gt;=0,C53&lt;=100000000),C53,0)))</f>
        <v>0</v>
      </c>
      <c r="H53" s="95" t="n">
        <f aca="false">IF(COUNT(Pens_Monthly_Rng)&gt;0,1,IF(ISBLANK(C53),IF(AND(Fill_Example="Yes",F53&lt;&gt;""),1,0),IF(AND(ISNUMBER(C53),C53&gt;=0,C53&lt;=100000000),1,0)))</f>
        <v>0</v>
      </c>
    </row>
    <row r="54" customFormat="false" ht="15" hidden="false" customHeight="false" outlineLevel="0" collapsed="false">
      <c r="B54" s="1" t="s">
        <v>1377</v>
      </c>
      <c r="C54" s="94"/>
      <c r="D54" s="1" t="s">
        <v>1304</v>
      </c>
      <c r="E54" s="23" t="s">
        <v>1378</v>
      </c>
      <c r="F54" s="23"/>
      <c r="G54" s="95" t="n">
        <f aca="false">IF(COUNT(Pens_Monthly_Rng)&gt;0,IF(Pens_OwnGiven=1,Pens_Own_Total,0),IF(ISBLANK(C54),IF(AND(Fill_Example="Yes",F54&lt;&gt;""),F54,0),IF(AND(ISNUMBER(C54),C54&gt;=0,C54&lt;=100000000),C54,0)))</f>
        <v>0</v>
      </c>
      <c r="H54" s="95" t="n">
        <f aca="false">IF(COUNT(Pens_Monthly_Rng)&gt;0,Pens_OwnGiven,IF(ISBLANK(C54),IF(AND(Fill_Example="Yes",F54&lt;&gt;""),1,0),IF(AND(ISNUMBER(C54),C54&gt;=0,C54&lt;=100000000),1,0)))</f>
        <v>0</v>
      </c>
    </row>
    <row r="55" customFormat="false" ht="15" hidden="false" customHeight="false" outlineLevel="0" collapsed="false">
      <c r="B55" s="1" t="s">
        <v>1379</v>
      </c>
      <c r="C55" s="94"/>
      <c r="D55" s="1" t="s">
        <v>1295</v>
      </c>
      <c r="E55" s="23" t="s">
        <v>1380</v>
      </c>
      <c r="F55" s="23"/>
      <c r="G55" s="95" t="n">
        <f aca="false">IF(ISBLANK(C55),IF(AND(Fill_Example="Yes",F55&lt;&gt;""),F55,0),IF(AND(ISNUMBER(C55),C55&gt;=0,C55&lt;=0.05),C55,0))</f>
        <v>0</v>
      </c>
      <c r="H55" s="95" t="n">
        <f aca="false">IF(ISBLANK(C55),IF(AND(Fill_Example="Yes",F55&lt;&gt;""),1,0),IF(AND(ISNUMBER(C55),C55&gt;=0,C55&lt;=0.05),1,0))</f>
        <v>0</v>
      </c>
    </row>
    <row r="56" customFormat="false" ht="15" hidden="false" customHeight="false" outlineLevel="0" collapsed="false">
      <c r="B56" s="1" t="s">
        <v>1381</v>
      </c>
      <c r="C56" s="94"/>
      <c r="E56" s="23" t="s">
        <v>1382</v>
      </c>
      <c r="F56" s="23"/>
      <c r="G56" s="95" t="str">
        <f aca="false">IF(ISBLANK(C56),IF(Fill_Example="Yes",F56,""),IF(ISNUMBER(MATCH(C56,{"Yes","No","Not sure"},0)),C56,""))</f>
        <v/>
      </c>
      <c r="H56" s="95" t="n">
        <f aca="false">IF(G56="",0,1)</f>
        <v>0</v>
      </c>
    </row>
    <row r="57" customFormat="false" ht="15" hidden="false" customHeight="false" outlineLevel="0" collapsed="false">
      <c r="B57" s="1" t="s">
        <v>1383</v>
      </c>
      <c r="C57" s="94"/>
      <c r="E57" s="23" t="s">
        <v>1384</v>
      </c>
      <c r="F57" s="23" t="s">
        <v>1385</v>
      </c>
      <c r="G57" s="95" t="str">
        <f aca="false">IF(ISBLANK(C57),IF(Fill_Example="Yes",F57,""),IF(ISNUMBER(MATCH(C57,{"Expect full","Partly","Not sure"},0)),C57,""))</f>
        <v/>
      </c>
      <c r="H57" s="95" t="n">
        <f aca="false">IF(G57="",0,1)</f>
        <v>0</v>
      </c>
    </row>
    <row r="58" customFormat="false" ht="15" hidden="false" customHeight="false" outlineLevel="0" collapsed="false">
      <c r="B58" s="1" t="s">
        <v>1386</v>
      </c>
      <c r="C58" s="94"/>
      <c r="D58" s="1" t="s">
        <v>239</v>
      </c>
      <c r="E58" s="23" t="s">
        <v>1387</v>
      </c>
      <c r="F58" s="23"/>
      <c r="G58" s="95" t="n">
        <f aca="false">IF(ISBLANK(C58),IF(AND(Fill_Example="Yes",F58&lt;&gt;""),F58,0),IF(AND(ISNUMBER(C58),C58&gt;=0,C58&lt;=45,C58=INT(C58)),C58,0))</f>
        <v>0</v>
      </c>
      <c r="H58" s="95" t="n">
        <f aca="false">IF(ISBLANK(C58),IF(AND(Fill_Example="Yes",F58&lt;&gt;""),1,0),IF(AND(ISNUMBER(C58),C58&gt;=0,C58&lt;=45,C58=INT(C58)),1,0))</f>
        <v>0</v>
      </c>
    </row>
    <row r="59" customFormat="false" ht="15" hidden="false" customHeight="false" outlineLevel="0" collapsed="false">
      <c r="B59" s="1" t="s">
        <v>1388</v>
      </c>
      <c r="C59" s="94"/>
      <c r="E59" s="23" t="s">
        <v>1389</v>
      </c>
      <c r="F59" s="23"/>
      <c r="G59" s="95" t="str">
        <f aca="false">IF(ISBLANK(C59),IF(Fill_Example="Yes",F59,""),IF(ISNUMBER(MATCH(C59,{"Own full","Own partial","Qualified adult increase","None","Not sure"},0)),C59,""))</f>
        <v/>
      </c>
      <c r="H59" s="95" t="n">
        <f aca="false">IF(G59="",0,1)</f>
        <v>0</v>
      </c>
    </row>
    <row r="60" customFormat="false" ht="15" hidden="false" customHeight="false" outlineLevel="0" collapsed="false">
      <c r="B60" s="1" t="s">
        <v>1390</v>
      </c>
      <c r="C60" s="94"/>
      <c r="E60" s="23" t="s">
        <v>1391</v>
      </c>
      <c r="F60" s="23" t="s">
        <v>235</v>
      </c>
      <c r="G60" s="95" t="str">
        <f aca="false">IF(ISBLANK(C60),IF(Fill_Example="Yes",F60,""),IF(ISNUMBER(MATCH(C60,{"Yes","No","Not sure"},0)),C60,""))</f>
        <v/>
      </c>
      <c r="H60" s="95" t="n">
        <f aca="false">IF(G60="",0,1)</f>
        <v>0</v>
      </c>
    </row>
    <row r="61" customFormat="false" ht="15" hidden="false" customHeight="false" outlineLevel="0" collapsed="false">
      <c r="B61" s="1" t="s">
        <v>1392</v>
      </c>
      <c r="C61" s="94"/>
      <c r="E61" s="23" t="s">
        <v>1393</v>
      </c>
      <c r="F61" s="23" t="s">
        <v>3</v>
      </c>
      <c r="G61" s="95" t="str">
        <f aca="false">IF(ISBLANK(C61),IF(Fill_Example="Yes",F61,""),IF(ISNUMBER(MATCH(C61,{"Yes","No","Not sure"},0)),C61,""))</f>
        <v/>
      </c>
      <c r="H61" s="95" t="n">
        <f aca="false">IF(G61="",0,1)</f>
        <v>0</v>
      </c>
    </row>
    <row r="62" customFormat="false" ht="15" hidden="false" customHeight="false" outlineLevel="0" collapsed="false">
      <c r="B62" s="1" t="s">
        <v>1394</v>
      </c>
      <c r="C62" s="94"/>
      <c r="E62" s="23" t="s">
        <v>1395</v>
      </c>
      <c r="F62" s="23" t="s">
        <v>1396</v>
      </c>
      <c r="G62" s="95" t="str">
        <f aca="false">IF(ISBLANK(C62),IF(Fill_Example="Yes",F62,""),IF(ISNUMBER(MATCH(C62,{"Yes","No","Not sure"},0)),C62,""))</f>
        <v/>
      </c>
      <c r="H62" s="95" t="n">
        <f aca="false">IF(G62="",0,1)</f>
        <v>0</v>
      </c>
    </row>
    <row r="63" customFormat="false" ht="15" hidden="false" customHeight="false" outlineLevel="0" collapsed="false">
      <c r="B63" s="1" t="s">
        <v>1397</v>
      </c>
      <c r="C63" s="94"/>
      <c r="E63" s="23" t="s">
        <v>1398</v>
      </c>
      <c r="F63" s="23" t="s">
        <v>235</v>
      </c>
      <c r="G63" s="95" t="str">
        <f aca="false">IF(ISBLANK(C63),IF(Fill_Example="Yes",F63,""),IF(ISNUMBER(MATCH(C63,{"Yes","No","Not sure"},0)),C63,""))</f>
        <v/>
      </c>
      <c r="H63" s="95" t="n">
        <f aca="false">IF(G63="",0,1)</f>
        <v>0</v>
      </c>
    </row>
    <row r="64" customFormat="false" ht="15" hidden="false" customHeight="false" outlineLevel="0" collapsed="false">
      <c r="B64" s="1" t="s">
        <v>1399</v>
      </c>
      <c r="C64" s="94"/>
      <c r="E64" s="23" t="s">
        <v>1400</v>
      </c>
      <c r="F64" s="23" t="s">
        <v>235</v>
      </c>
      <c r="G64" s="95" t="str">
        <f aca="false">IF(ISBLANK(C64),IF(Fill_Example="Yes",F64,""),IF(ISNUMBER(MATCH(C64,{"Yes","No","Not sure"},0)),C64,""))</f>
        <v/>
      </c>
      <c r="H64" s="95" t="n">
        <f aca="false">IF(G64="",0,1)</f>
        <v>0</v>
      </c>
    </row>
    <row r="66" customFormat="false" ht="15" hidden="false" customHeight="false" outlineLevel="0" collapsed="false">
      <c r="B66" s="93" t="s">
        <v>1401</v>
      </c>
      <c r="C66" s="93" t="s">
        <v>221</v>
      </c>
      <c r="D66" s="93" t="s">
        <v>222</v>
      </c>
      <c r="E66" s="93" t="s">
        <v>1278</v>
      </c>
      <c r="F66" s="93" t="s">
        <v>1279</v>
      </c>
      <c r="G66" s="93" t="s">
        <v>1280</v>
      </c>
      <c r="H66" s="93" t="s">
        <v>1281</v>
      </c>
    </row>
    <row r="67" customFormat="false" ht="15" hidden="false" customHeight="false" outlineLevel="0" collapsed="false">
      <c r="B67" s="1" t="s">
        <v>1402</v>
      </c>
      <c r="C67" s="94"/>
      <c r="E67" s="23" t="s">
        <v>1403</v>
      </c>
      <c r="F67" s="23"/>
      <c r="G67" s="95" t="str">
        <f aca="false">IF(ISBLANK(C67),IF(Fill_Example="Yes",F67,""),IF(ISNUMBER(MATCH(C67,{"Yes","No"},0)),C67,""))</f>
        <v/>
      </c>
      <c r="H67" s="95" t="n">
        <f aca="false">IF(G67="",0,1)</f>
        <v>0</v>
      </c>
    </row>
    <row r="68" customFormat="false" ht="15" hidden="false" customHeight="false" outlineLevel="0" collapsed="false">
      <c r="B68" s="1" t="s">
        <v>1404</v>
      </c>
      <c r="C68" s="94"/>
      <c r="E68" s="23" t="s">
        <v>1405</v>
      </c>
      <c r="F68" s="23"/>
      <c r="G68" s="95" t="str">
        <f aca="false">IF(ISBLANK(C68),IF(Fill_Example="Yes",F68,""),IF(TRUE(),C68,""))</f>
        <v/>
      </c>
      <c r="H68" s="95" t="n">
        <f aca="false">IF(G68="",0,1)</f>
        <v>0</v>
      </c>
    </row>
    <row r="69" customFormat="false" ht="15" hidden="false" customHeight="false" outlineLevel="0" collapsed="false">
      <c r="B69" s="1" t="s">
        <v>1406</v>
      </c>
      <c r="C69" s="94"/>
      <c r="E69" s="23" t="s">
        <v>1407</v>
      </c>
      <c r="F69" s="23"/>
      <c r="G69" s="95" t="str">
        <f aca="false">IF(ISBLANK(C69),IF(Fill_Example="Yes",F69,""),IF(ISNUMBER(MATCH(C69,{"Yes","No"},0)),C69,""))</f>
        <v/>
      </c>
      <c r="H69" s="95" t="n">
        <f aca="false">IF(G69="",0,1)</f>
        <v>0</v>
      </c>
    </row>
    <row r="70" customFormat="false" ht="15" hidden="false" customHeight="false" outlineLevel="0" collapsed="false">
      <c r="B70" s="1" t="s">
        <v>1408</v>
      </c>
      <c r="C70" s="94"/>
      <c r="E70" s="23" t="s">
        <v>1409</v>
      </c>
      <c r="F70" s="23"/>
      <c r="G70" s="95" t="str">
        <f aca="false">IF(ISBLANK(C70),IF(Fill_Example="Yes",F70,""),IF(ISNUMBER(MATCH(C70,{"Yes","No"},0)),C70,""))</f>
        <v/>
      </c>
      <c r="H70" s="95" t="n">
        <f aca="false">IF(G70="",0,1)</f>
        <v>0</v>
      </c>
    </row>
    <row r="71" customFormat="false" ht="15" hidden="false" customHeight="false" outlineLevel="0" collapsed="false">
      <c r="B71" s="1" t="s">
        <v>1410</v>
      </c>
      <c r="C71" s="94"/>
      <c r="E71" s="23" t="s">
        <v>1411</v>
      </c>
      <c r="F71" s="23"/>
      <c r="G71" s="95" t="str">
        <f aca="false">IF(ISBLANK(C71),IF(Fill_Example="Yes",F71,""),IF(ISNUMBER(MATCH(C71,{"Yes","No"},0)),C71,""))</f>
        <v/>
      </c>
      <c r="H71" s="95" t="n">
        <f aca="false">IF(G71="",0,1)</f>
        <v>0</v>
      </c>
    </row>
    <row r="72" customFormat="false" ht="15" hidden="false" customHeight="false" outlineLevel="0" collapsed="false">
      <c r="B72" s="1" t="s">
        <v>1412</v>
      </c>
      <c r="C72" s="94"/>
      <c r="E72" s="23" t="s">
        <v>1413</v>
      </c>
      <c r="F72" s="23"/>
      <c r="G72" s="95" t="str">
        <f aca="false">IF(ISBLANK(C72),IF(Fill_Example="Yes",F72,""),IF(ISNUMBER(MATCH(C72,{"Yes","No"},0)),C72,""))</f>
        <v/>
      </c>
      <c r="H72" s="95" t="n">
        <f aca="false">IF(G72="",0,1)</f>
        <v>0</v>
      </c>
    </row>
    <row r="73" customFormat="false" ht="15" hidden="false" customHeight="false" outlineLevel="0" collapsed="false">
      <c r="B73" s="1" t="s">
        <v>1414</v>
      </c>
      <c r="C73" s="94"/>
      <c r="E73" s="23" t="s">
        <v>1415</v>
      </c>
      <c r="F73" s="23"/>
      <c r="G73" s="95" t="str">
        <f aca="false">IF(ISBLANK(C73),IF(Fill_Example="Yes",F73,""),IF(ISNUMBER(MATCH(C73,{"Yes","No"},0)),C73,""))</f>
        <v/>
      </c>
      <c r="H73" s="95" t="n">
        <f aca="false">IF(G73="",0,1)</f>
        <v>0</v>
      </c>
    </row>
    <row r="74" customFormat="false" ht="15" hidden="false" customHeight="false" outlineLevel="0" collapsed="false">
      <c r="B74" s="1" t="s">
        <v>1416</v>
      </c>
      <c r="C74" s="94"/>
      <c r="E74" s="23" t="s">
        <v>1417</v>
      </c>
      <c r="F74" s="23"/>
      <c r="G74" s="95" t="str">
        <f aca="false">IF(ISBLANK(C74),IF(Fill_Example="Yes",F74,""),IF(ISNUMBER(MATCH(C74,{"Yes","No"},0)),C74,""))</f>
        <v/>
      </c>
      <c r="H74" s="95" t="n">
        <f aca="false">IF(G74="",0,1)</f>
        <v>0</v>
      </c>
    </row>
    <row r="75" customFormat="false" ht="15" hidden="false" customHeight="false" outlineLevel="0" collapsed="false">
      <c r="B75" s="1" t="s">
        <v>1418</v>
      </c>
      <c r="C75" s="94"/>
      <c r="E75" s="23" t="s">
        <v>1419</v>
      </c>
      <c r="F75" s="23"/>
      <c r="G75" s="95" t="str">
        <f aca="false">IF(ISBLANK(C75),IF(Fill_Example="Yes",F75,""),IF(ISNUMBER(MATCH(C75,{"Yes","No"},0)),C75,""))</f>
        <v/>
      </c>
      <c r="H75" s="95" t="n">
        <f aca="false">IF(G75="",0,1)</f>
        <v>0</v>
      </c>
    </row>
    <row r="76" customFormat="false" ht="15" hidden="false" customHeight="false" outlineLevel="0" collapsed="false">
      <c r="B76" s="1" t="s">
        <v>1420</v>
      </c>
      <c r="C76" s="94"/>
      <c r="E76" s="23" t="s">
        <v>1421</v>
      </c>
      <c r="F76" s="23"/>
      <c r="G76" s="95" t="str">
        <f aca="false">IF(ISBLANK(C76),IF(Fill_Example="Yes",F76,""),IF(ISNUMBER(MATCH(C76,{"Yes","No"},0)),C76,""))</f>
        <v/>
      </c>
      <c r="H76" s="95" t="n">
        <f aca="false">IF(G76="",0,1)</f>
        <v>0</v>
      </c>
    </row>
    <row r="77" customFormat="false" ht="15" hidden="false" customHeight="false" outlineLevel="0" collapsed="false">
      <c r="B77" s="1" t="s">
        <v>1422</v>
      </c>
      <c r="C77" s="94"/>
      <c r="E77" s="23" t="s">
        <v>1423</v>
      </c>
      <c r="F77" s="23" t="s">
        <v>1424</v>
      </c>
      <c r="G77" s="95" t="str">
        <f aca="false">IF(ISBLANK(C77),IF(Fill_Example="Yes",F77,""),IF(TRUE(),C77,""))</f>
        <v/>
      </c>
      <c r="H77" s="95" t="n">
        <f aca="false">IF(G77="",0,1)</f>
        <v>0</v>
      </c>
    </row>
    <row r="78" customFormat="false" ht="15" hidden="false" customHeight="false" outlineLevel="0" collapsed="false">
      <c r="B78" s="1" t="s">
        <v>1425</v>
      </c>
      <c r="C78" s="94"/>
      <c r="E78" s="23" t="s">
        <v>1426</v>
      </c>
      <c r="F78" s="23"/>
      <c r="G78" s="95" t="str">
        <f aca="false">IF(ISBLANK(C78),IF(Fill_Example="Yes",F78,""),IF(TRUE(),C78,""))</f>
        <v/>
      </c>
      <c r="H78" s="95" t="n">
        <f aca="false">IF(G78="",0,1)</f>
        <v>0</v>
      </c>
    </row>
    <row r="80" customFormat="false" ht="15" hidden="false" customHeight="false" outlineLevel="0" collapsed="false">
      <c r="B80" s="93" t="s">
        <v>1427</v>
      </c>
      <c r="C80" s="93" t="s">
        <v>221</v>
      </c>
      <c r="D80" s="93" t="s">
        <v>222</v>
      </c>
      <c r="E80" s="93" t="s">
        <v>1278</v>
      </c>
      <c r="F80" s="93" t="s">
        <v>1279</v>
      </c>
      <c r="G80" s="93" t="s">
        <v>1280</v>
      </c>
      <c r="H80" s="93" t="s">
        <v>1281</v>
      </c>
    </row>
    <row r="81" customFormat="false" ht="15" hidden="false" customHeight="false" outlineLevel="0" collapsed="false">
      <c r="B81" s="1" t="s">
        <v>1428</v>
      </c>
      <c r="C81" s="94"/>
      <c r="D81" s="1" t="s">
        <v>1295</v>
      </c>
      <c r="E81" s="23" t="s">
        <v>1429</v>
      </c>
      <c r="F81" s="96" t="n">
        <f aca="false">Set_inv</f>
        <v>0.026</v>
      </c>
      <c r="G81" s="95" t="str">
        <f aca="false">IF(ISBLANK(C81),IF(AND(Fill_Example="Yes",F81&lt;&gt;""),F81,""),IF(AND(ISNUMBER(C81),C81&gt;=0,C81&lt;=0.07),C81,""))</f>
        <v/>
      </c>
      <c r="H81" s="95" t="n">
        <f aca="false">IF(G81="",0,1)</f>
        <v>0</v>
      </c>
    </row>
    <row r="82" customFormat="false" ht="15" hidden="false" customHeight="false" outlineLevel="0" collapsed="false">
      <c r="B82" s="1" t="s">
        <v>1430</v>
      </c>
      <c r="C82" s="94"/>
      <c r="D82" s="1" t="s">
        <v>1295</v>
      </c>
      <c r="E82" s="23" t="s">
        <v>1431</v>
      </c>
      <c r="F82" s="96" t="n">
        <f aca="false">Set_cash</f>
        <v>0.01</v>
      </c>
      <c r="G82" s="95" t="str">
        <f aca="false">IF(ISBLANK(C82),IF(AND(Fill_Example="Yes",F82&lt;&gt;""),F82,""),IF(AND(ISNUMBER(C82),C82&gt;=0,C82&lt;=0.04),C82,""))</f>
        <v/>
      </c>
      <c r="H82" s="95" t="n">
        <f aca="false">IF(G82="",0,1)</f>
        <v>0</v>
      </c>
    </row>
    <row r="83" customFormat="false" ht="15" hidden="false" customHeight="false" outlineLevel="0" collapsed="false">
      <c r="B83" s="1" t="s">
        <v>1432</v>
      </c>
      <c r="C83" s="94"/>
      <c r="D83" s="1" t="s">
        <v>1295</v>
      </c>
      <c r="E83" s="23" t="s">
        <v>1433</v>
      </c>
      <c r="F83" s="96" t="n">
        <f aca="false">Set_pen</f>
        <v>0.045</v>
      </c>
      <c r="G83" s="95" t="str">
        <f aca="false">IF(ISBLANK(C83),IF(AND(Fill_Example="Yes",F83&lt;&gt;""),F83,""),IF(AND(ISNUMBER(C83),C83&gt;=0,C83&lt;=0.07),C83,""))</f>
        <v/>
      </c>
      <c r="H83" s="95" t="n">
        <f aca="false">IF(G83="",0,1)</f>
        <v>0</v>
      </c>
    </row>
    <row r="84" customFormat="false" ht="15" hidden="false" customHeight="false" outlineLevel="0" collapsed="false">
      <c r="B84" s="1" t="s">
        <v>1434</v>
      </c>
      <c r="C84" s="94"/>
      <c r="D84" s="1" t="s">
        <v>1295</v>
      </c>
      <c r="E84" s="23" t="s">
        <v>1435</v>
      </c>
      <c r="F84" s="96" t="n">
        <f aca="false">Set_penRet</f>
        <v>0.0315</v>
      </c>
      <c r="G84" s="95" t="str">
        <f aca="false">IF(ISBLANK(C84),IF(AND(Fill_Example="Yes",F84&lt;&gt;""),F84,""),IF(AND(ISNUMBER(C84),C84&gt;=0,C84&lt;=0.07),C84,""))</f>
        <v/>
      </c>
      <c r="H84" s="95" t="n">
        <f aca="false">IF(G84="",0,1)</f>
        <v>0</v>
      </c>
    </row>
    <row r="85" customFormat="false" ht="15" hidden="false" customHeight="false" outlineLevel="0" collapsed="false">
      <c r="B85" s="1" t="s">
        <v>1436</v>
      </c>
      <c r="C85" s="94"/>
      <c r="D85" s="1" t="s">
        <v>1295</v>
      </c>
      <c r="E85" s="23" t="s">
        <v>1437</v>
      </c>
      <c r="F85" s="96" t="n">
        <f aca="false">Set_wage</f>
        <v>0.03</v>
      </c>
      <c r="G85" s="95" t="str">
        <f aca="false">IF(ISBLANK(C85),IF(AND(Fill_Example="Yes",F85&lt;&gt;""),F85,""),IF(AND(ISNUMBER(C85),C85&gt;=0,C85&lt;=0.06),C85,""))</f>
        <v/>
      </c>
      <c r="H85" s="95" t="n">
        <f aca="false">IF(G85="",0,1)</f>
        <v>0</v>
      </c>
    </row>
    <row r="86" customFormat="false" ht="15" hidden="false" customHeight="false" outlineLevel="0" collapsed="false">
      <c r="B86" s="1" t="s">
        <v>1438</v>
      </c>
      <c r="C86" s="94"/>
      <c r="E86" s="23" t="s">
        <v>1439</v>
      </c>
      <c r="F86" s="23" t="str">
        <f aca="false">Set_bands</f>
        <v>prices</v>
      </c>
      <c r="G86" s="95" t="str">
        <f aca="false">IF(ISBLANK(C86),IF(AND(Fill_Example="Yes",F86&lt;&gt;""),F86,""),IF(ISNUMBER(MATCH(C86,{"prices","flat"},0)),C86,""))</f>
        <v/>
      </c>
      <c r="H86" s="95" t="n">
        <f aca="false">IF(G86="",0,1)</f>
        <v>0</v>
      </c>
    </row>
    <row r="87" customFormat="false" ht="15" hidden="false" customHeight="false" outlineLevel="0" collapsed="false">
      <c r="B87" s="1" t="s">
        <v>1440</v>
      </c>
      <c r="C87" s="94"/>
      <c r="E87" s="23" t="s">
        <v>1441</v>
      </c>
      <c r="F87" s="23" t="str">
        <f aca="false">Set_spGrow</f>
        <v>prices</v>
      </c>
      <c r="G87" s="95" t="str">
        <f aca="false">IF(ISBLANK(C87),IF(AND(Fill_Example="Yes",F87&lt;&gt;""),F87,""),IF(ISNUMBER(MATCH(C87,{"prices","pay","flat"},0)),C87,""))</f>
        <v/>
      </c>
      <c r="H87" s="95" t="n">
        <f aca="false">IF(G87="",0,1)</f>
        <v>0</v>
      </c>
    </row>
    <row r="88" customFormat="false" ht="15" hidden="false" customHeight="false" outlineLevel="0" collapsed="false">
      <c r="B88" s="1" t="s">
        <v>1442</v>
      </c>
      <c r="C88" s="94"/>
      <c r="D88" s="1" t="s">
        <v>1295</v>
      </c>
      <c r="E88" s="23" t="s">
        <v>1443</v>
      </c>
      <c r="F88" s="96" t="n">
        <f aca="false">IF(In_work="Self-employed",1,Set_ownShare)</f>
        <v>0.5</v>
      </c>
      <c r="G88" s="95" t="str">
        <f aca="false">IF(ISBLANK(C88),IF(AND(Fill_Example="Yes",F88&lt;&gt;""),F88,""),IF(AND(ISNUMBER(C88),C88&gt;=0,C88&lt;=1),C88,""))</f>
        <v/>
      </c>
      <c r="H88" s="95" t="n">
        <f aca="false">IF(G88="",0,1)</f>
        <v>0</v>
      </c>
    </row>
    <row r="89" customFormat="false" ht="15" hidden="false" customHeight="false" outlineLevel="0" collapsed="false">
      <c r="B89" s="1" t="s">
        <v>1444</v>
      </c>
      <c r="C89" s="94"/>
      <c r="D89" s="1" t="s">
        <v>718</v>
      </c>
      <c r="E89" s="23" t="s">
        <v>1445</v>
      </c>
      <c r="F89" s="23" t="n">
        <f aca="false">Set_accessAge</f>
        <v>60</v>
      </c>
      <c r="G89" s="95" t="str">
        <f aca="false">IF(ISBLANK(C89),IF(AND(Fill_Example="Yes",F89&lt;&gt;""),F89,""),IF(ISNUMBER(MATCH(C89,{50,60},0)),C89,""))</f>
        <v/>
      </c>
      <c r="H89" s="95" t="n">
        <f aca="false">IF(G89="",0,1)</f>
        <v>0</v>
      </c>
    </row>
    <row r="90" customFormat="false" ht="15" hidden="false" customHeight="false" outlineLevel="0" collapsed="false">
      <c r="B90" s="1" t="s">
        <v>1446</v>
      </c>
      <c r="C90" s="94"/>
      <c r="D90" s="1" t="s">
        <v>1295</v>
      </c>
      <c r="E90" s="23" t="s">
        <v>1447</v>
      </c>
      <c r="F90" s="96" t="n">
        <f aca="false">Set_retireSpend</f>
        <v>0.8</v>
      </c>
      <c r="G90" s="95" t="str">
        <f aca="false">IF(ISBLANK(C90),IF(AND(Fill_Example="Yes",F90&lt;&gt;""),F90,""),IF(AND(ISNUMBER(C90),C90&gt;=0.5,C90&lt;=1.2),C90,""))</f>
        <v/>
      </c>
      <c r="H90" s="95" t="n">
        <f aca="false">IF(G90="",0,1)</f>
        <v>0</v>
      </c>
    </row>
    <row r="91" customFormat="false" ht="15" hidden="false" customHeight="false" outlineLevel="0" collapsed="false">
      <c r="B91" s="1" t="s">
        <v>1448</v>
      </c>
      <c r="C91" s="94"/>
      <c r="D91" s="1" t="s">
        <v>1295</v>
      </c>
      <c r="E91" s="23" t="s">
        <v>1449</v>
      </c>
      <c r="F91" s="96" t="n">
        <f aca="false">Set_lumpSum</f>
        <v>0.25</v>
      </c>
      <c r="G91" s="95" t="str">
        <f aca="false">IF(ISBLANK(C91),IF(AND(Fill_Example="Yes",F91&lt;&gt;""),F91,""),IF(AND(ISNUMBER(C91),C91&gt;=0,C91&lt;=0.25),C91,""))</f>
        <v/>
      </c>
      <c r="H91" s="95" t="n">
        <f aca="false">IF(G91="",0,1)</f>
        <v>0</v>
      </c>
    </row>
    <row r="92" customFormat="false" ht="15" hidden="false" customHeight="false" outlineLevel="0" collapsed="false">
      <c r="B92" s="1" t="s">
        <v>1450</v>
      </c>
      <c r="C92" s="94"/>
      <c r="E92" s="23" t="s">
        <v>1451</v>
      </c>
      <c r="F92" s="23" t="str">
        <f aca="false">Set_drawRule</f>
        <v>spread</v>
      </c>
      <c r="G92" s="95" t="str">
        <f aca="false">IF(ISBLANK(C92),IF(AND(Fill_Example="Yes",F92&lt;&gt;""),F92,""),IF(ISNUMBER(MATCH(C92,{"spread","min","fixed"},0)),C92,""))</f>
        <v/>
      </c>
      <c r="H92" s="95" t="n">
        <f aca="false">IF(G92="",0,1)</f>
        <v>0</v>
      </c>
    </row>
    <row r="93" customFormat="false" ht="15" hidden="false" customHeight="false" outlineLevel="0" collapsed="false">
      <c r="B93" s="1" t="s">
        <v>1452</v>
      </c>
      <c r="C93" s="94"/>
      <c r="D93" s="1" t="s">
        <v>226</v>
      </c>
      <c r="E93" s="23" t="s">
        <v>1453</v>
      </c>
      <c r="F93" s="23"/>
      <c r="G93" s="95" t="str">
        <f aca="false">IF(ISBLANK(C93),IF(AND(Fill_Example="Yes",F93&lt;&gt;""),F93,""),IF(AND(ISNUMBER(C93),C93&gt;=0,C93&lt;=200000),C93,""))</f>
        <v/>
      </c>
      <c r="H93" s="95" t="n">
        <f aca="false">IF(G93="",0,1)</f>
        <v>0</v>
      </c>
    </row>
    <row r="94" customFormat="false" ht="15" hidden="false" customHeight="false" outlineLevel="0" collapsed="false">
      <c r="B94" s="1" t="s">
        <v>1454</v>
      </c>
      <c r="C94" s="94"/>
      <c r="D94" s="1" t="s">
        <v>685</v>
      </c>
      <c r="E94" s="23" t="s">
        <v>1455</v>
      </c>
      <c r="F94" s="23" t="n">
        <f aca="false">IF(AS_TwoSecure=1,Set_safetyMonthsTwo,Set_safetyMonths)</f>
        <v>6</v>
      </c>
      <c r="G94" s="95" t="str">
        <f aca="false">IF(ISBLANK(C94),IF(AND(Fill_Example="Yes",F94&lt;&gt;""),F94,""),IF(AND(ISNUMBER(C94),C94&gt;=1,C94&lt;=12,C94=INT(C94)),C94,""))</f>
        <v/>
      </c>
      <c r="H94" s="95" t="n">
        <f aca="false">IF(G94="",0,1)</f>
        <v>0</v>
      </c>
    </row>
    <row r="95" customFormat="false" ht="15" hidden="false" customHeight="false" outlineLevel="0" collapsed="false">
      <c r="B95" s="1" t="s">
        <v>1456</v>
      </c>
      <c r="C95" s="94"/>
      <c r="D95" s="1" t="s">
        <v>239</v>
      </c>
      <c r="E95" s="23" t="s">
        <v>1457</v>
      </c>
      <c r="F95" s="23" t="n">
        <f aca="false">Set_cashYears</f>
        <v>5</v>
      </c>
      <c r="G95" s="95" t="str">
        <f aca="false">IF(ISBLANK(C95),IF(AND(Fill_Example="Yes",F95&lt;&gt;""),F95,""),IF(AND(ISNUMBER(C95),C95&gt;=1,C95&lt;=10,C95=INT(C95)),C95,""))</f>
        <v/>
      </c>
      <c r="H95" s="95" t="n">
        <f aca="false">IF(G95="",0,1)</f>
        <v>0</v>
      </c>
    </row>
    <row r="96" customFormat="false" ht="15" hidden="false" customHeight="false" outlineLevel="0" collapsed="false">
      <c r="B96" s="1" t="s">
        <v>1458</v>
      </c>
      <c r="C96" s="94"/>
      <c r="D96" s="1" t="s">
        <v>1295</v>
      </c>
      <c r="E96" s="23" t="s">
        <v>1459</v>
      </c>
      <c r="F96" s="96" t="n">
        <f aca="false">Set_investShare</f>
        <v>0.4</v>
      </c>
      <c r="G96" s="95" t="str">
        <f aca="false">IF(ISBLANK(C96),IF(AND(Fill_Example="Yes",F96&lt;&gt;""),F96,""),IF(AND(ISNUMBER(C96),C96&gt;=0,C96&lt;=1),C96,""))</f>
        <v/>
      </c>
      <c r="H96" s="95" t="n">
        <f aca="false">IF(G96="",0,1)</f>
        <v>0</v>
      </c>
    </row>
    <row r="97" customFormat="false" ht="15" hidden="false" customHeight="false" outlineLevel="0" collapsed="false">
      <c r="B97" s="1" t="s">
        <v>1460</v>
      </c>
      <c r="C97" s="94"/>
      <c r="D97" s="1" t="s">
        <v>1295</v>
      </c>
      <c r="E97" s="23" t="s">
        <v>1461</v>
      </c>
      <c r="F97" s="96" t="n">
        <f aca="false">Set_saveShare</f>
        <v>0.5</v>
      </c>
      <c r="G97" s="95" t="str">
        <f aca="false">IF(ISBLANK(C97),IF(AND(Fill_Example="Yes",F97&lt;&gt;""),F97,""),IF(AND(ISNUMBER(C97),C97&gt;=0,C97&lt;=1),C97,""))</f>
        <v/>
      </c>
      <c r="H97" s="95" t="n">
        <f aca="false">IF(G97="",0,1)</f>
        <v>0</v>
      </c>
    </row>
    <row r="98" customFormat="false" ht="15" hidden="false" customHeight="false" outlineLevel="0" collapsed="false">
      <c r="B98" s="1" t="s">
        <v>1462</v>
      </c>
      <c r="C98" s="94"/>
      <c r="D98" s="1" t="s">
        <v>1304</v>
      </c>
      <c r="E98" s="23" t="s">
        <v>1463</v>
      </c>
      <c r="F98" s="97" t="n">
        <f aca="false">Set_noAnswer</f>
        <v>300</v>
      </c>
      <c r="G98" s="95" t="str">
        <f aca="false">IF(ISBLANK(C98),IF(AND(Fill_Example="Yes",F98&lt;&gt;""),F98,""),IF(AND(ISNUMBER(C98),C98&gt;=0,C98&lt;=5000),C98,""))</f>
        <v/>
      </c>
      <c r="H98" s="95" t="n">
        <f aca="false">IF(G98="",0,1)</f>
        <v>0</v>
      </c>
    </row>
    <row r="99" customFormat="false" ht="15" hidden="false" customHeight="false" outlineLevel="0" collapsed="false">
      <c r="B99" s="1" t="s">
        <v>1464</v>
      </c>
      <c r="C99" s="94"/>
      <c r="D99" s="1" t="s">
        <v>718</v>
      </c>
      <c r="E99" s="23" t="s">
        <v>1465</v>
      </c>
      <c r="F99" s="23" t="n">
        <v>95</v>
      </c>
      <c r="G99" s="95" t="str">
        <f aca="false">IF(ISBLANK(C99),IF(AND(Fill_Example="Yes",F99&lt;&gt;""),F99,""),IF(AND(ISNUMBER(C99),C99&gt;=80,C99&lt;=105,C99=INT(C99)),C99,""))</f>
        <v/>
      </c>
      <c r="H99" s="95" t="n">
        <f aca="false">IF(G99="",0,1)</f>
        <v>0</v>
      </c>
    </row>
    <row r="100" customFormat="false" ht="15" hidden="false" customHeight="false" outlineLevel="0" collapsed="false">
      <c r="B100" s="1" t="s">
        <v>1466</v>
      </c>
      <c r="C100" s="94"/>
      <c r="D100" s="1" t="s">
        <v>1467</v>
      </c>
      <c r="E100" s="23" t="s">
        <v>1468</v>
      </c>
      <c r="F100" s="23" t="n">
        <f aca="true">IF(TODAY()&gt;PR_StartSwitch,2027,2026)</f>
        <v>2027</v>
      </c>
      <c r="G100" s="95" t="str">
        <f aca="false">IF(ISBLANK(C100),IF(AND(Fill_Example="Yes",F100&lt;&gt;""),F100,""),IF(ISNUMBER(MATCH(C100,{2026,2027},0)),C100,""))</f>
        <v/>
      </c>
      <c r="H100" s="95" t="n">
        <f aca="false">IF(G100="",0,1)</f>
        <v>0</v>
      </c>
    </row>
    <row r="101" customFormat="false" ht="15" hidden="false" customHeight="false" outlineLevel="0" collapsed="false">
      <c r="B101" s="1" t="s">
        <v>1469</v>
      </c>
      <c r="C101" s="94"/>
      <c r="D101" s="1" t="s">
        <v>1295</v>
      </c>
      <c r="E101" s="23" t="s">
        <v>1470</v>
      </c>
      <c r="F101" s="23" t="n">
        <v>0.0375</v>
      </c>
      <c r="G101" s="95" t="str">
        <f aca="false">IF(ISBLANK(C101),IF(AND(Fill_Example="Yes",F101&lt;&gt;""),F101,""),IF(AND(ISNUMBER(C101),C101&gt;=0.01,C101&lt;=0.08),C101,""))</f>
        <v/>
      </c>
      <c r="H101" s="95" t="n">
        <f aca="false">IF(G101="",0,1)</f>
        <v>0</v>
      </c>
    </row>
    <row r="102" customFormat="false" ht="15" hidden="false" customHeight="false" outlineLevel="0" collapsed="false">
      <c r="B102" s="1" t="s">
        <v>1471</v>
      </c>
      <c r="C102" s="94"/>
      <c r="D102" s="1" t="s">
        <v>1295</v>
      </c>
      <c r="E102" s="23" t="s">
        <v>1472</v>
      </c>
      <c r="F102" s="23" t="n">
        <v>0.2</v>
      </c>
      <c r="G102" s="95" t="str">
        <f aca="false">IF(ISBLANK(C102),IF(AND(Fill_Example="Yes",F102&lt;&gt;""),F102,""),IF(AND(ISNUMBER(C102),C102&gt;=0,C102&lt;=0.35),C102,""))</f>
        <v/>
      </c>
      <c r="H102" s="95" t="n">
        <f aca="false">IF(G102="",0,1)</f>
        <v>0</v>
      </c>
    </row>
    <row r="103" customFormat="false" ht="15" hidden="false" customHeight="false" outlineLevel="0" collapsed="false">
      <c r="B103" s="1" t="s">
        <v>1473</v>
      </c>
      <c r="C103" s="94"/>
      <c r="D103" s="1" t="s">
        <v>1295</v>
      </c>
      <c r="E103" s="23" t="s">
        <v>1474</v>
      </c>
      <c r="F103" s="23" t="n">
        <v>0.08</v>
      </c>
      <c r="G103" s="95" t="str">
        <f aca="false">IF(ISBLANK(C103),IF(AND(Fill_Example="Yes",F103&lt;&gt;""),F103,""),IF(AND(ISNUMBER(C103),C103&gt;=0,C103&lt;=0.25),C103,""))</f>
        <v/>
      </c>
      <c r="H103" s="95" t="n">
        <f aca="false">IF(G103="",0,1)</f>
        <v>0</v>
      </c>
    </row>
    <row r="104" customFormat="false" ht="15" hidden="false" customHeight="false" outlineLevel="0" collapsed="false">
      <c r="B104" s="1" t="s">
        <v>1475</v>
      </c>
      <c r="C104" s="94"/>
      <c r="D104" s="1" t="s">
        <v>1080</v>
      </c>
      <c r="E104" s="23" t="s">
        <v>1476</v>
      </c>
      <c r="F104" s="23"/>
      <c r="G104" s="95" t="str">
        <f aca="false">IF(ISBLANK(C104),IF(AND(Fill_Example="Yes",F104&lt;&gt;""),F104,""),IF(AND(ISNUMBER(C104),C104&gt;=0,C104&lt;=299.3),C104,""))</f>
        <v/>
      </c>
      <c r="H104" s="95" t="n">
        <f aca="false">IF(G104="",0,1)</f>
        <v>0</v>
      </c>
    </row>
    <row r="105" customFormat="false" ht="15" hidden="false" customHeight="false" outlineLevel="0" collapsed="false">
      <c r="B105" s="1" t="s">
        <v>1477</v>
      </c>
      <c r="C105" s="94"/>
      <c r="D105" s="1" t="s">
        <v>1080</v>
      </c>
      <c r="E105" s="23" t="s">
        <v>1478</v>
      </c>
      <c r="F105" s="23" t="n">
        <v>239.44</v>
      </c>
      <c r="G105" s="95" t="str">
        <f aca="false">IF(ISBLANK(C105),IF(AND(Fill_Example="Yes",F105&lt;&gt;""),F105,""),IF(AND(ISNUMBER(C105),C105&gt;=0,C105&lt;=299.3),C105,""))</f>
        <v/>
      </c>
      <c r="H105" s="95" t="n">
        <f aca="false">IF(G105="",0,1)</f>
        <v>0</v>
      </c>
    </row>
    <row r="106" customFormat="false" ht="15" hidden="false" customHeight="false" outlineLevel="0" collapsed="false">
      <c r="B106" s="1" t="s">
        <v>1479</v>
      </c>
      <c r="C106" s="94"/>
      <c r="D106" s="1" t="s">
        <v>239</v>
      </c>
      <c r="E106" s="23" t="s">
        <v>1480</v>
      </c>
      <c r="F106" s="23"/>
      <c r="G106" s="95" t="str">
        <f aca="false">IF(ISBLANK(C106),IF(AND(Fill_Example="Yes",F106&lt;&gt;""),F106,""),IF(AND(ISNUMBER(C106),C106&gt;=0,C106&lt;=45,C106=INT(C106)),C106,""))</f>
        <v/>
      </c>
      <c r="H106" s="95" t="n">
        <f aca="false">IF(G106="",0,1)</f>
        <v>0</v>
      </c>
    </row>
    <row r="107" customFormat="false" ht="15" hidden="false" customHeight="false" outlineLevel="0" collapsed="false">
      <c r="B107" s="1" t="s">
        <v>1481</v>
      </c>
      <c r="C107" s="94"/>
      <c r="D107" s="1" t="s">
        <v>1295</v>
      </c>
      <c r="E107" s="23" t="s">
        <v>1482</v>
      </c>
      <c r="F107" s="23"/>
      <c r="G107" s="95" t="str">
        <f aca="false">IF(ISBLANK(C107),IF(AND(Fill_Example="Yes",F107&lt;&gt;""),F107,""),IF(AND(ISNUMBER(C107),C107&gt;=0,C107&lt;=0.025),C107,""))</f>
        <v/>
      </c>
      <c r="H107" s="95" t="n">
        <f aca="false">IF(G107="",0,1)</f>
        <v>0</v>
      </c>
    </row>
    <row r="109" customFormat="false" ht="61.5" hidden="false" customHeight="true" outlineLevel="0" collapsed="false">
      <c r="B109" s="98" t="s">
        <v>1483</v>
      </c>
      <c r="C109" s="98" t="s">
        <v>1484</v>
      </c>
      <c r="D109" s="98" t="s">
        <v>1485</v>
      </c>
      <c r="E109" s="98" t="s">
        <v>1486</v>
      </c>
      <c r="F109" s="98" t="s">
        <v>1487</v>
      </c>
      <c r="G109" s="98" t="s">
        <v>382</v>
      </c>
      <c r="H109" s="98" t="s">
        <v>1488</v>
      </c>
      <c r="I109" s="98" t="s">
        <v>1489</v>
      </c>
      <c r="J109" s="98" t="s">
        <v>1490</v>
      </c>
      <c r="N109" s="93" t="s">
        <v>1491</v>
      </c>
      <c r="O109" s="93" t="s">
        <v>1492</v>
      </c>
      <c r="P109" s="93" t="s">
        <v>1493</v>
      </c>
      <c r="Q109" s="93" t="s">
        <v>1494</v>
      </c>
      <c r="R109" s="93" t="s">
        <v>1495</v>
      </c>
      <c r="S109" s="93" t="s">
        <v>1496</v>
      </c>
      <c r="T109" s="93" t="s">
        <v>1497</v>
      </c>
      <c r="U109" s="93" t="s">
        <v>1498</v>
      </c>
    </row>
    <row r="110" customFormat="false" ht="15" hidden="false" customHeight="false" outlineLevel="0" collapsed="false">
      <c r="B110" s="1" t="s">
        <v>1499</v>
      </c>
      <c r="C110" s="94"/>
      <c r="D110" s="94"/>
      <c r="E110" s="94"/>
      <c r="F110" s="94"/>
      <c r="G110" s="94"/>
      <c r="H110" s="94"/>
      <c r="I110" s="94"/>
      <c r="J110" s="94"/>
      <c r="N110" s="95" t="str">
        <f aca="false">IF(ISBLANK(C110),IF(Fill_Example="Yes","edu",""),IF(ISNUMBER(MATCH(C110,Goal_Keys,0)),C110,""))</f>
        <v/>
      </c>
      <c r="O110" s="95" t="str">
        <f aca="false">IF(ISBLANK(D110),IFERROR(INDEX(Goal_Titles,MATCH(N110,Goal_Keys,0)),""),D110)</f>
        <v/>
      </c>
      <c r="P110" s="95" t="n">
        <f aca="false">IF(ISBLANK(E110),IF(AND(ISBLANK(C110),Fill_Example="Yes"),48,MIN(PR_GoalMaxAge,In_age+IFERROR(INDEX(Goal_DefYrs,MATCH(N110,Goal_Keys,0)),0))),IF(AND(ISNUMBER(E110),E110&gt;=0,E110&lt;=105,E110=INT(E110)),E110,MIN(PR_GoalMaxAge,In_age+IFERROR(INDEX(Goal_DefYrs,MATCH(N110,Goal_Keys,0)),0))))</f>
        <v>0</v>
      </c>
      <c r="Q110" s="95" t="n">
        <f aca="false">IF(ISBLANK(F110),IF(AND(ISBLANK(C110),Fill_Example="Yes"),50000,IFERROR(INDEX(Goal_DefAmt,MATCH(N110,Goal_Keys,0)),0)),IF(AND(ISNUMBER(F110),F110&gt;=0,F110&lt;=100000000),F110,IFERROR(INDEX(Goal_DefAmt,MATCH(N110,Goal_Keys,0)),0)))</f>
        <v>0</v>
      </c>
      <c r="R110" s="95" t="n">
        <f aca="false">IF(ISBLANK(G110),IF(AND(ISBLANK(C110),Fill_Example="Yes"),0,0),IF(AND(ISNUMBER(G110),G110&gt;=0,G110&lt;=100000000),G110,0))</f>
        <v>0</v>
      </c>
      <c r="S110" s="95" t="str">
        <f aca="false">IF(ISBLANK(H110),IF(AND(ISBLANK(C110),Fill_Example="Yes"),"Must have","Must have"),IF(ISNUMBER(MATCH(H110,{"Must have","Nice to have"},0)),H110,"Must have"))</f>
        <v>Must have</v>
      </c>
      <c r="T110" s="95" t="str">
        <f aca="false">IF(ISBLANK(I110),"",IF(AND(ISNUMBER(I110),I110&gt;=1,I110&lt;=22,I110=INT(I110)),I110,""))</f>
        <v/>
      </c>
      <c r="U110" s="95" t="str">
        <f aca="false">IF(ISBLANK(J110),IF(AND(ISBLANK(C110),Fill_Example="Yes"),"No","No"),IF(ISNUMBER(MATCH(J110,{"Yes","No"},0)),J110,"No"))</f>
        <v>No</v>
      </c>
    </row>
    <row r="111" customFormat="false" ht="15" hidden="false" customHeight="false" outlineLevel="0" collapsed="false">
      <c r="B111" s="1" t="s">
        <v>1500</v>
      </c>
      <c r="C111" s="94"/>
      <c r="D111" s="94"/>
      <c r="E111" s="94"/>
      <c r="F111" s="94"/>
      <c r="G111" s="94"/>
      <c r="H111" s="94"/>
      <c r="I111" s="94"/>
      <c r="J111" s="94"/>
      <c r="N111" s="95" t="str">
        <f aca="false">IF(ISBLANK(C111),IF(Fill_Example="Yes","travel",""),IF(ISNUMBER(MATCH(C111,Goal_Keys,0)),C111,""))</f>
        <v/>
      </c>
      <c r="O111" s="95" t="str">
        <f aca="false">IF(ISBLANK(D111),IFERROR(INDEX(Goal_Titles,MATCH(N111,Goal_Keys,0)),""),D111)</f>
        <v/>
      </c>
      <c r="P111" s="95" t="n">
        <f aca="false">IF(ISBLANK(E111),IF(AND(ISBLANK(C111),Fill_Example="Yes"),41,MIN(PR_GoalMaxAge,In_age+IFERROR(INDEX(Goal_DefYrs,MATCH(N111,Goal_Keys,0)),0))),IF(AND(ISNUMBER(E111),E111&gt;=0,E111&lt;=105,E111=INT(E111)),E111,MIN(PR_GoalMaxAge,In_age+IFERROR(INDEX(Goal_DefYrs,MATCH(N111,Goal_Keys,0)),0))))</f>
        <v>0</v>
      </c>
      <c r="Q111" s="95" t="n">
        <f aca="false">IF(ISBLANK(F111),IF(AND(ISBLANK(C111),Fill_Example="Yes"),12000,IFERROR(INDEX(Goal_DefAmt,MATCH(N111,Goal_Keys,0)),0)),IF(AND(ISNUMBER(F111),F111&gt;=0,F111&lt;=100000000),F111,IFERROR(INDEX(Goal_DefAmt,MATCH(N111,Goal_Keys,0)),0)))</f>
        <v>0</v>
      </c>
      <c r="R111" s="95" t="n">
        <f aca="false">IF(ISBLANK(G111),IF(AND(ISBLANK(C111),Fill_Example="Yes"),0,0),IF(AND(ISNUMBER(G111),G111&gt;=0,G111&lt;=100000000),G111,0))</f>
        <v>0</v>
      </c>
      <c r="S111" s="95" t="str">
        <f aca="false">IF(ISBLANK(H111),IF(AND(ISBLANK(C111),Fill_Example="Yes"),"Must have","Must have"),IF(ISNUMBER(MATCH(H111,{"Must have","Nice to have"},0)),H111,"Must have"))</f>
        <v>Must have</v>
      </c>
      <c r="T111" s="95" t="str">
        <f aca="false">IF(ISBLANK(I111),"",IF(AND(ISNUMBER(I111),I111&gt;=1,I111&lt;=22,I111=INT(I111)),I111,""))</f>
        <v/>
      </c>
      <c r="U111" s="95" t="str">
        <f aca="false">IF(ISBLANK(J111),IF(AND(ISBLANK(C111),Fill_Example="Yes"),"No","No"),IF(ISNUMBER(MATCH(J111,{"Yes","No"},0)),J111,"No"))</f>
        <v>No</v>
      </c>
    </row>
    <row r="112" customFormat="false" ht="15" hidden="false" customHeight="false" outlineLevel="0" collapsed="false">
      <c r="B112" s="1" t="s">
        <v>1501</v>
      </c>
      <c r="C112" s="94"/>
      <c r="D112" s="94"/>
      <c r="E112" s="94"/>
      <c r="F112" s="94"/>
      <c r="G112" s="94"/>
      <c r="H112" s="94"/>
      <c r="I112" s="94"/>
      <c r="J112" s="94"/>
      <c r="N112" s="95" t="str">
        <f aca="false">IF(ISBLANK(C112),IF(Fill_Example="Yes","mfree",""),IF(ISNUMBER(MATCH(C112,Goal_Keys,0)),C112,""))</f>
        <v/>
      </c>
      <c r="O112" s="95" t="str">
        <f aca="false">IF(ISBLANK(D112),IFERROR(INDEX(Goal_Titles,MATCH(N112,Goal_Keys,0)),""),D112)</f>
        <v/>
      </c>
      <c r="P112" s="95" t="n">
        <f aca="false">IF(ISBLANK(E112),IF(AND(ISBLANK(C112),Fill_Example="Yes"),55,MIN(PR_GoalMaxAge,In_age+IFERROR(INDEX(Goal_DefYrs,MATCH(N112,Goal_Keys,0)),0))),IF(AND(ISNUMBER(E112),E112&gt;=0,E112&lt;=105,E112=INT(E112)),E112,MIN(PR_GoalMaxAge,In_age+IFERROR(INDEX(Goal_DefYrs,MATCH(N112,Goal_Keys,0)),0))))</f>
        <v>0</v>
      </c>
      <c r="Q112" s="95" t="n">
        <f aca="false">IF(ISBLANK(F112),IF(AND(ISBLANK(C112),Fill_Example="Yes"),150000,IFERROR(INDEX(Goal_DefAmt,MATCH(N112,Goal_Keys,0)),0)),IF(AND(ISNUMBER(F112),F112&gt;=0,F112&lt;=100000000),F112,IFERROR(INDEX(Goal_DefAmt,MATCH(N112,Goal_Keys,0)),0)))</f>
        <v>0</v>
      </c>
      <c r="R112" s="95" t="n">
        <f aca="false">IF(ISBLANK(G112),IF(AND(ISBLANK(C112),Fill_Example="Yes"),0,0),IF(AND(ISNUMBER(G112),G112&gt;=0,G112&lt;=100000000),G112,0))</f>
        <v>0</v>
      </c>
      <c r="S112" s="95" t="str">
        <f aca="false">IF(ISBLANK(H112),IF(AND(ISBLANK(C112),Fill_Example="Yes"),"Must have","Must have"),IF(ISNUMBER(MATCH(H112,{"Must have","Nice to have"},0)),H112,"Must have"))</f>
        <v>Must have</v>
      </c>
      <c r="T112" s="95" t="str">
        <f aca="false">IF(ISBLANK(I112),"",IF(AND(ISNUMBER(I112),I112&gt;=1,I112&lt;=22,I112=INT(I112)),I112,""))</f>
        <v/>
      </c>
      <c r="U112" s="95" t="str">
        <f aca="false">IF(ISBLANK(J112),IF(AND(ISBLANK(C112),Fill_Example="Yes"),"No","No"),IF(ISNUMBER(MATCH(J112,{"Yes","No"},0)),J112,"No"))</f>
        <v>No</v>
      </c>
    </row>
    <row r="113" customFormat="false" ht="15" hidden="false" customHeight="false" outlineLevel="0" collapsed="false">
      <c r="B113" s="1" t="s">
        <v>1502</v>
      </c>
      <c r="C113" s="94"/>
      <c r="D113" s="94"/>
      <c r="E113" s="94"/>
      <c r="F113" s="94"/>
      <c r="G113" s="94"/>
      <c r="H113" s="94"/>
      <c r="I113" s="94"/>
      <c r="J113" s="94"/>
      <c r="N113" s="95" t="str">
        <f aca="false">IF(ISBLANK(C113),IF(Fill_Example="Yes","safety",""),IF(ISNUMBER(MATCH(C113,Goal_Keys,0)),C113,""))</f>
        <v/>
      </c>
      <c r="O113" s="95" t="str">
        <f aca="false">IF(ISBLANK(D113),IFERROR(INDEX(Goal_Titles,MATCH(N113,Goal_Keys,0)),""),D113)</f>
        <v/>
      </c>
      <c r="P113" s="95" t="n">
        <f aca="false">IF(ISBLANK(E113),IF(AND(ISBLANK(C113),Fill_Example="Yes"),40,MIN(PR_GoalMaxAge,In_age+IFERROR(INDEX(Goal_DefYrs,MATCH(N113,Goal_Keys,0)),0))),IF(AND(ISNUMBER(E113),E113&gt;=0,E113&lt;=105,E113=INT(E113)),E113,MIN(PR_GoalMaxAge,In_age+IFERROR(INDEX(Goal_DefYrs,MATCH(N113,Goal_Keys,0)),0))))</f>
        <v>0</v>
      </c>
      <c r="Q113" s="95" t="n">
        <f aca="false">IF(ISBLANK(F113),IF(AND(ISBLANK(C113),Fill_Example="Yes"),15000,IFERROR(INDEX(Goal_DefAmt,MATCH(N113,Goal_Keys,0)),0)),IF(AND(ISNUMBER(F113),F113&gt;=0,F113&lt;=100000000),F113,IFERROR(INDEX(Goal_DefAmt,MATCH(N113,Goal_Keys,0)),0)))</f>
        <v>0</v>
      </c>
      <c r="R113" s="95" t="n">
        <f aca="false">IF(ISBLANK(G113),IF(AND(ISBLANK(C113),Fill_Example="Yes"),5000,0),IF(AND(ISNUMBER(G113),G113&gt;=0,G113&lt;=100000000),G113,0))</f>
        <v>0</v>
      </c>
      <c r="S113" s="95" t="str">
        <f aca="false">IF(ISBLANK(H113),IF(AND(ISBLANK(C113),Fill_Example="Yes"),"Must have","Must have"),IF(ISNUMBER(MATCH(H113,{"Must have","Nice to have"},0)),H113,"Must have"))</f>
        <v>Must have</v>
      </c>
      <c r="T113" s="95" t="str">
        <f aca="false">IF(ISBLANK(I113),"",IF(AND(ISNUMBER(I113),I113&gt;=1,I113&lt;=22,I113=INT(I113)),I113,""))</f>
        <v/>
      </c>
      <c r="U113" s="95" t="str">
        <f aca="false">IF(ISBLANK(J113),IF(AND(ISBLANK(C113),Fill_Example="Yes"),"No","No"),IF(ISNUMBER(MATCH(J113,{"Yes","No"},0)),J113,"No"))</f>
        <v>No</v>
      </c>
    </row>
    <row r="114" customFormat="false" ht="15" hidden="false" customHeight="false" outlineLevel="0" collapsed="false">
      <c r="B114" s="1" t="s">
        <v>1503</v>
      </c>
      <c r="C114" s="94"/>
      <c r="D114" s="94"/>
      <c r="E114" s="94"/>
      <c r="F114" s="94"/>
      <c r="G114" s="94"/>
      <c r="H114" s="94"/>
      <c r="I114" s="94"/>
      <c r="J114" s="94"/>
      <c r="N114" s="95" t="str">
        <f aca="false">IF(ISBLANK(C114),IF(Fill_Example="Yes","retire",""),IF(ISNUMBER(MATCH(C114,Goal_Keys,0)),C114,""))</f>
        <v/>
      </c>
      <c r="O114" s="95" t="str">
        <f aca="false">IF(ISBLANK(D114),IFERROR(INDEX(Goal_Titles,MATCH(N114,Goal_Keys,0)),""),D114)</f>
        <v/>
      </c>
      <c r="P114" s="95" t="n">
        <f aca="false">IF(ISBLANK(E114),IF(AND(ISBLANK(C114),Fill_Example="Yes"),63,MIN(PR_GoalMaxAge,In_age+IFERROR(INDEX(Goal_DefYrs,MATCH(N114,Goal_Keys,0)),0))),IF(AND(ISNUMBER(E114),E114&gt;=0,E114&lt;=105,E114=INT(E114)),E114,MIN(PR_GoalMaxAge,In_age+IFERROR(INDEX(Goal_DefYrs,MATCH(N114,Goal_Keys,0)),0))))</f>
        <v>0</v>
      </c>
      <c r="Q114" s="95" t="n">
        <f aca="false">IF(ISBLANK(F114),IF(AND(ISBLANK(C114),Fill_Example="Yes"),46000,IFERROR(INDEX(Goal_DefAmt,MATCH(N114,Goal_Keys,0)),0)),IF(AND(ISNUMBER(F114),F114&gt;=0,F114&lt;=100000000),F114,IFERROR(INDEX(Goal_DefAmt,MATCH(N114,Goal_Keys,0)),0)))</f>
        <v>0</v>
      </c>
      <c r="R114" s="95" t="n">
        <f aca="false">IF(ISBLANK(G114),IF(AND(ISBLANK(C114),Fill_Example="Yes"),0,0),IF(AND(ISNUMBER(G114),G114&gt;=0,G114&lt;=100000000),G114,0))</f>
        <v>0</v>
      </c>
      <c r="S114" s="95" t="str">
        <f aca="false">IF(ISBLANK(H114),IF(AND(ISBLANK(C114),Fill_Example="Yes"),"Must have","Must have"),IF(ISNUMBER(MATCH(H114,{"Must have","Nice to have"},0)),H114,"Must have"))</f>
        <v>Must have</v>
      </c>
      <c r="T114" s="95" t="str">
        <f aca="false">IF(ISBLANK(I114),"",IF(AND(ISNUMBER(I114),I114&gt;=1,I114&lt;=22,I114=INT(I114)),I114,""))</f>
        <v/>
      </c>
      <c r="U114" s="95" t="str">
        <f aca="false">IF(ISBLANK(J114),IF(AND(ISBLANK(C114),Fill_Example="Yes"),"No","No"),IF(ISNUMBER(MATCH(J114,{"Yes","No"},0)),J114,"No"))</f>
        <v>No</v>
      </c>
    </row>
    <row r="115" customFormat="false" ht="15" hidden="false" customHeight="false" outlineLevel="0" collapsed="false">
      <c r="B115" s="1" t="s">
        <v>1504</v>
      </c>
      <c r="C115" s="94"/>
      <c r="D115" s="94"/>
      <c r="E115" s="94"/>
      <c r="F115" s="94"/>
      <c r="G115" s="94"/>
      <c r="H115" s="94"/>
      <c r="I115" s="94"/>
      <c r="J115" s="94"/>
      <c r="N115" s="95" t="str">
        <f aca="false">IF(ISBLANK(C115),IF(Fill_Example="Yes","",""),IF(ISNUMBER(MATCH(C115,Goal_Keys,0)),C115,""))</f>
        <v/>
      </c>
      <c r="O115" s="95" t="str">
        <f aca="false">IF(ISBLANK(D115),IFERROR(INDEX(Goal_Titles,MATCH(N115,Goal_Keys,0)),""),D115)</f>
        <v/>
      </c>
      <c r="P115" s="95" t="n">
        <f aca="false">IF(ISBLANK(E115),IF(AND(ISBLANK(C115),Fill_Example="Yes"),0,MIN(PR_GoalMaxAge,In_age+IFERROR(INDEX(Goal_DefYrs,MATCH(N115,Goal_Keys,0)),0))),IF(AND(ISNUMBER(E115),E115&gt;=0,E115&lt;=105,E115=INT(E115)),E115,MIN(PR_GoalMaxAge,In_age+IFERROR(INDEX(Goal_DefYrs,MATCH(N115,Goal_Keys,0)),0))))</f>
        <v>0</v>
      </c>
      <c r="Q115" s="95" t="n">
        <f aca="false">IF(ISBLANK(F115),IF(AND(ISBLANK(C115),Fill_Example="Yes"),0,IFERROR(INDEX(Goal_DefAmt,MATCH(N115,Goal_Keys,0)),0)),IF(AND(ISNUMBER(F115),F115&gt;=0,F115&lt;=100000000),F115,IFERROR(INDEX(Goal_DefAmt,MATCH(N115,Goal_Keys,0)),0)))</f>
        <v>0</v>
      </c>
      <c r="R115" s="95" t="n">
        <f aca="false">IF(ISBLANK(G115),IF(AND(ISBLANK(C115),Fill_Example="Yes"),0,0),IF(AND(ISNUMBER(G115),G115&gt;=0,G115&lt;=100000000),G115,0))</f>
        <v>0</v>
      </c>
      <c r="S115" s="95" t="str">
        <f aca="false">IF(ISBLANK(H115),IF(AND(ISBLANK(C115),Fill_Example="Yes"),"Must have","Must have"),IF(ISNUMBER(MATCH(H115,{"Must have","Nice to have"},0)),H115,"Must have"))</f>
        <v>Must have</v>
      </c>
      <c r="T115" s="95" t="str">
        <f aca="false">IF(ISBLANK(I115),"",IF(AND(ISNUMBER(I115),I115&gt;=1,I115&lt;=22,I115=INT(I115)),I115,""))</f>
        <v/>
      </c>
      <c r="U115" s="95" t="str">
        <f aca="false">IF(ISBLANK(J115),IF(AND(ISBLANK(C115),Fill_Example="Yes"),"No","No"),IF(ISNUMBER(MATCH(J115,{"Yes","No"},0)),J115,"No"))</f>
        <v>No</v>
      </c>
    </row>
    <row r="116" customFormat="false" ht="15" hidden="false" customHeight="fals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AND(ISNUMBER(E116),E116&gt;=0,E116&lt;=105,E116=INT(E116)),E116,MIN(PR_GoalMaxAge,In_age+IFERROR(INDEX(Goal_DefYrs,MATCH(N116,Goal_Keys,0)),0))))</f>
        <v>0</v>
      </c>
      <c r="Q116" s="95" t="n">
        <f aca="false">IF(ISBLANK(F116),IF(AND(ISBLANK(C116),Fill_Example="Yes"),0,IFERROR(INDEX(Goal_DefAmt,MATCH(N116,Goal_Keys,0)),0)),IF(AND(ISNUMBER(F116),F116&gt;=0,F116&lt;=100000000),F116,IFERROR(INDEX(Goal_DefAmt,MATCH(N116,Goal_Keys,0)),0)))</f>
        <v>0</v>
      </c>
      <c r="R116" s="95" t="n">
        <f aca="false">IF(ISBLANK(G116),IF(AND(ISBLANK(C116),Fill_Example="Yes"),0,0),IF(AND(ISNUMBER(G116),G116&gt;=0,G116&lt;=100000000),G116,0))</f>
        <v>0</v>
      </c>
      <c r="S116" s="95" t="str">
        <f aca="false">IF(ISBLANK(H116),IF(AND(ISBLANK(C116),Fill_Example="Yes"),"Must have","Must have"),IF(ISNUMBER(MATCH(H116,{"Must have","Nice to have"},0)),H116,"Must have"))</f>
        <v>Must have</v>
      </c>
      <c r="T116" s="95" t="str">
        <f aca="false">IF(ISBLANK(I116),"",IF(AND(ISNUMBER(I116),I116&gt;=1,I116&lt;=22,I116=INT(I116)),I116,""))</f>
        <v/>
      </c>
      <c r="U116" s="95" t="str">
        <f aca="false">IF(ISBLANK(J116),IF(AND(ISBLANK(C116),Fill_Example="Yes"),"No","No"),IF(ISNUMBER(MATCH(J116,{"Yes","No"},0)),J116,"No"))</f>
        <v>No</v>
      </c>
    </row>
    <row r="117" customFormat="false" ht="15" hidden="false" customHeight="fals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AND(ISNUMBER(E117),E117&gt;=0,E117&lt;=105,E117=INT(E117)),E117,MIN(PR_GoalMaxAge,In_age+IFERROR(INDEX(Goal_DefYrs,MATCH(N117,Goal_Keys,0)),0))))</f>
        <v>0</v>
      </c>
      <c r="Q117" s="95" t="n">
        <f aca="false">IF(ISBLANK(F117),IF(AND(ISBLANK(C117),Fill_Example="Yes"),0,IFERROR(INDEX(Goal_DefAmt,MATCH(N117,Goal_Keys,0)),0)),IF(AND(ISNUMBER(F117),F117&gt;=0,F117&lt;=100000000),F117,IFERROR(INDEX(Goal_DefAmt,MATCH(N117,Goal_Keys,0)),0)))</f>
        <v>0</v>
      </c>
      <c r="R117" s="95" t="n">
        <f aca="false">IF(ISBLANK(G117),IF(AND(ISBLANK(C117),Fill_Example="Yes"),0,0),IF(AND(ISNUMBER(G117),G117&gt;=0,G117&lt;=100000000),G117,0))</f>
        <v>0</v>
      </c>
      <c r="S117" s="95" t="str">
        <f aca="false">IF(ISBLANK(H117),IF(AND(ISBLANK(C117),Fill_Example="Yes"),"Must have","Must have"),IF(ISNUMBER(MATCH(H117,{"Must have","Nice to have"},0)),H117,"Must have"))</f>
        <v>Must have</v>
      </c>
      <c r="T117" s="95" t="str">
        <f aca="false">IF(ISBLANK(I117),"",IF(AND(ISNUMBER(I117),I117&gt;=1,I117&lt;=22,I117=INT(I117)),I117,""))</f>
        <v/>
      </c>
      <c r="U117" s="95" t="str">
        <f aca="false">IF(ISBLANK(J117),IF(AND(ISBLANK(C117),Fill_Example="Yes"),"No","No"),IF(ISNUMBER(MATCH(J117,{"Yes","No"},0)),J117,"No"))</f>
        <v>No</v>
      </c>
    </row>
    <row r="118" customFormat="false" ht="15" hidden="false" customHeight="fals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AND(ISNUMBER(E118),E118&gt;=0,E118&lt;=105,E118=INT(E118)),E118,MIN(PR_GoalMaxAge,In_age+IFERROR(INDEX(Goal_DefYrs,MATCH(N118,Goal_Keys,0)),0))))</f>
        <v>0</v>
      </c>
      <c r="Q118" s="95" t="n">
        <f aca="false">IF(ISBLANK(F118),IF(AND(ISBLANK(C118),Fill_Example="Yes"),0,IFERROR(INDEX(Goal_DefAmt,MATCH(N118,Goal_Keys,0)),0)),IF(AND(ISNUMBER(F118),F118&gt;=0,F118&lt;=100000000),F118,IFERROR(INDEX(Goal_DefAmt,MATCH(N118,Goal_Keys,0)),0)))</f>
        <v>0</v>
      </c>
      <c r="R118" s="95" t="n">
        <f aca="false">IF(ISBLANK(G118),IF(AND(ISBLANK(C118),Fill_Example="Yes"),0,0),IF(AND(ISNUMBER(G118),G118&gt;=0,G118&lt;=100000000),G118,0))</f>
        <v>0</v>
      </c>
      <c r="S118" s="95" t="str">
        <f aca="false">IF(ISBLANK(H118),IF(AND(ISBLANK(C118),Fill_Example="Yes"),"Must have","Must have"),IF(ISNUMBER(MATCH(H118,{"Must have","Nice to have"},0)),H118,"Must have"))</f>
        <v>Must have</v>
      </c>
      <c r="T118" s="95" t="str">
        <f aca="false">IF(ISBLANK(I118),"",IF(AND(ISNUMBER(I118),I118&gt;=1,I118&lt;=22,I118=INT(I118)),I118,""))</f>
        <v/>
      </c>
      <c r="U118" s="95" t="str">
        <f aca="false">IF(ISBLANK(J118),IF(AND(ISBLANK(C118),Fill_Example="Yes"),"No","No"),IF(ISNUMBER(MATCH(J118,{"Yes","No"},0)),J118,"No"))</f>
        <v>No</v>
      </c>
    </row>
    <row r="119" customFormat="false" ht="15" hidden="false" customHeight="fals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AND(ISNUMBER(E119),E119&gt;=0,E119&lt;=105,E119=INT(E119)),E119,MIN(PR_GoalMaxAge,In_age+IFERROR(INDEX(Goal_DefYrs,MATCH(N119,Goal_Keys,0)),0))))</f>
        <v>0</v>
      </c>
      <c r="Q119" s="95" t="n">
        <f aca="false">IF(ISBLANK(F119),IF(AND(ISBLANK(C119),Fill_Example="Yes"),0,IFERROR(INDEX(Goal_DefAmt,MATCH(N119,Goal_Keys,0)),0)),IF(AND(ISNUMBER(F119),F119&gt;=0,F119&lt;=100000000),F119,IFERROR(INDEX(Goal_DefAmt,MATCH(N119,Goal_Keys,0)),0)))</f>
        <v>0</v>
      </c>
      <c r="R119" s="95" t="n">
        <f aca="false">IF(ISBLANK(G119),IF(AND(ISBLANK(C119),Fill_Example="Yes"),0,0),IF(AND(ISNUMBER(G119),G119&gt;=0,G119&lt;=100000000),G119,0))</f>
        <v>0</v>
      </c>
      <c r="S119" s="95" t="str">
        <f aca="false">IF(ISBLANK(H119),IF(AND(ISBLANK(C119),Fill_Example="Yes"),"Must have","Must have"),IF(ISNUMBER(MATCH(H119,{"Must have","Nice to have"},0)),H119,"Must have"))</f>
        <v>Must have</v>
      </c>
      <c r="T119" s="95" t="str">
        <f aca="false">IF(ISBLANK(I119),"",IF(AND(ISNUMBER(I119),I119&gt;=1,I119&lt;=22,I119=INT(I119)),I119,""))</f>
        <v/>
      </c>
      <c r="U119" s="95" t="str">
        <f aca="false">IF(ISBLANK(J119),IF(AND(ISBLANK(C119),Fill_Example="Yes"),"No","No"),IF(ISNUMBER(MATCH(J119,{"Yes","No"},0)),J119,"No"))</f>
        <v>No</v>
      </c>
    </row>
    <row r="120" customFormat="false" ht="15" hidden="false" customHeight="fals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AND(ISNUMBER(E120),E120&gt;=0,E120&lt;=105,E120=INT(E120)),E120,MIN(PR_GoalMaxAge,In_age+IFERROR(INDEX(Goal_DefYrs,MATCH(N120,Goal_Keys,0)),0))))</f>
        <v>0</v>
      </c>
      <c r="Q120" s="95" t="n">
        <f aca="false">IF(ISBLANK(F120),IF(AND(ISBLANK(C120),Fill_Example="Yes"),0,IFERROR(INDEX(Goal_DefAmt,MATCH(N120,Goal_Keys,0)),0)),IF(AND(ISNUMBER(F120),F120&gt;=0,F120&lt;=100000000),F120,IFERROR(INDEX(Goal_DefAmt,MATCH(N120,Goal_Keys,0)),0)))</f>
        <v>0</v>
      </c>
      <c r="R120" s="95" t="n">
        <f aca="false">IF(ISBLANK(G120),IF(AND(ISBLANK(C120),Fill_Example="Yes"),0,0),IF(AND(ISNUMBER(G120),G120&gt;=0,G120&lt;=100000000),G120,0))</f>
        <v>0</v>
      </c>
      <c r="S120" s="95" t="str">
        <f aca="false">IF(ISBLANK(H120),IF(AND(ISBLANK(C120),Fill_Example="Yes"),"Must have","Must have"),IF(ISNUMBER(MATCH(H120,{"Must have","Nice to have"},0)),H120,"Must have"))</f>
        <v>Must have</v>
      </c>
      <c r="T120" s="95" t="str">
        <f aca="false">IF(ISBLANK(I120),"",IF(AND(ISNUMBER(I120),I120&gt;=1,I120&lt;=22,I120=INT(I120)),I120,""))</f>
        <v/>
      </c>
      <c r="U120" s="95" t="str">
        <f aca="false">IF(ISBLANK(J120),IF(AND(ISBLANK(C120),Fill_Example="Yes"),"No","No"),IF(ISNUMBER(MATCH(J120,{"Yes","No"},0)),J120,"No"))</f>
        <v>No</v>
      </c>
    </row>
    <row r="121" customFormat="false" ht="15" hidden="false" customHeight="fals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AND(ISNUMBER(E121),E121&gt;=0,E121&lt;=105,E121=INT(E121)),E121,MIN(PR_GoalMaxAge,In_age+IFERROR(INDEX(Goal_DefYrs,MATCH(N121,Goal_Keys,0)),0))))</f>
        <v>0</v>
      </c>
      <c r="Q121" s="95" t="n">
        <f aca="false">IF(ISBLANK(F121),IF(AND(ISBLANK(C121),Fill_Example="Yes"),0,IFERROR(INDEX(Goal_DefAmt,MATCH(N121,Goal_Keys,0)),0)),IF(AND(ISNUMBER(F121),F121&gt;=0,F121&lt;=100000000),F121,IFERROR(INDEX(Goal_DefAmt,MATCH(N121,Goal_Keys,0)),0)))</f>
        <v>0</v>
      </c>
      <c r="R121" s="95" t="n">
        <f aca="false">IF(ISBLANK(G121),IF(AND(ISBLANK(C121),Fill_Example="Yes"),0,0),IF(AND(ISNUMBER(G121),G121&gt;=0,G121&lt;=100000000),G121,0))</f>
        <v>0</v>
      </c>
      <c r="S121" s="95" t="str">
        <f aca="false">IF(ISBLANK(H121),IF(AND(ISBLANK(C121),Fill_Example="Yes"),"Must have","Must have"),IF(ISNUMBER(MATCH(H121,{"Must have","Nice to have"},0)),H121,"Must have"))</f>
        <v>Must have</v>
      </c>
      <c r="T121" s="95" t="str">
        <f aca="false">IF(ISBLANK(I121),"",IF(AND(ISNUMBER(I121),I121&gt;=1,I121&lt;=22,I121=INT(I121)),I121,""))</f>
        <v/>
      </c>
      <c r="U121" s="95" t="str">
        <f aca="false">IF(ISBLANK(J121),IF(AND(ISBLANK(C121),Fill_Example="Yes"),"No","No"),IF(ISNUMBER(MATCH(J121,{"Yes","No"},0)),J121,"No"))</f>
        <v>No</v>
      </c>
    </row>
    <row r="122" customFormat="false" ht="15" hidden="false" customHeight="fals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AND(ISNUMBER(E122),E122&gt;=0,E122&lt;=105,E122=INT(E122)),E122,MIN(PR_GoalMaxAge,In_age+IFERROR(INDEX(Goal_DefYrs,MATCH(N122,Goal_Keys,0)),0))))</f>
        <v>0</v>
      </c>
      <c r="Q122" s="95" t="n">
        <f aca="false">IF(ISBLANK(F122),IF(AND(ISBLANK(C122),Fill_Example="Yes"),0,IFERROR(INDEX(Goal_DefAmt,MATCH(N122,Goal_Keys,0)),0)),IF(AND(ISNUMBER(F122),F122&gt;=0,F122&lt;=100000000),F122,IFERROR(INDEX(Goal_DefAmt,MATCH(N122,Goal_Keys,0)),0)))</f>
        <v>0</v>
      </c>
      <c r="R122" s="95" t="n">
        <f aca="false">IF(ISBLANK(G122),IF(AND(ISBLANK(C122),Fill_Example="Yes"),0,0),IF(AND(ISNUMBER(G122),G122&gt;=0,G122&lt;=100000000),G122,0))</f>
        <v>0</v>
      </c>
      <c r="S122" s="95" t="str">
        <f aca="false">IF(ISBLANK(H122),IF(AND(ISBLANK(C122),Fill_Example="Yes"),"Must have","Must have"),IF(ISNUMBER(MATCH(H122,{"Must have","Nice to have"},0)),H122,"Must have"))</f>
        <v>Must have</v>
      </c>
      <c r="T122" s="95" t="str">
        <f aca="false">IF(ISBLANK(I122),"",IF(AND(ISNUMBER(I122),I122&gt;=1,I122&lt;=22,I122=INT(I122)),I122,""))</f>
        <v/>
      </c>
      <c r="U122" s="95" t="str">
        <f aca="false">IF(ISBLANK(J122),IF(AND(ISBLANK(C122),Fill_Example="Yes"),"No","No"),IF(ISNUMBER(MATCH(J122,{"Yes","No"},0)),J122,"No"))</f>
        <v>No</v>
      </c>
    </row>
    <row r="123" customFormat="false" ht="15" hidden="false" customHeight="fals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AND(ISNUMBER(E123),E123&gt;=0,E123&lt;=105,E123=INT(E123)),E123,MIN(PR_GoalMaxAge,In_age+IFERROR(INDEX(Goal_DefYrs,MATCH(N123,Goal_Keys,0)),0))))</f>
        <v>0</v>
      </c>
      <c r="Q123" s="95" t="n">
        <f aca="false">IF(ISBLANK(F123),IF(AND(ISBLANK(C123),Fill_Example="Yes"),0,IFERROR(INDEX(Goal_DefAmt,MATCH(N123,Goal_Keys,0)),0)),IF(AND(ISNUMBER(F123),F123&gt;=0,F123&lt;=100000000),F123,IFERROR(INDEX(Goal_DefAmt,MATCH(N123,Goal_Keys,0)),0)))</f>
        <v>0</v>
      </c>
      <c r="R123" s="95" t="n">
        <f aca="false">IF(ISBLANK(G123),IF(AND(ISBLANK(C123),Fill_Example="Yes"),0,0),IF(AND(ISNUMBER(G123),G123&gt;=0,G123&lt;=100000000),G123,0))</f>
        <v>0</v>
      </c>
      <c r="S123" s="95" t="str">
        <f aca="false">IF(ISBLANK(H123),IF(AND(ISBLANK(C123),Fill_Example="Yes"),"Must have","Must have"),IF(ISNUMBER(MATCH(H123,{"Must have","Nice to have"},0)),H123,"Must have"))</f>
        <v>Must have</v>
      </c>
      <c r="T123" s="95" t="str">
        <f aca="false">IF(ISBLANK(I123),"",IF(AND(ISNUMBER(I123),I123&gt;=1,I123&lt;=22,I123=INT(I123)),I123,""))</f>
        <v/>
      </c>
      <c r="U123" s="95" t="str">
        <f aca="false">IF(ISBLANK(J123),IF(AND(ISBLANK(C123),Fill_Example="Yes"),"No","No"),IF(ISNUMBER(MATCH(J123,{"Yes","No"},0)),J123,"No"))</f>
        <v>No</v>
      </c>
    </row>
    <row r="124" customFormat="false" ht="15" hidden="false" customHeight="fals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AND(ISNUMBER(E124),E124&gt;=0,E124&lt;=105,E124=INT(E124)),E124,MIN(PR_GoalMaxAge,In_age+IFERROR(INDEX(Goal_DefYrs,MATCH(N124,Goal_Keys,0)),0))))</f>
        <v>0</v>
      </c>
      <c r="Q124" s="95" t="n">
        <f aca="false">IF(ISBLANK(F124),IF(AND(ISBLANK(C124),Fill_Example="Yes"),0,IFERROR(INDEX(Goal_DefAmt,MATCH(N124,Goal_Keys,0)),0)),IF(AND(ISNUMBER(F124),F124&gt;=0,F124&lt;=100000000),F124,IFERROR(INDEX(Goal_DefAmt,MATCH(N124,Goal_Keys,0)),0)))</f>
        <v>0</v>
      </c>
      <c r="R124" s="95" t="n">
        <f aca="false">IF(ISBLANK(G124),IF(AND(ISBLANK(C124),Fill_Example="Yes"),0,0),IF(AND(ISNUMBER(G124),G124&gt;=0,G124&lt;=100000000),G124,0))</f>
        <v>0</v>
      </c>
      <c r="S124" s="95" t="str">
        <f aca="false">IF(ISBLANK(H124),IF(AND(ISBLANK(C124),Fill_Example="Yes"),"Must have","Must have"),IF(ISNUMBER(MATCH(H124,{"Must have","Nice to have"},0)),H124,"Must have"))</f>
        <v>Must have</v>
      </c>
      <c r="T124" s="95" t="str">
        <f aca="false">IF(ISBLANK(I124),"",IF(AND(ISNUMBER(I124),I124&gt;=1,I124&lt;=22,I124=INT(I124)),I124,""))</f>
        <v/>
      </c>
      <c r="U124" s="95" t="str">
        <f aca="false">IF(ISBLANK(J124),IF(AND(ISBLANK(C124),Fill_Example="Yes"),"No","No"),IF(ISNUMBER(MATCH(J124,{"Yes","No"},0)),J124,"No"))</f>
        <v>No</v>
      </c>
    </row>
    <row r="125" customFormat="false" ht="15" hidden="false" customHeight="fals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AND(ISNUMBER(E125),E125&gt;=0,E125&lt;=105,E125=INT(E125)),E125,MIN(PR_GoalMaxAge,In_age+IFERROR(INDEX(Goal_DefYrs,MATCH(N125,Goal_Keys,0)),0))))</f>
        <v>0</v>
      </c>
      <c r="Q125" s="95" t="n">
        <f aca="false">IF(ISBLANK(F125),IF(AND(ISBLANK(C125),Fill_Example="Yes"),0,IFERROR(INDEX(Goal_DefAmt,MATCH(N125,Goal_Keys,0)),0)),IF(AND(ISNUMBER(F125),F125&gt;=0,F125&lt;=100000000),F125,IFERROR(INDEX(Goal_DefAmt,MATCH(N125,Goal_Keys,0)),0)))</f>
        <v>0</v>
      </c>
      <c r="R125" s="95" t="n">
        <f aca="false">IF(ISBLANK(G125),IF(AND(ISBLANK(C125),Fill_Example="Yes"),0,0),IF(AND(ISNUMBER(G125),G125&gt;=0,G125&lt;=100000000),G125,0))</f>
        <v>0</v>
      </c>
      <c r="S125" s="95" t="str">
        <f aca="false">IF(ISBLANK(H125),IF(AND(ISBLANK(C125),Fill_Example="Yes"),"Must have","Must have"),IF(ISNUMBER(MATCH(H125,{"Must have","Nice to have"},0)),H125,"Must have"))</f>
        <v>Must have</v>
      </c>
      <c r="T125" s="95" t="str">
        <f aca="false">IF(ISBLANK(I125),"",IF(AND(ISNUMBER(I125),I125&gt;=1,I125&lt;=22,I125=INT(I125)),I125,""))</f>
        <v/>
      </c>
      <c r="U125" s="95" t="str">
        <f aca="false">IF(ISBLANK(J125),IF(AND(ISBLANK(C125),Fill_Example="Yes"),"No","No"),IF(ISNUMBER(MATCH(J125,{"Yes","No"},0)),J125,"No"))</f>
        <v>No</v>
      </c>
    </row>
    <row r="126" customFormat="false" ht="15" hidden="false" customHeight="fals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AND(ISNUMBER(E126),E126&gt;=0,E126&lt;=105,E126=INT(E126)),E126,MIN(PR_GoalMaxAge,In_age+IFERROR(INDEX(Goal_DefYrs,MATCH(N126,Goal_Keys,0)),0))))</f>
        <v>0</v>
      </c>
      <c r="Q126" s="95" t="n">
        <f aca="false">IF(ISBLANK(F126),IF(AND(ISBLANK(C126),Fill_Example="Yes"),0,IFERROR(INDEX(Goal_DefAmt,MATCH(N126,Goal_Keys,0)),0)),IF(AND(ISNUMBER(F126),F126&gt;=0,F126&lt;=100000000),F126,IFERROR(INDEX(Goal_DefAmt,MATCH(N126,Goal_Keys,0)),0)))</f>
        <v>0</v>
      </c>
      <c r="R126" s="95" t="n">
        <f aca="false">IF(ISBLANK(G126),IF(AND(ISBLANK(C126),Fill_Example="Yes"),0,0),IF(AND(ISNUMBER(G126),G126&gt;=0,G126&lt;=100000000),G126,0))</f>
        <v>0</v>
      </c>
      <c r="S126" s="95" t="str">
        <f aca="false">IF(ISBLANK(H126),IF(AND(ISBLANK(C126),Fill_Example="Yes"),"Must have","Must have"),IF(ISNUMBER(MATCH(H126,{"Must have","Nice to have"},0)),H126,"Must have"))</f>
        <v>Must have</v>
      </c>
      <c r="T126" s="95" t="str">
        <f aca="false">IF(ISBLANK(I126),"",IF(AND(ISNUMBER(I126),I126&gt;=1,I126&lt;=22,I126=INT(I126)),I126,""))</f>
        <v/>
      </c>
      <c r="U126" s="95" t="str">
        <f aca="false">IF(ISBLANK(J126),IF(AND(ISBLANK(C126),Fill_Example="Yes"),"No","No"),IF(ISNUMBER(MATCH(J126,{"Yes","No"},0)),J126,"No"))</f>
        <v>No</v>
      </c>
    </row>
    <row r="127" customFormat="false" ht="15" hidden="false" customHeight="fals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AND(ISNUMBER(E127),E127&gt;=0,E127&lt;=105,E127=INT(E127)),E127,MIN(PR_GoalMaxAge,In_age+IFERROR(INDEX(Goal_DefYrs,MATCH(N127,Goal_Keys,0)),0))))</f>
        <v>0</v>
      </c>
      <c r="Q127" s="95" t="n">
        <f aca="false">IF(ISBLANK(F127),IF(AND(ISBLANK(C127),Fill_Example="Yes"),0,IFERROR(INDEX(Goal_DefAmt,MATCH(N127,Goal_Keys,0)),0)),IF(AND(ISNUMBER(F127),F127&gt;=0,F127&lt;=100000000),F127,IFERROR(INDEX(Goal_DefAmt,MATCH(N127,Goal_Keys,0)),0)))</f>
        <v>0</v>
      </c>
      <c r="R127" s="95" t="n">
        <f aca="false">IF(ISBLANK(G127),IF(AND(ISBLANK(C127),Fill_Example="Yes"),0,0),IF(AND(ISNUMBER(G127),G127&gt;=0,G127&lt;=100000000),G127,0))</f>
        <v>0</v>
      </c>
      <c r="S127" s="95" t="str">
        <f aca="false">IF(ISBLANK(H127),IF(AND(ISBLANK(C127),Fill_Example="Yes"),"Must have","Must have"),IF(ISNUMBER(MATCH(H127,{"Must have","Nice to have"},0)),H127,"Must have"))</f>
        <v>Must have</v>
      </c>
      <c r="T127" s="95" t="str">
        <f aca="false">IF(ISBLANK(I127),"",IF(AND(ISNUMBER(I127),I127&gt;=1,I127&lt;=22,I127=INT(I127)),I127,""))</f>
        <v/>
      </c>
      <c r="U127" s="95" t="str">
        <f aca="false">IF(ISBLANK(J127),IF(AND(ISBLANK(C127),Fill_Example="Yes"),"No","No"),IF(ISNUMBER(MATCH(J127,{"Yes","No"},0)),J127,"No"))</f>
        <v>No</v>
      </c>
    </row>
    <row r="128" customFormat="false" ht="15" hidden="false" customHeight="fals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AND(ISNUMBER(E128),E128&gt;=0,E128&lt;=105,E128=INT(E128)),E128,MIN(PR_GoalMaxAge,In_age+IFERROR(INDEX(Goal_DefYrs,MATCH(N128,Goal_Keys,0)),0))))</f>
        <v>0</v>
      </c>
      <c r="Q128" s="95" t="n">
        <f aca="false">IF(ISBLANK(F128),IF(AND(ISBLANK(C128),Fill_Example="Yes"),0,IFERROR(INDEX(Goal_DefAmt,MATCH(N128,Goal_Keys,0)),0)),IF(AND(ISNUMBER(F128),F128&gt;=0,F128&lt;=100000000),F128,IFERROR(INDEX(Goal_DefAmt,MATCH(N128,Goal_Keys,0)),0)))</f>
        <v>0</v>
      </c>
      <c r="R128" s="95" t="n">
        <f aca="false">IF(ISBLANK(G128),IF(AND(ISBLANK(C128),Fill_Example="Yes"),0,0),IF(AND(ISNUMBER(G128),G128&gt;=0,G128&lt;=100000000),G128,0))</f>
        <v>0</v>
      </c>
      <c r="S128" s="95" t="str">
        <f aca="false">IF(ISBLANK(H128),IF(AND(ISBLANK(C128),Fill_Example="Yes"),"Must have","Must have"),IF(ISNUMBER(MATCH(H128,{"Must have","Nice to have"},0)),H128,"Must have"))</f>
        <v>Must have</v>
      </c>
      <c r="T128" s="95" t="str">
        <f aca="false">IF(ISBLANK(I128),"",IF(AND(ISNUMBER(I128),I128&gt;=1,I128&lt;=22,I128=INT(I128)),I128,""))</f>
        <v/>
      </c>
      <c r="U128" s="95" t="str">
        <f aca="false">IF(ISBLANK(J128),IF(AND(ISBLANK(C128),Fill_Example="Yes"),"No","No"),IF(ISNUMBER(MATCH(J128,{"Yes","No"},0)),J128,"No"))</f>
        <v>No</v>
      </c>
    </row>
    <row r="129" customFormat="false" ht="15" hidden="false" customHeight="fals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AND(ISNUMBER(E129),E129&gt;=0,E129&lt;=105,E129=INT(E129)),E129,MIN(PR_GoalMaxAge,In_age+IFERROR(INDEX(Goal_DefYrs,MATCH(N129,Goal_Keys,0)),0))))</f>
        <v>0</v>
      </c>
      <c r="Q129" s="95" t="n">
        <f aca="false">IF(ISBLANK(F129),IF(AND(ISBLANK(C129),Fill_Example="Yes"),0,IFERROR(INDEX(Goal_DefAmt,MATCH(N129,Goal_Keys,0)),0)),IF(AND(ISNUMBER(F129),F129&gt;=0,F129&lt;=100000000),F129,IFERROR(INDEX(Goal_DefAmt,MATCH(N129,Goal_Keys,0)),0)))</f>
        <v>0</v>
      </c>
      <c r="R129" s="95" t="n">
        <f aca="false">IF(ISBLANK(G129),IF(AND(ISBLANK(C129),Fill_Example="Yes"),0,0),IF(AND(ISNUMBER(G129),G129&gt;=0,G129&lt;=100000000),G129,0))</f>
        <v>0</v>
      </c>
      <c r="S129" s="95" t="str">
        <f aca="false">IF(ISBLANK(H129),IF(AND(ISBLANK(C129),Fill_Example="Yes"),"Must have","Must have"),IF(ISNUMBER(MATCH(H129,{"Must have","Nice to have"},0)),H129,"Must have"))</f>
        <v>Must have</v>
      </c>
      <c r="T129" s="95" t="str">
        <f aca="false">IF(ISBLANK(I129),"",IF(AND(ISNUMBER(I129),I129&gt;=1,I129&lt;=22,I129=INT(I129)),I129,""))</f>
        <v/>
      </c>
      <c r="U129" s="95" t="str">
        <f aca="false">IF(ISBLANK(J129),IF(AND(ISBLANK(C129),Fill_Example="Yes"),"No","No"),IF(ISNUMBER(MATCH(J129,{"Yes","No"},0)),J129,"No"))</f>
        <v>No</v>
      </c>
    </row>
    <row r="130" customFormat="false" ht="15" hidden="false" customHeight="fals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AND(ISNUMBER(E130),E130&gt;=0,E130&lt;=105,E130=INT(E130)),E130,MIN(PR_GoalMaxAge,In_age+IFERROR(INDEX(Goal_DefYrs,MATCH(N130,Goal_Keys,0)),0))))</f>
        <v>0</v>
      </c>
      <c r="Q130" s="95" t="n">
        <f aca="false">IF(ISBLANK(F130),IF(AND(ISBLANK(C130),Fill_Example="Yes"),0,IFERROR(INDEX(Goal_DefAmt,MATCH(N130,Goal_Keys,0)),0)),IF(AND(ISNUMBER(F130),F130&gt;=0,F130&lt;=100000000),F130,IFERROR(INDEX(Goal_DefAmt,MATCH(N130,Goal_Keys,0)),0)))</f>
        <v>0</v>
      </c>
      <c r="R130" s="95" t="n">
        <f aca="false">IF(ISBLANK(G130),IF(AND(ISBLANK(C130),Fill_Example="Yes"),0,0),IF(AND(ISNUMBER(G130),G130&gt;=0,G130&lt;=100000000),G130,0))</f>
        <v>0</v>
      </c>
      <c r="S130" s="95" t="str">
        <f aca="false">IF(ISBLANK(H130),IF(AND(ISBLANK(C130),Fill_Example="Yes"),"Must have","Must have"),IF(ISNUMBER(MATCH(H130,{"Must have","Nice to have"},0)),H130,"Must have"))</f>
        <v>Must have</v>
      </c>
      <c r="T130" s="95" t="str">
        <f aca="false">IF(ISBLANK(I130),"",IF(AND(ISNUMBER(I130),I130&gt;=1,I130&lt;=22,I130=INT(I130)),I130,""))</f>
        <v/>
      </c>
      <c r="U130" s="95" t="str">
        <f aca="false">IF(ISBLANK(J130),IF(AND(ISBLANK(C130),Fill_Example="Yes"),"No","No"),IF(ISNUMBER(MATCH(J130,{"Yes","No"},0)),J130,"No"))</f>
        <v>No</v>
      </c>
    </row>
    <row r="131" customFormat="false" ht="15" hidden="false" customHeight="fals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AND(ISNUMBER(E131),E131&gt;=0,E131&lt;=105,E131=INT(E131)),E131,MIN(PR_GoalMaxAge,In_age+IFERROR(INDEX(Goal_DefYrs,MATCH(N131,Goal_Keys,0)),0))))</f>
        <v>0</v>
      </c>
      <c r="Q131" s="95" t="n">
        <f aca="false">IF(ISBLANK(F131),IF(AND(ISBLANK(C131),Fill_Example="Yes"),0,IFERROR(INDEX(Goal_DefAmt,MATCH(N131,Goal_Keys,0)),0)),IF(AND(ISNUMBER(F131),F131&gt;=0,F131&lt;=100000000),F131,IFERROR(INDEX(Goal_DefAmt,MATCH(N131,Goal_Keys,0)),0)))</f>
        <v>0</v>
      </c>
      <c r="R131" s="95" t="n">
        <f aca="false">IF(ISBLANK(G131),IF(AND(ISBLANK(C131),Fill_Example="Yes"),0,0),IF(AND(ISNUMBER(G131),G131&gt;=0,G131&lt;=100000000),G131,0))</f>
        <v>0</v>
      </c>
      <c r="S131" s="95" t="str">
        <f aca="false">IF(ISBLANK(H131),IF(AND(ISBLANK(C131),Fill_Example="Yes"),"Must have","Must have"),IF(ISNUMBER(MATCH(H131,{"Must have","Nice to have"},0)),H131,"Must have"))</f>
        <v>Must have</v>
      </c>
      <c r="T131" s="95" t="str">
        <f aca="false">IF(ISBLANK(I131),"",IF(AND(ISNUMBER(I131),I131&gt;=1,I131&lt;=22,I131=INT(I131)),I131,""))</f>
        <v/>
      </c>
      <c r="U131" s="95" t="str">
        <f aca="false">IF(ISBLANK(J131),IF(AND(ISBLANK(C131),Fill_Example="Yes"),"No","No"),IF(ISNUMBER(MATCH(J131,{"Yes","No"},0)),J131,"No"))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Your age: allowed 18 to 80 (whole numbers)" errorStyle="stop" errorTitle="Outside the allowed range" operator="between" showDropDown="false" showErrorMessage="true" showInputMessage="false" sqref="C5" type="whole">
      <formula1>18</formula1>
      <formula2>80</formula2>
    </dataValidation>
    <dataValidation allowBlank="true" error="Choose one of: Yes,No" errorStyle="stop" errorTitle="Not in the list" operator="between" showDropDown="false" showErrorMessage="true" showInputMessage="false" sqref="C6" type="list">
      <formula1>"Yes,No"</formula1>
      <formula2>0</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8"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9"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0"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1" type="decimal">
      <formula1>0</formula1>
      <formula2>0.1</formula2>
    </dataValidation>
    <dataValidation allowBlank="true" error="Choose one of: Standard,Cautious" errorStyle="stop" errorTitle="Not in the list" operator="between" showDropDown="false" showErrorMessage="true" showInputMessage="false" sqref="C12"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3"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4" type="decimal">
      <formula1>0</formula1>
      <formula2>1000000</formula2>
    </dataValidation>
    <dataValidation allowBlank="true" error="Choose one of: Yes,No" errorStyle="stop" errorTitle="Not in the list" operator="between" showDropDown="false" showErrorMessage="true" showInputMessage="false" sqref="C15"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6" type="decimal">
      <formula1>0</formula1>
      <formula2>100000</formula2>
    </dataValidation>
    <dataValidation allowBlank="true" error="Choose one of: Yes,No" errorStyle="stop" errorTitle="Not in the list" operator="between" showDropDown="false" showErrorMessage="true" showInputMessage="false" sqref="C17" type="list">
      <formula1>"Yes,No"</formula1>
      <formula2>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2"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3"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4" type="decimal">
      <formula1>0</formula1>
      <formula2>2000000</formula2>
    </dataValidation>
    <dataValidation allowBlank="true" error="Choose one of: Employed,Self-employed,Not working" errorStyle="stop" errorTitle="Not in the list" operator="between" showDropDown="false" showErrorMessage="true" showInputMessage="false" sqref="C27"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8"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age: allowed 18 to 85 (whole numbers)" errorStyle="stop" errorTitle="Outside the allowed range" operator="between" showDropDown="false" showErrorMessage="true" showInputMessage="false" sqref="C30" type="whole">
      <formula1>18</formula1>
      <formula2>85</formula2>
    </dataValidation>
    <dataValidation allowBlank="true" error="Other income a month (before tax): allowed 0 to 1e+08" errorStyle="stop" errorTitle="Outside the allowed range" operator="between" showDropDown="false" showErrorMessage="true" showInputMessage="false" sqref="C31"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2"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3"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4"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5"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6"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7" type="decimal">
      <formula1>0</formula1>
      <formula2>100000000</formula2>
    </dataValidation>
    <dataValidation allowBlank="true" error="Cash savings: allowed 0 to 1e+08" errorStyle="stop" errorTitle="Outside the allowed range" operator="between" showDropDown="false" showErrorMessage="true" showInputMessage="false" sqref="C38" type="decimal">
      <formula1>0</formula1>
      <formula2>100000000</formula2>
    </dataValidation>
    <dataValidation allowBlank="true" error="Investments: allowed 0 to 1e+08" errorStyle="stop" errorTitle="Outside the allowed range" operator="between" showDropDown="false" showErrorMessage="true" showInputMessage="false" sqref="C39" type="decimal">
      <formula1>0</formula1>
      <formula2>100000000</formula2>
    </dataValidation>
    <dataValidation allowBlank="true" error="Mortgage left: allowed 0 to 1e+08" errorStyle="stop" errorTitle="Outside the allowed range" operator="between" showDropDown="false" showErrorMessage="true" showInputMessage="false" sqref="C40"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1"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2"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3"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4"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5"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6" type="decimal">
      <formula1>0</formula1>
      <formula2>0.3</formula2>
    </dataValidation>
    <dataValidation allowBlank="true" error="Other loans: total owed: allowed 0 to 1e+08" errorStyle="stop" errorTitle="Outside the allowed range" operator="between" showDropDown="false" showErrorMessage="true" showInputMessage="false" sqref="C47"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8"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49"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0"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1"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2"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3"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4"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5" type="decimal">
      <formula1>0</formula1>
      <formula2>0.05</formula2>
    </dataValidation>
    <dataValidation allowBlank="true" error="Choose one of: Yes,No,Not sure" errorStyle="stop" errorTitle="Not in the list" operator="between" showDropDown="false" showErrorMessage="true" showInputMessage="false" sqref="C56" type="list">
      <formula1>"Yes,No,Not sure"</formula1>
      <formula2>0</formula2>
    </dataValidation>
    <dataValidation allowBlank="true" error="Choose one of: Expect full,Partly,Not sure" errorStyle="stop" errorTitle="Not in the list" operator="between" showDropDown="false" showErrorMessage="true" showInputMessage="false" sqref="C57"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8"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59"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0" type="list">
      <formula1>"Yes,No,Not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 errorStyle="stop" errorTitle="Not in the list" operator="between" showDropDown="false" showErrorMessage="true" showInputMessage="false" sqref="C67" type="list">
      <formula1>"Yes,No"</formula1>
      <formula2>0</formula2>
    </dataValidation>
    <dataValidation allowBlank="true" error="Choose one of: Yes,No" errorStyle="stop" errorTitle="Not in the list" operator="between" showDropDown="false" showErrorMessage="true" showInputMessage="false" sqref="C69"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Investments grow (a year): allowed 0 to 0.07" errorStyle="stop" errorTitle="Outside the allowed range" operator="between" showDropDown="false" showErrorMessage="true" showInputMessage="false" sqref="C81" type="decimal">
      <formula1>0</formula1>
      <formula2>0.07</formula2>
    </dataValidation>
    <dataValidation allowBlank="true" error="Cash savings earn (a year): allowed 0 to 0.04" errorStyle="stop" errorTitle="Outside the allowed range" operator="between" showDropDown="false" showErrorMessage="true" showInputMessage="false" sqref="C82"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3"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4" type="decimal">
      <formula1>0</formula1>
      <formula2>0.07</formula2>
    </dataValidation>
    <dataValidation allowBlank="true" error="Pay rises (a year): allowed 0 to 0.06" errorStyle="stop" errorTitle="Outside the allowed range" operator="between" showDropDown="false" showErrorMessage="true" showInputMessage="false" sqref="C85" type="decimal">
      <formula1>0</formula1>
      <formula2>0.06</formula2>
    </dataValidation>
    <dataValidation allowBlank="true" error="Choose one of: prices,flat" errorStyle="stop" errorTitle="Not in the list" operator="between" showDropDown="false" showErrorMessage="true" showInputMessage="false" sqref="C86" type="list">
      <formula1>"prices,flat"</formula1>
      <formula2>0</formula2>
    </dataValidation>
    <dataValidation allowBlank="true" error="Choose one of: prices,pay,flat" errorStyle="stop" errorTitle="Not in the list" operator="between" showDropDown="false" showErrorMessage="true" showInputMessage="false" sqref="C87"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8" type="decimal">
      <formula1>0</formula1>
      <formula2>1</formula2>
    </dataValidation>
    <dataValidation allowBlank="true" error="Choose one of: 50,60" errorStyle="stop" errorTitle="Not in the list" operator="between" showDropDown="false" showErrorMessage="true" showInputMessage="false" sqref="C89"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0"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1" type="decimal">
      <formula1>0</formula1>
      <formula2>0.25</formula2>
    </dataValidation>
    <dataValidation allowBlank="true" error="Choose one of: spread,min,fixed" errorStyle="stop" errorTitle="Not in the list" operator="between" showDropDown="false" showErrorMessage="true" showInputMessage="false" sqref="C92"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3"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4"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5" type="whole">
      <formula1>1</formula1>
      <formula2>10</formula2>
    </dataValidation>
    <dataValidation allowBlank="true" error="Spare savings: share invested: allowed 0 to 1" errorStyle="stop" errorTitle="Outside the allowed range" operator="between" showDropDown="false" showErrorMessage="true" showInputMessage="false" sqref="C96"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7"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8"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99" type="whole">
      <formula1>80</formula1>
      <formula2>105</formula2>
    </dataValidation>
    <dataValidation allowBlank="true" error="Choose one of: 2026,2027" errorStyle="stop" errorTitle="Not in the list" operator="between" showDropDown="false" showErrorMessage="true" showInputMessage="false" sqref="C100"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1"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2"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3"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4"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5"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6"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7"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0"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0:E131" type="whole">
      <formula1>0</formula1>
      <formula2>105</formula2>
    </dataValidation>
    <dataValidation allowBlank="true" error="Amount: allowed 0 to 1e+08" errorStyle="stop" errorTitle="Outside the allowed range" operator="between" showDropDown="false" showErrorMessage="true" showInputMessage="false" sqref="F110:F131" type="decimal">
      <formula1>0</formula1>
      <formula2>100000000</formula2>
    </dataValidation>
    <dataValidation allowBlank="true" error="Saved so far: allowed 0 to 1e+08" errorStyle="stop" errorTitle="Outside the allowed range" operator="between" showDropDown="false" showErrorMessage="true" showInputMessage="false" sqref="G110:G131" type="decimal">
      <formula1>0</formula1>
      <formula2>100000000</formula2>
    </dataValidation>
    <dataValidation allowBlank="true" error="Choose one of: Must have,Nice to have" errorStyle="stop" errorTitle="Not in the list" operator="between" showDropDown="false" showErrorMessage="true" showInputMessage="false" sqref="H110"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0:I131" type="whole">
      <formula1>1</formula1>
      <formula2>22</formula2>
    </dataValidation>
    <dataValidation allowBlank="true" error="Choose one of: Yes,No" errorStyle="stop" errorTitle="Not in the list" operator="between" showDropDown="false" showErrorMessage="true" showInputMessage="false" sqref="J11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35" hidden="false" customHeight="false" outlineLevel="0" collapsed="false">
      <c r="B1" s="90" t="s">
        <v>1521</v>
      </c>
    </row>
    <row r="3" customFormat="false" ht="15" hidden="false" customHeight="false" outlineLevel="0" collapsed="false">
      <c r="B3" s="93" t="s">
        <v>1522</v>
      </c>
      <c r="C3" s="93" t="s">
        <v>1523</v>
      </c>
      <c r="D3" s="93" t="s">
        <v>1524</v>
      </c>
    </row>
    <row r="4" customFormat="false" ht="15" hidden="false" customHeight="false" outlineLevel="0" collapsed="false">
      <c r="B4" s="1" t="s">
        <v>1525</v>
      </c>
      <c r="C4" s="99" t="n">
        <f aca="false">Band_Single</f>
        <v>44000</v>
      </c>
      <c r="D4" s="23" t="s">
        <v>1526</v>
      </c>
    </row>
    <row r="5" customFormat="false" ht="15" hidden="false" customHeight="false" outlineLevel="0" collapsed="false">
      <c r="B5" s="1" t="s">
        <v>1527</v>
      </c>
      <c r="C5" s="99" t="n">
        <f aca="false">Band_Single_Parent</f>
        <v>48000</v>
      </c>
      <c r="D5" s="23" t="s">
        <v>1528</v>
      </c>
    </row>
    <row r="6" customFormat="false" ht="15" hidden="false" customHeight="false" outlineLevel="0" collapsed="false">
      <c r="B6" s="1" t="s">
        <v>1529</v>
      </c>
      <c r="C6" s="99" t="n">
        <f aca="false">Band_Married</f>
        <v>53000</v>
      </c>
      <c r="D6" s="23" t="s">
        <v>1530</v>
      </c>
    </row>
    <row r="7" customFormat="false" ht="15" hidden="false" customHeight="false" outlineLevel="0" collapsed="false">
      <c r="B7" s="1" t="s">
        <v>1531</v>
      </c>
      <c r="C7" s="99" t="n">
        <f aca="false">Band_Second_Earner_Max</f>
        <v>35000</v>
      </c>
      <c r="D7" s="23" t="s">
        <v>1532</v>
      </c>
    </row>
    <row r="8" customFormat="false" ht="15" hidden="false" customHeight="false" outlineLevel="0" collapsed="false">
      <c r="B8" s="1" t="s">
        <v>1533</v>
      </c>
      <c r="C8" s="100" t="n">
        <f aca="false">Rate_Standard</f>
        <v>0.2</v>
      </c>
      <c r="D8" s="23" t="s">
        <v>1534</v>
      </c>
    </row>
    <row r="9" customFormat="false" ht="15" hidden="false" customHeight="false" outlineLevel="0" collapsed="false">
      <c r="B9" s="1" t="s">
        <v>1535</v>
      </c>
      <c r="C9" s="100" t="n">
        <f aca="false">Rate_Higher</f>
        <v>0.4</v>
      </c>
      <c r="D9" s="23" t="s">
        <v>1536</v>
      </c>
    </row>
    <row r="10" customFormat="false" ht="15" hidden="false" customHeight="false" outlineLevel="0" collapsed="false">
      <c r="B10" s="1" t="s">
        <v>1537</v>
      </c>
      <c r="C10" s="99" t="n">
        <f aca="false">Credit_Personal_Single</f>
        <v>2000</v>
      </c>
      <c r="D10" s="23" t="s">
        <v>1538</v>
      </c>
    </row>
    <row r="11" customFormat="false" ht="15" hidden="false" customHeight="false" outlineLevel="0" collapsed="false">
      <c r="B11" s="1" t="s">
        <v>1539</v>
      </c>
      <c r="C11" s="99" t="n">
        <f aca="false">Credit_Personal_Married</f>
        <v>4000</v>
      </c>
      <c r="D11" s="23" t="s">
        <v>1540</v>
      </c>
    </row>
    <row r="12" customFormat="false" ht="15" hidden="false" customHeight="false" outlineLevel="0" collapsed="false">
      <c r="B12" s="1" t="s">
        <v>1541</v>
      </c>
      <c r="C12" s="99" t="n">
        <f aca="false">Credit_PAYE</f>
        <v>2000</v>
      </c>
      <c r="D12" s="23" t="s">
        <v>1542</v>
      </c>
    </row>
    <row r="13" customFormat="false" ht="15" hidden="false" customHeight="false" outlineLevel="0" collapsed="false">
      <c r="B13" s="1" t="s">
        <v>1543</v>
      </c>
      <c r="C13" s="101" t="n">
        <v>0.2</v>
      </c>
      <c r="D13" s="23" t="s">
        <v>1544</v>
      </c>
    </row>
    <row r="14" customFormat="false" ht="15" hidden="false" customHeight="false" outlineLevel="0" collapsed="false">
      <c r="B14" s="1" t="s">
        <v>1545</v>
      </c>
      <c r="C14" s="99" t="n">
        <f aca="false">Credit_Rent_Single</f>
        <v>1000</v>
      </c>
      <c r="D14" s="23" t="s">
        <v>1546</v>
      </c>
    </row>
    <row r="15" customFormat="false" ht="15" hidden="false" customHeight="false" outlineLevel="0" collapsed="false">
      <c r="B15" s="1" t="s">
        <v>1547</v>
      </c>
      <c r="C15" s="99" t="n">
        <f aca="false">Credit_Rent_Joint</f>
        <v>2000</v>
      </c>
      <c r="D15" s="23" t="s">
        <v>1548</v>
      </c>
    </row>
    <row r="16" customFormat="false" ht="15" hidden="false" customHeight="false" outlineLevel="0" collapsed="false">
      <c r="B16" s="1" t="s">
        <v>1549</v>
      </c>
      <c r="C16" s="101" t="n">
        <v>2028</v>
      </c>
      <c r="D16" s="23" t="s">
        <v>1550</v>
      </c>
    </row>
    <row r="17" customFormat="false" ht="15" hidden="false" customHeight="false" outlineLevel="0" collapsed="false">
      <c r="B17" s="1" t="s">
        <v>1551</v>
      </c>
      <c r="C17" s="99" t="n">
        <f aca="false">Credit_SPCCC</f>
        <v>1900</v>
      </c>
      <c r="D17" s="23" t="s">
        <v>1552</v>
      </c>
    </row>
    <row r="18" customFormat="false" ht="15" hidden="false" customHeight="false" outlineLevel="0" collapsed="false">
      <c r="B18" s="1" t="s">
        <v>1553</v>
      </c>
      <c r="C18" s="99" t="n">
        <f aca="false">Credit_Home_Carer</f>
        <v>1950</v>
      </c>
      <c r="D18" s="23" t="s">
        <v>1554</v>
      </c>
    </row>
    <row r="19" customFormat="false" ht="15" hidden="false" customHeight="false" outlineLevel="0" collapsed="false">
      <c r="B19" s="1" t="s">
        <v>1555</v>
      </c>
      <c r="C19" s="101" t="n">
        <v>7200</v>
      </c>
      <c r="D19" s="23" t="s">
        <v>1556</v>
      </c>
    </row>
    <row r="20" customFormat="false" ht="15" hidden="false" customHeight="false" outlineLevel="0" collapsed="false">
      <c r="B20" s="1" t="s">
        <v>1557</v>
      </c>
      <c r="C20" s="101" t="n">
        <v>65</v>
      </c>
      <c r="D20" s="23" t="s">
        <v>1558</v>
      </c>
    </row>
    <row r="21" customFormat="false" ht="15" hidden="false" customHeight="false" outlineLevel="0" collapsed="false">
      <c r="B21" s="1" t="s">
        <v>1559</v>
      </c>
      <c r="C21" s="101" t="n">
        <v>245</v>
      </c>
      <c r="D21" s="23" t="s">
        <v>1560</v>
      </c>
    </row>
    <row r="22" customFormat="false" ht="15" hidden="false" customHeight="false" outlineLevel="0" collapsed="false">
      <c r="B22" s="1" t="s">
        <v>1561</v>
      </c>
      <c r="C22" s="101" t="n">
        <v>18000</v>
      </c>
      <c r="D22" s="23" t="s">
        <v>1562</v>
      </c>
    </row>
    <row r="23" customFormat="false" ht="15" hidden="false" customHeight="false" outlineLevel="0" collapsed="false">
      <c r="B23" s="1" t="s">
        <v>1563</v>
      </c>
      <c r="C23" s="101" t="n">
        <v>36000</v>
      </c>
      <c r="D23" s="23" t="s">
        <v>1564</v>
      </c>
    </row>
    <row r="24" customFormat="false" ht="15" hidden="false" customHeight="false" outlineLevel="0" collapsed="false">
      <c r="B24" s="1" t="s">
        <v>1565</v>
      </c>
      <c r="C24" s="101" t="n">
        <v>0.4</v>
      </c>
      <c r="D24" s="23" t="s">
        <v>1566</v>
      </c>
    </row>
    <row r="25" customFormat="false" ht="15" hidden="false" customHeight="false" outlineLevel="0" collapsed="false">
      <c r="B25" s="1" t="s">
        <v>1567</v>
      </c>
      <c r="C25" s="99" t="n">
        <f aca="false">USC_Exempt</f>
        <v>13000</v>
      </c>
      <c r="D25" s="23" t="s">
        <v>1568</v>
      </c>
    </row>
    <row r="26" customFormat="false" ht="15" hidden="false" customHeight="false" outlineLevel="0" collapsed="false">
      <c r="B26" s="1" t="s">
        <v>1569</v>
      </c>
      <c r="C26" s="99" t="n">
        <f aca="false">USC_Band_1</f>
        <v>12012</v>
      </c>
      <c r="D26" s="23" t="s">
        <v>1570</v>
      </c>
    </row>
    <row r="27" customFormat="false" ht="15" hidden="false" customHeight="false" outlineLevel="0" collapsed="false">
      <c r="B27" s="1" t="s">
        <v>1571</v>
      </c>
      <c r="C27" s="99" t="n">
        <f aca="false">USC_Band_2</f>
        <v>28700</v>
      </c>
      <c r="D27" s="23" t="s">
        <v>1572</v>
      </c>
    </row>
    <row r="28" customFormat="false" ht="15" hidden="false" customHeight="false" outlineLevel="0" collapsed="false">
      <c r="B28" s="1" t="s">
        <v>1573</v>
      </c>
      <c r="C28" s="99" t="n">
        <f aca="false">USC_Band_3</f>
        <v>70044</v>
      </c>
      <c r="D28" s="23" t="s">
        <v>1574</v>
      </c>
    </row>
    <row r="29" customFormat="false" ht="15" hidden="false" customHeight="false" outlineLevel="0" collapsed="false">
      <c r="B29" s="1" t="s">
        <v>1575</v>
      </c>
      <c r="C29" s="102" t="n">
        <f aca="false">USC_Rate_1</f>
        <v>0.005</v>
      </c>
      <c r="D29" s="23" t="s">
        <v>1576</v>
      </c>
    </row>
    <row r="30" customFormat="false" ht="15" hidden="false" customHeight="false" outlineLevel="0" collapsed="false">
      <c r="B30" s="1" t="s">
        <v>1577</v>
      </c>
      <c r="C30" s="102" t="n">
        <f aca="false">USC_Rate_2</f>
        <v>0.02</v>
      </c>
      <c r="D30" s="23" t="s">
        <v>1578</v>
      </c>
    </row>
    <row r="31" customFormat="false" ht="15" hidden="false" customHeight="false" outlineLevel="0" collapsed="false">
      <c r="B31" s="1" t="s">
        <v>1579</v>
      </c>
      <c r="C31" s="102" t="n">
        <f aca="false">USC_Rate_3</f>
        <v>0.03</v>
      </c>
      <c r="D31" s="23" t="s">
        <v>1580</v>
      </c>
    </row>
    <row r="32" customFormat="false" ht="15" hidden="false" customHeight="false" outlineLevel="0" collapsed="false">
      <c r="B32" s="1" t="s">
        <v>1581</v>
      </c>
      <c r="C32" s="102" t="n">
        <f aca="false">USC_Rate_4</f>
        <v>0.08</v>
      </c>
      <c r="D32" s="23" t="s">
        <v>1582</v>
      </c>
    </row>
    <row r="33" customFormat="false" ht="15" hidden="false" customHeight="false" outlineLevel="0" collapsed="false">
      <c r="B33" s="1" t="s">
        <v>1583</v>
      </c>
      <c r="C33" s="101" t="n">
        <v>70</v>
      </c>
      <c r="D33" s="23" t="s">
        <v>1584</v>
      </c>
    </row>
    <row r="34" customFormat="false" ht="15" hidden="false" customHeight="false" outlineLevel="0" collapsed="false">
      <c r="B34" s="1" t="s">
        <v>1585</v>
      </c>
      <c r="C34" s="101" t="n">
        <v>60000</v>
      </c>
      <c r="D34" s="23" t="s">
        <v>1586</v>
      </c>
    </row>
    <row r="35" customFormat="false" ht="15" hidden="false" customHeight="false" outlineLevel="0" collapsed="false">
      <c r="B35" s="1" t="s">
        <v>1587</v>
      </c>
      <c r="C35" s="101" t="n">
        <v>12012</v>
      </c>
      <c r="D35" s="23" t="s">
        <v>1588</v>
      </c>
    </row>
    <row r="36" customFormat="false" ht="15" hidden="false" customHeight="false" outlineLevel="0" collapsed="false">
      <c r="B36" s="1" t="s">
        <v>1589</v>
      </c>
      <c r="C36" s="101" t="n">
        <v>0.005</v>
      </c>
      <c r="D36" s="23" t="s">
        <v>1590</v>
      </c>
    </row>
    <row r="37" customFormat="false" ht="15" hidden="false" customHeight="false" outlineLevel="0" collapsed="false">
      <c r="B37" s="1" t="s">
        <v>1591</v>
      </c>
      <c r="C37" s="101" t="n">
        <v>0.02</v>
      </c>
      <c r="D37" s="23" t="s">
        <v>1592</v>
      </c>
    </row>
    <row r="38" customFormat="false" ht="15" hidden="false" customHeight="false" outlineLevel="0" collapsed="false">
      <c r="B38" s="1" t="s">
        <v>1593</v>
      </c>
      <c r="C38" s="101" t="n">
        <v>0.03</v>
      </c>
      <c r="D38" s="23" t="s">
        <v>1594</v>
      </c>
    </row>
    <row r="39" customFormat="false" ht="15" hidden="false" customHeight="false" outlineLevel="0" collapsed="false">
      <c r="B39" s="1" t="s">
        <v>1595</v>
      </c>
      <c r="C39" s="101" t="n">
        <v>100000</v>
      </c>
      <c r="D39" s="23" t="s">
        <v>1596</v>
      </c>
    </row>
    <row r="40" customFormat="false" ht="15" hidden="false" customHeight="false" outlineLevel="0" collapsed="false">
      <c r="B40" s="1" t="s">
        <v>1597</v>
      </c>
      <c r="C40" s="101" t="n">
        <v>0.042</v>
      </c>
      <c r="D40" s="23" t="s">
        <v>1598</v>
      </c>
    </row>
    <row r="41" customFormat="false" ht="15" hidden="false" customHeight="false" outlineLevel="0" collapsed="false">
      <c r="B41" s="1" t="s">
        <v>1599</v>
      </c>
      <c r="C41" s="101" t="n">
        <v>0.0435</v>
      </c>
      <c r="D41" s="23" t="s">
        <v>1600</v>
      </c>
    </row>
    <row r="42" customFormat="false" ht="15" hidden="false" customHeight="false" outlineLevel="0" collapsed="false">
      <c r="B42" s="1" t="s">
        <v>1601</v>
      </c>
      <c r="C42" s="101" t="n">
        <v>0.045</v>
      </c>
      <c r="D42" s="23" t="s">
        <v>1602</v>
      </c>
    </row>
    <row r="43" customFormat="false" ht="15" hidden="false" customHeight="false" outlineLevel="0" collapsed="false">
      <c r="B43" s="1" t="s">
        <v>1603</v>
      </c>
      <c r="C43" s="101" t="n">
        <v>0.047</v>
      </c>
      <c r="D43" s="23" t="s">
        <v>1604</v>
      </c>
    </row>
    <row r="44" customFormat="false" ht="15" hidden="false" customHeight="false" outlineLevel="0" collapsed="false">
      <c r="B44" s="1" t="s">
        <v>1605</v>
      </c>
      <c r="C44" s="101" t="n">
        <v>24321</v>
      </c>
      <c r="D44" s="23" t="s">
        <v>1606</v>
      </c>
    </row>
    <row r="45" customFormat="false" ht="15" hidden="false" customHeight="false" outlineLevel="0" collapsed="false">
      <c r="B45" s="1" t="s">
        <v>1607</v>
      </c>
      <c r="C45" s="101" t="n">
        <v>24333</v>
      </c>
      <c r="D45" s="23" t="s">
        <v>1608</v>
      </c>
    </row>
    <row r="46" customFormat="false" ht="15" hidden="false" customHeight="false" outlineLevel="0" collapsed="false">
      <c r="B46" s="1" t="s">
        <v>1609</v>
      </c>
      <c r="C46" s="101" t="n">
        <v>24345</v>
      </c>
      <c r="D46" s="23" t="s">
        <v>1610</v>
      </c>
    </row>
    <row r="47" customFormat="false" ht="15" hidden="false" customHeight="false" outlineLevel="0" collapsed="false">
      <c r="B47" s="1" t="s">
        <v>1611</v>
      </c>
      <c r="C47" s="99" t="n">
        <f aca="false">PRSI_Free_Week</f>
        <v>352</v>
      </c>
      <c r="D47" s="23" t="s">
        <v>1612</v>
      </c>
    </row>
    <row r="48" customFormat="false" ht="15" hidden="false" customHeight="false" outlineLevel="0" collapsed="false">
      <c r="B48" s="1" t="s">
        <v>1613</v>
      </c>
      <c r="C48" s="99" t="n">
        <f aca="false">PRSI_Credit_Max</f>
        <v>12</v>
      </c>
      <c r="D48" s="23" t="s">
        <v>1614</v>
      </c>
    </row>
    <row r="49" customFormat="false" ht="15" hidden="false" customHeight="false" outlineLevel="0" collapsed="false">
      <c r="B49" s="1" t="s">
        <v>1615</v>
      </c>
      <c r="C49" s="99" t="n">
        <f aca="false">PRSI_Credit_Top</f>
        <v>424</v>
      </c>
      <c r="D49" s="23" t="s">
        <v>1616</v>
      </c>
    </row>
    <row r="50" customFormat="false" ht="15" hidden="false" customHeight="false" outlineLevel="0" collapsed="false">
      <c r="B50" s="1" t="s">
        <v>1617</v>
      </c>
      <c r="C50" s="103" t="n">
        <f aca="false">PRSI_Credit_Taper</f>
        <v>6</v>
      </c>
      <c r="D50" s="23" t="s">
        <v>1618</v>
      </c>
    </row>
    <row r="51" customFormat="false" ht="15" hidden="false" customHeight="false" outlineLevel="0" collapsed="false">
      <c r="B51" s="1" t="s">
        <v>1619</v>
      </c>
      <c r="C51" s="101" t="n">
        <v>66</v>
      </c>
      <c r="D51" s="23" t="s">
        <v>1620</v>
      </c>
    </row>
    <row r="52" customFormat="false" ht="15" hidden="false" customHeight="false" outlineLevel="0" collapsed="false">
      <c r="B52" s="1" t="s">
        <v>1621</v>
      </c>
      <c r="C52" s="101" t="n">
        <v>5000</v>
      </c>
      <c r="D52" s="23" t="s">
        <v>1622</v>
      </c>
    </row>
    <row r="53" customFormat="false" ht="15" hidden="false" customHeight="false" outlineLevel="0" collapsed="false">
      <c r="B53" s="1" t="s">
        <v>1623</v>
      </c>
      <c r="C53" s="101" t="n">
        <v>650</v>
      </c>
      <c r="D53" s="23" t="s">
        <v>1624</v>
      </c>
    </row>
    <row r="54" customFormat="false" ht="15" hidden="false" customHeight="false" outlineLevel="0" collapsed="false">
      <c r="B54" s="1" t="s">
        <v>1625</v>
      </c>
      <c r="C54" s="101" t="n">
        <v>5000</v>
      </c>
      <c r="D54" s="23" t="s">
        <v>1626</v>
      </c>
    </row>
    <row r="55" customFormat="false" ht="15" hidden="false" customHeight="false" outlineLevel="0" collapsed="false">
      <c r="B55" s="1" t="s">
        <v>1627</v>
      </c>
      <c r="C55" s="101" t="n">
        <v>30</v>
      </c>
      <c r="D55" s="23" t="s">
        <v>1628</v>
      </c>
    </row>
    <row r="56" customFormat="false" ht="15" hidden="false" customHeight="false" outlineLevel="0" collapsed="false">
      <c r="C56" s="101" t="n">
        <v>0.15</v>
      </c>
      <c r="D56" s="23" t="s">
        <v>1629</v>
      </c>
    </row>
    <row r="57" customFormat="false" ht="15" hidden="false" customHeight="false" outlineLevel="0" collapsed="false">
      <c r="B57" s="1" t="s">
        <v>1630</v>
      </c>
      <c r="C57" s="101" t="n">
        <v>40</v>
      </c>
      <c r="D57" s="23" t="s">
        <v>1631</v>
      </c>
    </row>
    <row r="58" customFormat="false" ht="15" hidden="false" customHeight="false" outlineLevel="0" collapsed="false">
      <c r="C58" s="101" t="n">
        <v>0.2</v>
      </c>
      <c r="D58" s="23" t="s">
        <v>1632</v>
      </c>
    </row>
    <row r="59" customFormat="false" ht="15" hidden="false" customHeight="false" outlineLevel="0" collapsed="false">
      <c r="B59" s="1" t="s">
        <v>1633</v>
      </c>
      <c r="C59" s="101" t="n">
        <v>50</v>
      </c>
      <c r="D59" s="23" t="s">
        <v>1634</v>
      </c>
    </row>
    <row r="60" customFormat="false" ht="15" hidden="false" customHeight="false" outlineLevel="0" collapsed="false">
      <c r="C60" s="101" t="n">
        <v>0.25</v>
      </c>
      <c r="D60" s="23" t="s">
        <v>1635</v>
      </c>
    </row>
    <row r="61" customFormat="false" ht="15" hidden="false" customHeight="false" outlineLevel="0" collapsed="false">
      <c r="B61" s="1" t="s">
        <v>1636</v>
      </c>
      <c r="C61" s="101" t="n">
        <v>55</v>
      </c>
      <c r="D61" s="23" t="s">
        <v>1637</v>
      </c>
    </row>
    <row r="62" customFormat="false" ht="15" hidden="false" customHeight="false" outlineLevel="0" collapsed="false">
      <c r="C62" s="101" t="n">
        <v>0.3</v>
      </c>
      <c r="D62" s="23" t="s">
        <v>1638</v>
      </c>
    </row>
    <row r="63" customFormat="false" ht="15" hidden="false" customHeight="false" outlineLevel="0" collapsed="false">
      <c r="B63" s="1" t="s">
        <v>1639</v>
      </c>
      <c r="C63" s="101" t="n">
        <v>60</v>
      </c>
      <c r="D63" s="23" t="s">
        <v>1640</v>
      </c>
    </row>
    <row r="64" customFormat="false" ht="15" hidden="false" customHeight="false" outlineLevel="0" collapsed="false">
      <c r="C64" s="101" t="n">
        <v>0.35</v>
      </c>
      <c r="D64" s="23" t="s">
        <v>1641</v>
      </c>
    </row>
    <row r="65" customFormat="false" ht="15" hidden="false" customHeight="false" outlineLevel="0" collapsed="false">
      <c r="B65" s="1" t="s">
        <v>1642</v>
      </c>
      <c r="C65" s="101" t="n">
        <v>0.4</v>
      </c>
      <c r="D65" s="23" t="s">
        <v>1643</v>
      </c>
    </row>
    <row r="66" customFormat="false" ht="15" hidden="false" customHeight="false" outlineLevel="0" collapsed="false">
      <c r="B66" s="1" t="s">
        <v>1644</v>
      </c>
      <c r="C66" s="99" t="n">
        <f aca="false">Relief_Earnings_Cap</f>
        <v>115000</v>
      </c>
      <c r="D66" s="23" t="s">
        <v>1645</v>
      </c>
    </row>
    <row r="67" customFormat="false" ht="15" hidden="false" customHeight="false" outlineLevel="0" collapsed="false">
      <c r="B67" s="1" t="s">
        <v>1646</v>
      </c>
      <c r="C67" s="100" t="n">
        <f aca="false">Lump_Sum_Max_Pct</f>
        <v>0.25</v>
      </c>
      <c r="D67" s="23" t="s">
        <v>1647</v>
      </c>
    </row>
    <row r="68" customFormat="false" ht="15" hidden="false" customHeight="false" outlineLevel="0" collapsed="false">
      <c r="B68" s="1" t="s">
        <v>1648</v>
      </c>
      <c r="C68" s="99" t="n">
        <f aca="false">Lump_Sum_Tax_Free</f>
        <v>200000</v>
      </c>
      <c r="D68" s="23" t="s">
        <v>1649</v>
      </c>
    </row>
    <row r="69" customFormat="false" ht="15" hidden="false" customHeight="false" outlineLevel="0" collapsed="false">
      <c r="B69" s="1" t="s">
        <v>1650</v>
      </c>
      <c r="C69" s="99" t="n">
        <f aca="false">Lump_Sum_Cap</f>
        <v>500000</v>
      </c>
      <c r="D69" s="23" t="s">
        <v>1651</v>
      </c>
    </row>
    <row r="70" customFormat="false" ht="15" hidden="false" customHeight="false" outlineLevel="0" collapsed="false">
      <c r="B70" s="1" t="s">
        <v>1652</v>
      </c>
      <c r="C70" s="100" t="n">
        <f aca="false">Lump_Sum_Rate</f>
        <v>0.2</v>
      </c>
      <c r="D70" s="23" t="s">
        <v>1653</v>
      </c>
    </row>
    <row r="71" customFormat="false" ht="15" hidden="false" customHeight="false" outlineLevel="0" collapsed="false">
      <c r="B71" s="1" t="s">
        <v>1654</v>
      </c>
      <c r="C71" s="99" t="n">
        <f aca="false">SFT_2026</f>
        <v>2200000</v>
      </c>
      <c r="D71" s="23" t="s">
        <v>1655</v>
      </c>
    </row>
    <row r="72" customFormat="false" ht="15" hidden="false" customHeight="false" outlineLevel="0" collapsed="false">
      <c r="B72" s="1" t="s">
        <v>1656</v>
      </c>
      <c r="C72" s="101" t="n">
        <v>2400000</v>
      </c>
      <c r="D72" s="23" t="s">
        <v>1657</v>
      </c>
    </row>
    <row r="73" customFormat="false" ht="15" hidden="false" customHeight="false" outlineLevel="0" collapsed="false">
      <c r="B73" s="1" t="s">
        <v>1658</v>
      </c>
      <c r="C73" s="101" t="n">
        <v>2600000</v>
      </c>
      <c r="D73" s="23" t="s">
        <v>1659</v>
      </c>
    </row>
    <row r="74" customFormat="false" ht="15" hidden="false" customHeight="false" outlineLevel="0" collapsed="false">
      <c r="B74" s="1" t="s">
        <v>1660</v>
      </c>
      <c r="C74" s="101" t="n">
        <v>2800000</v>
      </c>
      <c r="D74" s="23" t="s">
        <v>1661</v>
      </c>
    </row>
    <row r="75" customFormat="false" ht="15" hidden="false" customHeight="false" outlineLevel="0" collapsed="false">
      <c r="B75" s="1" t="s">
        <v>1662</v>
      </c>
      <c r="C75" s="100" t="n">
        <f aca="false">SFT_Tax</f>
        <v>0.4</v>
      </c>
      <c r="D75" s="23" t="s">
        <v>1663</v>
      </c>
    </row>
    <row r="76" customFormat="false" ht="15" hidden="false" customHeight="false" outlineLevel="0" collapsed="false">
      <c r="B76" s="1" t="s">
        <v>1664</v>
      </c>
      <c r="C76" s="101" t="n">
        <v>0.04</v>
      </c>
      <c r="D76" s="23" t="s">
        <v>1665</v>
      </c>
    </row>
    <row r="77" customFormat="false" ht="15" hidden="false" customHeight="false" outlineLevel="0" collapsed="false">
      <c r="B77" s="1" t="s">
        <v>1666</v>
      </c>
      <c r="C77" s="101" t="n">
        <v>0.05</v>
      </c>
      <c r="D77" s="23" t="s">
        <v>1667</v>
      </c>
    </row>
    <row r="78" customFormat="false" ht="15" hidden="false" customHeight="false" outlineLevel="0" collapsed="false">
      <c r="B78" s="1" t="s">
        <v>1668</v>
      </c>
      <c r="C78" s="101" t="n">
        <v>0.06</v>
      </c>
      <c r="D78" s="23" t="s">
        <v>1669</v>
      </c>
    </row>
    <row r="79" customFormat="false" ht="15" hidden="false" customHeight="false" outlineLevel="0" collapsed="false">
      <c r="B79" s="1" t="s">
        <v>1670</v>
      </c>
      <c r="C79" s="101" t="n">
        <v>2000000</v>
      </c>
      <c r="D79" s="23" t="s">
        <v>1671</v>
      </c>
    </row>
    <row r="80" customFormat="false" ht="15" hidden="false" customHeight="false" outlineLevel="0" collapsed="false">
      <c r="B80" s="1" t="s">
        <v>1672</v>
      </c>
      <c r="C80" s="101" t="n">
        <v>60</v>
      </c>
      <c r="D80" s="23" t="s">
        <v>1673</v>
      </c>
    </row>
    <row r="81" customFormat="false" ht="15" hidden="false" customHeight="false" outlineLevel="0" collapsed="false">
      <c r="B81" s="1" t="s">
        <v>1674</v>
      </c>
      <c r="C81" s="104" t="n">
        <f aca="false">State_Pension_Week</f>
        <v>299.3</v>
      </c>
      <c r="D81" s="23" t="s">
        <v>1675</v>
      </c>
    </row>
    <row r="82" customFormat="false" ht="15" hidden="false" customHeight="false" outlineLevel="0" collapsed="false">
      <c r="B82" s="1" t="s">
        <v>1676</v>
      </c>
      <c r="C82" s="101" t="n">
        <v>52</v>
      </c>
      <c r="D82" s="23" t="s">
        <v>1677</v>
      </c>
    </row>
    <row r="83" customFormat="false" ht="15" hidden="false" customHeight="false" outlineLevel="0" collapsed="false">
      <c r="B83" s="1" t="s">
        <v>1678</v>
      </c>
      <c r="C83" s="103" t="n">
        <f aca="false">State_Pension_Age</f>
        <v>66</v>
      </c>
      <c r="D83" s="23" t="s">
        <v>1679</v>
      </c>
    </row>
    <row r="84" customFormat="false" ht="15" hidden="false" customHeight="false" outlineLevel="0" collapsed="false">
      <c r="B84" s="1" t="s">
        <v>1680</v>
      </c>
      <c r="C84" s="101" t="n">
        <v>10</v>
      </c>
      <c r="D84" s="23" t="s">
        <v>1681</v>
      </c>
    </row>
    <row r="85" customFormat="false" ht="15" hidden="false" customHeight="false" outlineLevel="0" collapsed="false">
      <c r="B85" s="1" t="s">
        <v>1682</v>
      </c>
      <c r="C85" s="101" t="n">
        <v>268.4</v>
      </c>
      <c r="D85" s="23" t="s">
        <v>1683</v>
      </c>
    </row>
    <row r="86" customFormat="false" ht="15" hidden="false" customHeight="false" outlineLevel="0" collapsed="false">
      <c r="B86" s="1" t="s">
        <v>1684</v>
      </c>
      <c r="C86" s="101" t="n">
        <v>199.4</v>
      </c>
      <c r="D86" s="23" t="s">
        <v>1685</v>
      </c>
    </row>
    <row r="87" customFormat="false" ht="15" hidden="false" customHeight="false" outlineLevel="0" collapsed="false">
      <c r="B87" s="1" t="s">
        <v>1686</v>
      </c>
      <c r="C87" s="101" t="n">
        <v>40</v>
      </c>
      <c r="D87" s="23" t="s">
        <v>1687</v>
      </c>
    </row>
    <row r="88" customFormat="false" ht="15" hidden="false" customHeight="false" outlineLevel="0" collapsed="false">
      <c r="B88" s="1" t="s">
        <v>1688</v>
      </c>
      <c r="C88" s="101" t="n">
        <v>10</v>
      </c>
      <c r="D88" s="23" t="s">
        <v>1689</v>
      </c>
    </row>
    <row r="89" customFormat="false" ht="15" hidden="false" customHeight="false" outlineLevel="0" collapsed="false">
      <c r="B89" s="1" t="s">
        <v>1690</v>
      </c>
      <c r="C89" s="101" t="n">
        <v>23</v>
      </c>
      <c r="D89" s="23" t="s">
        <v>1691</v>
      </c>
    </row>
    <row r="90" customFormat="false" ht="15" hidden="false" customHeight="false" outlineLevel="0" collapsed="false">
      <c r="B90" s="1" t="s">
        <v>1692</v>
      </c>
      <c r="C90" s="101" t="n">
        <v>60</v>
      </c>
      <c r="D90" s="23" t="s">
        <v>1693</v>
      </c>
    </row>
    <row r="91" customFormat="false" ht="15" hidden="false" customHeight="false" outlineLevel="0" collapsed="false">
      <c r="B91" s="1" t="s">
        <v>1694</v>
      </c>
      <c r="C91" s="101" t="n">
        <v>20000</v>
      </c>
      <c r="D91" s="23" t="s">
        <v>1695</v>
      </c>
    </row>
    <row r="92" customFormat="false" ht="15" hidden="false" customHeight="false" outlineLevel="0" collapsed="false">
      <c r="B92" s="1" t="s">
        <v>1696</v>
      </c>
      <c r="C92" s="101" t="n">
        <v>80000</v>
      </c>
      <c r="D92" s="23" t="s">
        <v>1697</v>
      </c>
    </row>
    <row r="93" customFormat="false" ht="15" hidden="false" customHeight="false" outlineLevel="0" collapsed="false">
      <c r="B93" s="1" t="s">
        <v>1698</v>
      </c>
      <c r="C93" s="101" t="n">
        <v>0.015</v>
      </c>
      <c r="D93" s="23" t="s">
        <v>1699</v>
      </c>
    </row>
    <row r="94" customFormat="false" ht="15" hidden="false" customHeight="false" outlineLevel="0" collapsed="false">
      <c r="B94" s="1" t="s">
        <v>1700</v>
      </c>
      <c r="C94" s="101" t="n">
        <v>0.015</v>
      </c>
      <c r="D94" s="23" t="s">
        <v>1701</v>
      </c>
    </row>
    <row r="95" customFormat="false" ht="15" hidden="false" customHeight="false" outlineLevel="0" collapsed="false">
      <c r="B95" s="1" t="s">
        <v>1702</v>
      </c>
      <c r="C95" s="101" t="n">
        <v>0.005</v>
      </c>
      <c r="D95" s="23" t="s">
        <v>1703</v>
      </c>
    </row>
    <row r="96" customFormat="false" ht="15" hidden="false" customHeight="false" outlineLevel="0" collapsed="false">
      <c r="B96" s="1" t="s">
        <v>1704</v>
      </c>
      <c r="C96" s="101" t="n">
        <v>50</v>
      </c>
      <c r="D96" s="23" t="s">
        <v>1705</v>
      </c>
    </row>
    <row r="97" customFormat="false" ht="15" hidden="false" customHeight="false" outlineLevel="0" collapsed="false">
      <c r="B97" s="1" t="s">
        <v>1706</v>
      </c>
      <c r="C97" s="101" t="n">
        <v>200</v>
      </c>
      <c r="D97" s="23" t="s">
        <v>1707</v>
      </c>
    </row>
    <row r="98" customFormat="false" ht="15" hidden="false" customHeight="false" outlineLevel="0" collapsed="false">
      <c r="B98" s="1" t="s">
        <v>1708</v>
      </c>
      <c r="C98" s="101" t="n">
        <v>500</v>
      </c>
      <c r="D98" s="23" t="s">
        <v>1709</v>
      </c>
    </row>
    <row r="99" customFormat="false" ht="15" hidden="false" customHeight="false" outlineLevel="0" collapsed="false">
      <c r="B99" s="1" t="s">
        <v>1710</v>
      </c>
      <c r="C99" s="101" t="n">
        <v>1000</v>
      </c>
      <c r="D99" s="23" t="s">
        <v>1711</v>
      </c>
    </row>
    <row r="100" customFormat="false" ht="15" hidden="false" customHeight="false" outlineLevel="0" collapsed="false">
      <c r="B100" s="1" t="s">
        <v>1712</v>
      </c>
      <c r="C100" s="101" t="n">
        <v>0.33</v>
      </c>
      <c r="D100" s="23" t="s">
        <v>1713</v>
      </c>
    </row>
    <row r="101" customFormat="false" ht="15" hidden="false" customHeight="false" outlineLevel="0" collapsed="false">
      <c r="B101" s="1" t="s">
        <v>1714</v>
      </c>
      <c r="C101" s="101" t="n">
        <v>61</v>
      </c>
      <c r="D101" s="23" t="s">
        <v>1715</v>
      </c>
    </row>
    <row r="102" customFormat="false" ht="15" hidden="false" customHeight="false" outlineLevel="0" collapsed="false">
      <c r="B102" s="1" t="s">
        <v>1716</v>
      </c>
      <c r="C102" s="101" t="n">
        <v>71</v>
      </c>
      <c r="D102" s="23" t="s">
        <v>1717</v>
      </c>
    </row>
    <row r="103" customFormat="false" ht="15" hidden="false" customHeight="false" outlineLevel="0" collapsed="false">
      <c r="B103" s="1" t="s">
        <v>1718</v>
      </c>
      <c r="C103" s="101" t="n">
        <v>80</v>
      </c>
      <c r="D103" s="23" t="s">
        <v>1719</v>
      </c>
    </row>
    <row r="104" customFormat="false" ht="15" hidden="false" customHeight="false" outlineLevel="0" collapsed="false">
      <c r="B104" s="1" t="s">
        <v>1720</v>
      </c>
      <c r="C104" s="101" t="n">
        <v>2026</v>
      </c>
      <c r="D104" s="23" t="s">
        <v>1721</v>
      </c>
    </row>
    <row r="105" customFormat="false" ht="15" hidden="false" customHeight="false" outlineLevel="0" collapsed="false">
      <c r="B105" s="1" t="s">
        <v>1722</v>
      </c>
      <c r="C105" s="101" t="n">
        <v>2029</v>
      </c>
      <c r="D105" s="23" t="s">
        <v>1723</v>
      </c>
    </row>
    <row r="106" customFormat="false" ht="15" hidden="false" customHeight="false" outlineLevel="0" collapsed="false">
      <c r="B106" s="1" t="s">
        <v>1724</v>
      </c>
      <c r="C106" s="101" t="n">
        <v>89</v>
      </c>
      <c r="D106" s="23" t="s">
        <v>1725</v>
      </c>
    </row>
    <row r="107" customFormat="false" ht="15" hidden="false" customHeight="false" outlineLevel="0" collapsed="false">
      <c r="B107" s="1" t="s">
        <v>1726</v>
      </c>
      <c r="C107" s="101" t="n">
        <v>99</v>
      </c>
      <c r="D107" s="23" t="s">
        <v>1727</v>
      </c>
    </row>
    <row r="108" customFormat="false" ht="15" hidden="false" customHeight="false" outlineLevel="0" collapsed="false">
      <c r="B108" s="1" t="s">
        <v>1728</v>
      </c>
      <c r="C108" s="101" t="n">
        <v>50</v>
      </c>
      <c r="D108" s="23" t="s">
        <v>1729</v>
      </c>
    </row>
    <row r="109" customFormat="false" ht="15" hidden="false" customHeight="false" outlineLevel="0" collapsed="false">
      <c r="B109" s="1" t="s">
        <v>1730</v>
      </c>
      <c r="C109" s="101" t="n">
        <v>50</v>
      </c>
      <c r="D109" s="23" t="s">
        <v>1731</v>
      </c>
    </row>
    <row r="110" customFormat="false" ht="15" hidden="false" customHeight="false" outlineLevel="0" collapsed="false">
      <c r="B110" s="1" t="s">
        <v>1732</v>
      </c>
      <c r="C110" s="101" t="n">
        <v>0.5</v>
      </c>
      <c r="D110" s="23" t="s">
        <v>1733</v>
      </c>
    </row>
    <row r="111" customFormat="false" ht="15" hidden="false" customHeight="false" outlineLevel="0" collapsed="false">
      <c r="B111" s="1" t="s">
        <v>1734</v>
      </c>
      <c r="C111" s="101" t="n">
        <v>0.5</v>
      </c>
      <c r="D111" s="23" t="s">
        <v>1735</v>
      </c>
    </row>
    <row r="112" customFormat="false" ht="15" hidden="false" customHeight="false" outlineLevel="0" collapsed="false">
      <c r="B112" s="1" t="s">
        <v>1736</v>
      </c>
      <c r="C112" s="101" t="n">
        <v>1000000</v>
      </c>
      <c r="D112" s="23" t="s">
        <v>1737</v>
      </c>
    </row>
    <row r="113" customFormat="false" ht="15" hidden="false" customHeight="false" outlineLevel="0" collapsed="false">
      <c r="B113" s="1" t="s">
        <v>1738</v>
      </c>
      <c r="C113" s="101" t="n">
        <v>0.2</v>
      </c>
      <c r="D113" s="23" t="s">
        <v>1739</v>
      </c>
    </row>
    <row r="114" customFormat="false" ht="15" hidden="false" customHeight="false" outlineLevel="0" collapsed="false">
      <c r="B114" s="1" t="s">
        <v>1740</v>
      </c>
      <c r="C114" s="101" t="n">
        <v>20000</v>
      </c>
      <c r="D114" s="23" t="s">
        <v>1741</v>
      </c>
    </row>
    <row r="115" customFormat="false" ht="15" hidden="false" customHeight="false" outlineLevel="0" collapsed="false">
      <c r="B115" s="1" t="s">
        <v>1742</v>
      </c>
      <c r="C115" s="101" t="n">
        <v>66</v>
      </c>
      <c r="D115" s="23" t="s">
        <v>1743</v>
      </c>
    </row>
    <row r="116" customFormat="false" ht="15" hidden="false" customHeight="false" outlineLevel="0" collapsed="false">
      <c r="B116" s="1" t="s">
        <v>1744</v>
      </c>
      <c r="C116" s="101" t="n">
        <v>25</v>
      </c>
      <c r="D116" s="23" t="s">
        <v>1745</v>
      </c>
    </row>
    <row r="117" customFormat="false" ht="15" hidden="false" customHeight="false" outlineLevel="0" collapsed="false">
      <c r="B117" s="1" t="s">
        <v>1746</v>
      </c>
      <c r="C117" s="101" t="n">
        <v>0.01</v>
      </c>
      <c r="D117" s="23" t="s">
        <v>1747</v>
      </c>
    </row>
    <row r="118" customFormat="false" ht="15" hidden="false" customHeight="false" outlineLevel="0" collapsed="false">
      <c r="B118" s="1" t="s">
        <v>1748</v>
      </c>
      <c r="C118" s="101" t="n">
        <v>0.6</v>
      </c>
      <c r="D118" s="23" t="s">
        <v>1749</v>
      </c>
    </row>
    <row r="119" customFormat="false" ht="15" hidden="false" customHeight="false" outlineLevel="0" collapsed="false">
      <c r="B119" s="1" t="s">
        <v>1750</v>
      </c>
      <c r="C119" s="101" t="n">
        <v>0.8</v>
      </c>
      <c r="D119" s="23" t="s">
        <v>1751</v>
      </c>
    </row>
    <row r="120" customFormat="false" ht="15" hidden="false" customHeight="false" outlineLevel="0" collapsed="false">
      <c r="B120" s="1" t="s">
        <v>1752</v>
      </c>
      <c r="C120" s="101" t="n">
        <v>90</v>
      </c>
      <c r="D120" s="23" t="s">
        <v>1753</v>
      </c>
    </row>
    <row r="121" customFormat="false" ht="15" hidden="false" customHeight="false" outlineLevel="0" collapsed="false">
      <c r="B121" s="1" t="s">
        <v>1754</v>
      </c>
      <c r="C121" s="101" t="n">
        <v>95</v>
      </c>
      <c r="D121" s="23" t="s">
        <v>1755</v>
      </c>
    </row>
    <row r="122" customFormat="false" ht="15" hidden="false" customHeight="false" outlineLevel="0" collapsed="false">
      <c r="B122" s="1" t="s">
        <v>1756</v>
      </c>
      <c r="C122" s="101" t="n">
        <v>500</v>
      </c>
      <c r="D122" s="23" t="s">
        <v>1757</v>
      </c>
    </row>
    <row r="123" customFormat="false" ht="15" hidden="false" customHeight="false" outlineLevel="0" collapsed="false">
      <c r="B123" s="1" t="s">
        <v>1758</v>
      </c>
      <c r="C123" s="101" t="n">
        <v>0.02</v>
      </c>
      <c r="D123" s="23" t="s">
        <v>1759</v>
      </c>
    </row>
    <row r="124" customFormat="false" ht="15" hidden="false" customHeight="false" outlineLevel="0" collapsed="false">
      <c r="B124" s="1" t="s">
        <v>1760</v>
      </c>
      <c r="C124" s="101" t="n">
        <v>95</v>
      </c>
      <c r="D124" s="23" t="s">
        <v>1761</v>
      </c>
    </row>
    <row r="125" customFormat="false" ht="15" hidden="false" customHeight="false" outlineLevel="0" collapsed="false">
      <c r="B125" s="1" t="s">
        <v>1762</v>
      </c>
      <c r="C125" s="101" t="n">
        <v>70</v>
      </c>
      <c r="D125" s="23" t="s">
        <v>1763</v>
      </c>
    </row>
    <row r="126" customFormat="false" ht="15" hidden="false" customHeight="false" outlineLevel="0" collapsed="false">
      <c r="B126" s="1" t="s">
        <v>1764</v>
      </c>
      <c r="C126" s="105" t="n">
        <f aca="false">DATE(2026,9,30)</f>
        <v>46295</v>
      </c>
      <c r="D126" s="23" t="s">
        <v>1765</v>
      </c>
    </row>
    <row r="128" customFormat="false" ht="15" hidden="false" customHeight="false" outlineLevel="0" collapsed="false">
      <c r="B128" s="93" t="s">
        <v>1766</v>
      </c>
      <c r="C128" s="93" t="s">
        <v>1523</v>
      </c>
      <c r="D128" s="93" t="s">
        <v>1524</v>
      </c>
    </row>
    <row r="129" customFormat="false" ht="15" hidden="false" customHeight="false" outlineLevel="0" collapsed="false">
      <c r="B129" s="1" t="s">
        <v>1767</v>
      </c>
      <c r="C129" s="101" t="n">
        <f aca="false">IF(In_assumeSet="Cautious",1,0)</f>
        <v>0</v>
      </c>
      <c r="D129" s="23"/>
    </row>
    <row r="130" customFormat="false" ht="15" hidden="false" customHeight="false" outlineLevel="0" collapsed="false">
      <c r="B130" s="1" t="s">
        <v>1768</v>
      </c>
      <c r="C130" s="102" t="n">
        <f aca="false">IF(Has_infl=1,In_infl,Set_infl)</f>
        <v>0.02</v>
      </c>
      <c r="D130" s="23" t="s">
        <v>1769</v>
      </c>
    </row>
    <row r="131" customFormat="false" ht="15" hidden="false" customHeight="false" outlineLevel="0" collapsed="false">
      <c r="B131" s="1" t="s">
        <v>1770</v>
      </c>
      <c r="C131" s="102" t="n">
        <f aca="false">IF(Has_a_wage=1,In_a_wage,IF(AS_Cautious=1,Set_wage_Cautious,Set_wage))</f>
        <v>0.03</v>
      </c>
      <c r="D131" s="23"/>
    </row>
    <row r="132" customFormat="false" ht="15" hidden="false" customHeight="false" outlineLevel="0" collapsed="false">
      <c r="B132" s="1" t="s">
        <v>1771</v>
      </c>
      <c r="C132" s="102" t="n">
        <f aca="false">IF(Has_a_cash=1,In_a_cash,IF(AS_Cautious=1,Set_cash_Cautious,Set_cash))</f>
        <v>0.01</v>
      </c>
      <c r="D132" s="23"/>
    </row>
    <row r="133" customFormat="false" ht="15" hidden="false" customHeight="false" outlineLevel="0" collapsed="false">
      <c r="B133" s="1" t="s">
        <v>1772</v>
      </c>
      <c r="C133" s="102" t="n">
        <f aca="false">IF(Has_a_inv=1,In_a_inv,IF(AS_Cautious=1,Set_inv_Cautious,Set_inv))</f>
        <v>0.026</v>
      </c>
      <c r="D133" s="23"/>
    </row>
    <row r="134" customFormat="false" ht="15" hidden="false" customHeight="false" outlineLevel="0" collapsed="false">
      <c r="B134" s="1" t="s">
        <v>1773</v>
      </c>
      <c r="C134" s="102" t="n">
        <f aca="false">IF(Has_a_pen=1,In_a_pen,IF(AS_Cautious=1,Set_pen_Cautious,Set_pen))</f>
        <v>0.045</v>
      </c>
      <c r="D134" s="23"/>
    </row>
    <row r="135" customFormat="false" ht="15" hidden="false" customHeight="false" outlineLevel="0" collapsed="false">
      <c r="B135" s="1" t="s">
        <v>1774</v>
      </c>
      <c r="C135" s="102" t="n">
        <f aca="false">IF(Has_a_penRet=1,In_a_penRet,IF(AS_Cautious=1,Set_penRet_Cautious,Set_penRet))</f>
        <v>0.0315</v>
      </c>
      <c r="D135" s="23"/>
    </row>
    <row r="136" customFormat="false" ht="15" hidden="false" customHeight="false" outlineLevel="0" collapsed="false">
      <c r="B136" s="1" t="s">
        <v>1775</v>
      </c>
      <c r="C136" s="102" t="n">
        <f aca="false">IF(Has_a_mortRate=1,In_a_mortRate,Set_mortRate)</f>
        <v>0.0348</v>
      </c>
      <c r="D136" s="23" t="s">
        <v>1776</v>
      </c>
    </row>
    <row r="137" customFormat="false" ht="15" hidden="false" customHeight="false" outlineLevel="0" collapsed="false">
      <c r="B137" s="1" t="s">
        <v>1777</v>
      </c>
      <c r="C137" s="101" t="n">
        <f aca="false">IF(Has_a_cardRate=1,In_a_cardRate,PR_FbCard)</f>
        <v>0.2</v>
      </c>
      <c r="D137" s="23" t="s">
        <v>1778</v>
      </c>
    </row>
    <row r="138" customFormat="false" ht="15" hidden="false" customHeight="false" outlineLevel="0" collapsed="false">
      <c r="B138" s="1" t="s">
        <v>1779</v>
      </c>
      <c r="C138" s="102" t="n">
        <f aca="false">IF(Has_a_loanRate=1,In_a_loanRate,Set_loanRate)</f>
        <v>0.0672</v>
      </c>
      <c r="D138" s="23" t="s">
        <v>1780</v>
      </c>
    </row>
    <row r="139" customFormat="false" ht="15" hidden="false" customHeight="false" outlineLevel="0" collapsed="false">
      <c r="B139" s="1" t="s">
        <v>1781</v>
      </c>
      <c r="C139" s="101" t="n">
        <f aca="false">IF(Has_a_planEnd=1,In_a_planEnd,IF(In_partner="Yes",PR_FbPlanEnd2,PR_FbPlanEnd1))</f>
        <v>90</v>
      </c>
      <c r="D139" s="23" t="s">
        <v>1782</v>
      </c>
    </row>
    <row r="140" customFormat="false" ht="15" hidden="false" customHeight="false" outlineLevel="0" collapsed="false">
      <c r="B140" s="1" t="s">
        <v>1783</v>
      </c>
      <c r="C140" s="101" t="n">
        <f aca="true">IF(Has_a_startYear=1,In_a_startYear,IF(TODAY()&gt;PR_StartSwitch,2027,2026))</f>
        <v>2027</v>
      </c>
      <c r="D140" s="23"/>
    </row>
    <row r="141" customFormat="false" ht="15" hidden="false" customHeight="false" outlineLevel="0" collapsed="false">
      <c r="B141" s="1" t="s">
        <v>1784</v>
      </c>
      <c r="C141" s="101" t="n">
        <f aca="false">IF(AND(In_partner="Yes",In_income&gt;0,In_pIncome&gt;0,In_work="Employed"),1,0)</f>
        <v>0</v>
      </c>
      <c r="D141" s="23"/>
    </row>
    <row r="142" customFormat="false" ht="15" hidden="false" customHeight="false" outlineLevel="0" collapsed="false">
      <c r="B142" s="1" t="s">
        <v>1454</v>
      </c>
      <c r="C142" s="101" t="n">
        <f aca="false">IF(Has_a_safetyMonths=1,In_a_safetyMonths,IF(AS_TwoSecure=1,Set_safetyMonthsTwo,Set_safetyMonths))</f>
        <v>6</v>
      </c>
      <c r="D142" s="23"/>
    </row>
    <row r="143" customFormat="false" ht="15" hidden="false" customHeight="false" outlineLevel="0" collapsed="false">
      <c r="B143" s="1" t="s">
        <v>1785</v>
      </c>
      <c r="C143" s="101" t="n">
        <f aca="false">IF(Has_a_cashYears=1,In_a_cashYears,Set_cashYears)</f>
        <v>5</v>
      </c>
      <c r="D143" s="23"/>
    </row>
    <row r="144" customFormat="false" ht="15" hidden="false" customHeight="false" outlineLevel="0" collapsed="false">
      <c r="B144" s="1" t="s">
        <v>1460</v>
      </c>
      <c r="C144" s="102" t="n">
        <f aca="false">IF(Has_a_saveShare=1,In_a_saveShare,Set_saveShare)</f>
        <v>0.5</v>
      </c>
      <c r="D144" s="23"/>
    </row>
    <row r="145" customFormat="false" ht="15" hidden="false" customHeight="false" outlineLevel="0" collapsed="false">
      <c r="B145" s="1" t="s">
        <v>1462</v>
      </c>
      <c r="C145" s="106" t="n">
        <f aca="false">IF(Has_a_noAnswer=1,In_a_noAnswer,Set_noAnswer)</f>
        <v>300</v>
      </c>
      <c r="D145" s="23"/>
    </row>
    <row r="146" customFormat="false" ht="15" hidden="false" customHeight="false" outlineLevel="0" collapsed="false">
      <c r="B146" s="1" t="s">
        <v>1786</v>
      </c>
      <c r="C146" s="102" t="n">
        <f aca="false">IF(Has_a_investShare=1,In_a_investShare,Set_investShare)</f>
        <v>0.4</v>
      </c>
      <c r="D146" s="23"/>
    </row>
    <row r="147" customFormat="false" ht="15" hidden="false" customHeight="false" outlineLevel="0" collapsed="false">
      <c r="B147" s="1" t="s">
        <v>1787</v>
      </c>
      <c r="C147" s="101" t="n">
        <f aca="false">IF(Has_a_accessAge=1,In_a_accessAge,Set_accessAge)</f>
        <v>60</v>
      </c>
      <c r="D147" s="23"/>
    </row>
    <row r="148" customFormat="false" ht="15" hidden="false" customHeight="false" outlineLevel="0" collapsed="false">
      <c r="B148" s="1" t="s">
        <v>1788</v>
      </c>
      <c r="C148" s="102" t="n">
        <f aca="false">IF(Has_a_lumpSum=1,In_a_lumpSum,Set_lumpSum)</f>
        <v>0.25</v>
      </c>
      <c r="D148" s="23"/>
    </row>
    <row r="149" customFormat="false" ht="15" hidden="false" customHeight="false" outlineLevel="0" collapsed="false">
      <c r="B149" s="1" t="s">
        <v>1789</v>
      </c>
      <c r="C149" s="101" t="str">
        <f aca="false">IF(Has_a_drawRule=1,In_a_drawRule,Set_drawRule)</f>
        <v>spread</v>
      </c>
      <c r="D149" s="23"/>
    </row>
    <row r="150" customFormat="false" ht="15" hidden="false" customHeight="false" outlineLevel="0" collapsed="false">
      <c r="B150" s="1" t="s">
        <v>1790</v>
      </c>
      <c r="C150" s="101" t="n">
        <f aca="false">IF(Has_a_drawFixed=1,In_a_drawFixed,PR_FbDrawFixed)</f>
        <v>20000</v>
      </c>
      <c r="D150" s="23"/>
    </row>
    <row r="151" customFormat="false" ht="15" hidden="false" customHeight="false" outlineLevel="0" collapsed="false">
      <c r="B151" s="1" t="s">
        <v>1791</v>
      </c>
      <c r="C151" s="101" t="str">
        <f aca="false">IF(Has_a_bands=1,In_a_bands,Set_bands)</f>
        <v>prices</v>
      </c>
      <c r="D151" s="23"/>
    </row>
    <row r="152" customFormat="false" ht="15" hidden="false" customHeight="false" outlineLevel="0" collapsed="false">
      <c r="B152" s="1" t="s">
        <v>1792</v>
      </c>
      <c r="C152" s="101" t="str">
        <f aca="false">IF(Has_a_spGrow=1,In_a_spGrow,Set_spGrow)</f>
        <v>prices</v>
      </c>
      <c r="D152" s="23"/>
    </row>
    <row r="153" customFormat="false" ht="15" hidden="false" customHeight="false" outlineLevel="0" collapsed="false">
      <c r="B153" s="1" t="s">
        <v>1793</v>
      </c>
      <c r="C153" s="102" t="n">
        <f aca="false">IF(Has_a_retireSpend=1,In_a_retireSpend,Set_retireSpend)</f>
        <v>0.8</v>
      </c>
      <c r="D153" s="23"/>
    </row>
    <row r="154" customFormat="false" ht="15" hidden="false" customHeight="false" outlineLevel="0" collapsed="false">
      <c r="B154" s="1" t="s">
        <v>1794</v>
      </c>
      <c r="C154" s="102" t="n">
        <f aca="false">IF(Has_a_ownShare=1,In_a_ownShare,IF(In_work="Self-employed",1,Set_ownShare))</f>
        <v>0.5</v>
      </c>
      <c r="D154" s="23"/>
    </row>
    <row r="155" customFormat="false" ht="15" hidden="false" customHeight="false" outlineLevel="0" collapsed="false">
      <c r="B155" s="1" t="s">
        <v>1795</v>
      </c>
      <c r="C155" s="101" t="n">
        <f aca="false">IF(Has_a_penChg=1,In_a_penChg,PR_FbPenChg)</f>
        <v>0.01</v>
      </c>
      <c r="D155" s="23"/>
    </row>
    <row r="156" customFormat="false" ht="15" hidden="false" customHeight="false" outlineLevel="0" collapsed="false">
      <c r="B156" s="1" t="s">
        <v>1796</v>
      </c>
      <c r="C156" s="101" t="str">
        <f aca="false">IF(In_sp="","Not sure",In_sp)</f>
        <v>Not sure</v>
      </c>
      <c r="D156" s="23"/>
    </row>
    <row r="157" customFormat="false" ht="15" hidden="false" customHeight="false" outlineLevel="0" collapsed="false">
      <c r="B157" s="1" t="s">
        <v>1797</v>
      </c>
      <c r="C157" s="101" t="n">
        <f aca="false">IF(Has_a_spWeek=1,In_a_spWeek,PR_SPweek*IF(AS_SpOwn="Partly",PR_FbSpPartly,PR_FbSpOther))</f>
        <v>239.44</v>
      </c>
      <c r="D157" s="23"/>
    </row>
    <row r="158" customFormat="false" ht="15" hidden="false" customHeight="false" outlineLevel="0" collapsed="false">
      <c r="B158" s="1" t="s">
        <v>1798</v>
      </c>
      <c r="C158" s="101" t="str">
        <f aca="false">IF(In_pSp="","Not sure",In_pSp)</f>
        <v>Not sure</v>
      </c>
      <c r="D158" s="23"/>
    </row>
    <row r="159" customFormat="false" ht="15" hidden="false" customHeight="false" outlineLevel="0" collapsed="false">
      <c r="B159" s="1" t="s">
        <v>1799</v>
      </c>
      <c r="C159" s="101" t="n">
        <f aca="false">IF(Has_a_pSpWeek=1,In_a_pSpWeek,PR_SPweek*IF(AS_PSpOwn="Own partial",PR_FbSpPartly,PR_FbSpOther))</f>
        <v>239.44</v>
      </c>
      <c r="D159" s="23"/>
    </row>
    <row r="160" customFormat="false" ht="15" hidden="false" customHeight="false" outlineLevel="0" collapsed="false">
      <c r="B160" s="1" t="s">
        <v>1800</v>
      </c>
      <c r="C160" s="101" t="n">
        <f aca="false">PR_SPweek*PR_Weeks</f>
        <v>15563.6</v>
      </c>
      <c r="D160" s="23"/>
    </row>
    <row r="162" customFormat="false" ht="15" hidden="false" customHeight="false" outlineLevel="0" collapsed="false">
      <c r="B162" s="93" t="s">
        <v>1801</v>
      </c>
      <c r="C162" s="93" t="s">
        <v>1523</v>
      </c>
      <c r="D162" s="93" t="s">
        <v>1524</v>
      </c>
    </row>
    <row r="163" customFormat="false" ht="15" hidden="false" customHeight="false" outlineLevel="0" collapsed="false">
      <c r="B163" s="1" t="s">
        <v>1802</v>
      </c>
      <c r="C163" s="101" t="str">
        <f aca="false">IF(In_work&lt;&gt;"",In_work,IF(In_income&gt;0,"Employed",""))</f>
        <v/>
      </c>
      <c r="D163" s="23"/>
    </row>
    <row r="164" customFormat="false" ht="15" hidden="false" customHeight="false" outlineLevel="0" collapsed="false">
      <c r="B164" s="1" t="s">
        <v>723</v>
      </c>
      <c r="C164" s="101" t="n">
        <f aca="false">In_age</f>
        <v>0</v>
      </c>
      <c r="D164" s="23"/>
    </row>
    <row r="165" customFormat="false" ht="15" hidden="false" customHeight="false" outlineLevel="0" collapsed="false">
      <c r="B165" s="1" t="s">
        <v>789</v>
      </c>
      <c r="C165" s="101" t="n">
        <f aca="false">IF(Has_retireAge=1,In_retireAge,PR_FbRetireAge)</f>
        <v>66</v>
      </c>
      <c r="D165" s="23"/>
    </row>
    <row r="166" customFormat="false" ht="15" hidden="false" customHeight="false" outlineLevel="0" collapsed="false">
      <c r="B166" s="1" t="s">
        <v>1803</v>
      </c>
      <c r="C166" s="101" t="n">
        <f aca="false">IF(In_partner="Yes",1,0)</f>
        <v>0</v>
      </c>
      <c r="D166" s="23"/>
    </row>
    <row r="167" customFormat="false" ht="15" hidden="false" customHeight="false" outlineLevel="0" collapsed="false">
      <c r="B167" s="1" t="s">
        <v>1804</v>
      </c>
      <c r="C167" s="101" t="n">
        <f aca="false">IF(AND(F_Partner=1,In_married="Yes"),1,0)</f>
        <v>0</v>
      </c>
      <c r="D167" s="23"/>
    </row>
    <row r="168" customFormat="false" ht="15" hidden="false" customHeight="false" outlineLevel="0" collapsed="false">
      <c r="B168" s="1" t="s">
        <v>1805</v>
      </c>
      <c r="C168" s="101" t="n">
        <f aca="false">IF(In_work="Not working",0,In_income)</f>
        <v>0</v>
      </c>
      <c r="D168" s="23"/>
    </row>
    <row r="169" customFormat="false" ht="15" hidden="false" customHeight="false" outlineLevel="0" collapsed="false">
      <c r="B169" s="1" t="s">
        <v>1806</v>
      </c>
      <c r="C169" s="101" t="n">
        <f aca="false">IF(F_Partner=1,In_pIncome,0)</f>
        <v>0</v>
      </c>
      <c r="D169" s="23"/>
    </row>
    <row r="170" customFormat="false" ht="15" hidden="false" customHeight="false" outlineLevel="0" collapsed="false">
      <c r="B170" s="1" t="s">
        <v>1807</v>
      </c>
      <c r="C170" s="101" t="n">
        <f aca="false">IF(F_Partner=1,IF(In_pAge&gt;0,In_pAge,In_age),0)</f>
        <v>0</v>
      </c>
      <c r="D170" s="23"/>
    </row>
    <row r="171" customFormat="false" ht="15" hidden="false" customHeight="false" outlineLevel="0" collapsed="false">
      <c r="B171" s="1" t="s">
        <v>1808</v>
      </c>
      <c r="C171" s="101" t="n">
        <f aca="false">IF(Has_pRet=1,In_pRet,0)</f>
        <v>0</v>
      </c>
      <c r="D171" s="23"/>
    </row>
    <row r="172" customFormat="false" ht="15" hidden="false" customHeight="false" outlineLevel="0" collapsed="false">
      <c r="B172" s="1" t="s">
        <v>1809</v>
      </c>
      <c r="C172" s="101" t="n">
        <f aca="false">In_otherM</f>
        <v>0</v>
      </c>
      <c r="D172" s="23"/>
    </row>
    <row r="173" customFormat="false" ht="15" hidden="false" customHeight="false" outlineLevel="0" collapsed="false">
      <c r="B173" s="1" t="s">
        <v>1810</v>
      </c>
      <c r="C173" s="101" t="n">
        <f aca="false">In_costsM</f>
        <v>0</v>
      </c>
      <c r="D173" s="23"/>
    </row>
    <row r="174" customFormat="false" ht="15" hidden="false" customHeight="false" outlineLevel="0" collapsed="false">
      <c r="B174" s="1" t="s">
        <v>1811</v>
      </c>
      <c r="C174" s="101" t="n">
        <f aca="false">In_oneOffY</f>
        <v>0</v>
      </c>
      <c r="D174" s="23"/>
    </row>
    <row r="175" customFormat="false" ht="15" hidden="false" customHeight="false" outlineLevel="0" collapsed="false">
      <c r="B175" s="1" t="s">
        <v>1812</v>
      </c>
      <c r="C175" s="101" t="n">
        <f aca="false">In_cash</f>
        <v>0</v>
      </c>
      <c r="D175" s="23"/>
    </row>
    <row r="176" customFormat="false" ht="15" hidden="false" customHeight="false" outlineLevel="0" collapsed="false">
      <c r="B176" s="1" t="s">
        <v>56</v>
      </c>
      <c r="C176" s="101" t="n">
        <f aca="false">In_invest</f>
        <v>0</v>
      </c>
      <c r="D176" s="23"/>
    </row>
    <row r="177" customFormat="false" ht="15" hidden="false" customHeight="false" outlineLevel="0" collapsed="false">
      <c r="B177" s="1" t="s">
        <v>1813</v>
      </c>
      <c r="C177" s="101" t="n">
        <f aca="false">In_rentM</f>
        <v>0</v>
      </c>
      <c r="D177" s="23"/>
    </row>
    <row r="178" customFormat="false" ht="15" hidden="false" customHeight="false" outlineLevel="0" collapsed="false">
      <c r="B178" s="1" t="s">
        <v>1814</v>
      </c>
      <c r="C178" s="101" t="n">
        <f aca="false">IF(In_home="Own with mortgage",1,0)</f>
        <v>0</v>
      </c>
      <c r="D178" s="23"/>
    </row>
    <row r="179" customFormat="false" ht="15" hidden="false" customHeight="false" outlineLevel="0" collapsed="false">
      <c r="B179" s="1" t="s">
        <v>1815</v>
      </c>
      <c r="C179" s="102" t="n">
        <f aca="false">IF(In_mortRate&gt;0,In_mortRate,AS_MortRate)</f>
        <v>0.0348</v>
      </c>
      <c r="D179" s="23"/>
    </row>
    <row r="180" customFormat="false" ht="15" hidden="false" customHeight="false" outlineLevel="0" collapsed="false">
      <c r="B180" s="1" t="s">
        <v>1816</v>
      </c>
      <c r="C180" s="101" t="n">
        <f aca="false">IF(F_MortOn=1,In_mortPayM,0)</f>
        <v>0</v>
      </c>
      <c r="D180" s="23"/>
    </row>
    <row r="181" customFormat="false" ht="15" hidden="false" customHeight="false" outlineLevel="0" collapsed="false">
      <c r="B181" s="1" t="s">
        <v>1349</v>
      </c>
      <c r="C181" s="101" t="n">
        <f aca="false">IF(F_MortOn=1,In_mortBal,0)</f>
        <v>0</v>
      </c>
      <c r="D181" s="23"/>
    </row>
    <row r="182" customFormat="false" ht="15" hidden="false" customHeight="false" outlineLevel="0" collapsed="false">
      <c r="B182" s="1" t="s">
        <v>1817</v>
      </c>
      <c r="C182" s="101"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false" outlineLevel="0" collapsed="false">
      <c r="B183" s="1" t="s">
        <v>1818</v>
      </c>
      <c r="C183" s="101" t="n">
        <f aca="false">IF(AND(F_MortOn=1,F_MStated=0),1,0)</f>
        <v>0</v>
      </c>
      <c r="D183" s="23"/>
    </row>
    <row r="184" customFormat="false" ht="15" hidden="false" customHeight="false" outlineLevel="0" collapsed="false">
      <c r="B184" s="1" t="s">
        <v>1819</v>
      </c>
      <c r="C184" s="101" t="n">
        <f aca="false">IF(AND(F_MortOn=1,F_MStated&gt;0,F_MortBal&gt;0,In_mortYears&gt;0,F_MStated&lt;IF(F_MR/12&lt;&gt;0,F_MortBal*(F_MR/12)/(1-(1+F_MR/12)^-MAX(1,ROUND(In_mortYears*12,0))),F_MortBal/MAX(1,ROUND(In_mortYears*12,0)))-1),1,0)</f>
        <v>0</v>
      </c>
      <c r="D184" s="23"/>
    </row>
    <row r="186" customFormat="false" ht="15" hidden="false" customHeight="false" outlineLevel="0" collapsed="false">
      <c r="B186" s="93" t="s">
        <v>1820</v>
      </c>
      <c r="C186" s="93" t="s">
        <v>1523</v>
      </c>
      <c r="D186" s="93" t="s">
        <v>1524</v>
      </c>
    </row>
    <row r="187" customFormat="false" ht="15" hidden="false" customHeight="false" outlineLevel="0" collapsed="false">
      <c r="B187" s="1" t="s">
        <v>1821</v>
      </c>
      <c r="C187" s="101" t="n">
        <f aca="false">Mort2_Bal</f>
        <v>0</v>
      </c>
      <c r="D187" s="23"/>
    </row>
    <row r="188" customFormat="false" ht="15" hidden="false" customHeight="false" outlineLevel="0" collapsed="false">
      <c r="B188" s="1" t="s">
        <v>1822</v>
      </c>
      <c r="C188" s="101" t="n">
        <f aca="false">Mort2_Pay</f>
        <v>0</v>
      </c>
      <c r="D188" s="23"/>
    </row>
    <row r="189" customFormat="false" ht="15" hidden="false" customHeight="false" outlineLevel="0" collapsed="false">
      <c r="B189" s="1" t="s">
        <v>1823</v>
      </c>
      <c r="C189" s="107" t="n">
        <f aca="false">Mort2_Rate</f>
        <v>0</v>
      </c>
      <c r="D189" s="23"/>
    </row>
    <row r="190" customFormat="false" ht="15" hidden="false" customHeight="false" outlineLevel="0" collapsed="false">
      <c r="B190" s="1" t="s">
        <v>1824</v>
      </c>
      <c r="C190" s="101" t="n">
        <f aca="false">IF(In_cardRate&gt;0,In_cardRate,AS_CardRate)</f>
        <v>0.2</v>
      </c>
      <c r="D190" s="23"/>
    </row>
    <row r="191" customFormat="false" ht="15" hidden="false" customHeight="false" outlineLevel="0" collapsed="false">
      <c r="B191" s="1" t="s">
        <v>1825</v>
      </c>
      <c r="C191" s="102" t="n">
        <f aca="false">IF(In_loanRate&gt;0,In_loanRate,AS_LoanRate)</f>
        <v>0.0672</v>
      </c>
      <c r="D191" s="23"/>
    </row>
    <row r="192" customFormat="false" ht="15" hidden="false" customHeight="false" outlineLevel="0" collapsed="false">
      <c r="B192" s="1" t="s">
        <v>1826</v>
      </c>
      <c r="C192" s="101" t="n">
        <f aca="false">In_loanBal+In_debt</f>
        <v>0</v>
      </c>
      <c r="D192" s="23"/>
    </row>
    <row r="193" customFormat="false" ht="15" hidden="false" customHeight="false" outlineLevel="0" collapsed="false">
      <c r="B193" s="1" t="s">
        <v>1827</v>
      </c>
      <c r="C193" s="102" t="n">
        <f aca="false">IF(M2_Bal&gt;0,IF(D_lB0&gt;0,(D_lB0*D_lR0+M2_Bal*M2_Rate)/(D_lB0+M2_Bal),M2_Rate),D_lR0)</f>
        <v>0.0672</v>
      </c>
      <c r="D193" s="23"/>
    </row>
    <row r="194" customFormat="false" ht="15" hidden="false" customHeight="false" outlineLevel="0" collapsed="false">
      <c r="B194" s="1" t="s">
        <v>1828</v>
      </c>
      <c r="C194" s="101" t="n">
        <f aca="false">In_cardBal</f>
        <v>0</v>
      </c>
      <c r="D194" s="23"/>
    </row>
    <row r="195" customFormat="false" ht="15" hidden="false" customHeight="false" outlineLevel="0" collapsed="false">
      <c r="B195" s="1" t="s">
        <v>1829</v>
      </c>
      <c r="C195" s="101" t="n">
        <f aca="false">D_lB0+M2_Bal</f>
        <v>0</v>
      </c>
      <c r="D195" s="23"/>
    </row>
    <row r="196" customFormat="false" ht="15" hidden="false" customHeight="false" outlineLevel="0" collapsed="false">
      <c r="B196" s="1" t="s">
        <v>1830</v>
      </c>
      <c r="C196" s="101" t="n">
        <f aca="false">In_loanPayM+In_debtPayM+M2_Pay</f>
        <v>0</v>
      </c>
      <c r="D196" s="23"/>
    </row>
    <row r="197" customFormat="false" ht="15" hidden="false" customHeight="false" outlineLevel="0" collapsed="false">
      <c r="B197" s="1" t="s">
        <v>1831</v>
      </c>
      <c r="C197" s="101" t="n">
        <f aca="false">(1+D_cR)^(1/12)-1</f>
        <v>0.0153094704997312</v>
      </c>
      <c r="D197" s="23"/>
    </row>
    <row r="198" customFormat="false" ht="15" hidden="false" customHeight="false" outlineLevel="0" collapsed="false">
      <c r="B198" s="1" t="s">
        <v>1832</v>
      </c>
      <c r="C198" s="101" t="n">
        <f aca="false">(1+D_lR)^(1/12)-1</f>
        <v>0.0054345803945961</v>
      </c>
      <c r="D198" s="23"/>
    </row>
    <row r="199" customFormat="false" ht="15" hidden="false" customHeight="false" outlineLevel="0" collapsed="false">
      <c r="B199" s="1" t="s">
        <v>1833</v>
      </c>
      <c r="C199" s="101" t="n">
        <f aca="false">IF(AND(F_CardBal&gt;0,In_cardPayM&gt;F_CardBal*D_iC),1,0)</f>
        <v>0</v>
      </c>
      <c r="D199" s="23"/>
    </row>
    <row r="200" customFormat="false" ht="15" hidden="false" customHeight="false" outlineLevel="0" collapsed="false">
      <c r="B200" s="1" t="s">
        <v>1834</v>
      </c>
      <c r="C200" s="101" t="n">
        <f aca="false">IF(AND(F_LoanBal&gt;0,D_lp&gt;F_LoanBal*D_iL),1,0)</f>
        <v>0</v>
      </c>
      <c r="D200" s="23"/>
    </row>
    <row r="201" customFormat="false" ht="15" hidden="false" customHeight="false" outlineLevel="0" collapsed="false">
      <c r="B201" s="1" t="s">
        <v>1835</v>
      </c>
      <c r="C201" s="101" t="n">
        <f aca="false">IF(F_CardBal&gt;0,IF(D_okC=1,In_cardPayM,IF(D_iC&lt;&gt;0,F_CardBal*D_iC/(1-(1+D_iC)^-60),F_CardBal/60)),0)</f>
        <v>0</v>
      </c>
      <c r="D201" s="23"/>
    </row>
    <row r="202" customFormat="false" ht="15" hidden="false" customHeight="false" outlineLevel="0" collapsed="false">
      <c r="B202" s="1" t="s">
        <v>1836</v>
      </c>
      <c r="C202" s="101" t="n">
        <f aca="false">IF(F_LoanBal&gt;0,IF(D_okL=1,D_lp,IF(D_iL&lt;&gt;0,F_LoanBal*D_iL/(1-(1+D_iL)^-60),F_LoanBal/60)),0)</f>
        <v>0</v>
      </c>
      <c r="D202" s="23"/>
    </row>
    <row r="203" customFormat="false" ht="15" hidden="false" customHeight="false" outlineLevel="0" collapsed="false">
      <c r="B203" s="1" t="s">
        <v>1837</v>
      </c>
      <c r="C203" s="101" t="n">
        <f aca="false">IF(AND(F_CardBal&gt;0,D_okC=0),1,0)</f>
        <v>0</v>
      </c>
      <c r="D203" s="23"/>
    </row>
    <row r="204" customFormat="false" ht="15" hidden="false" customHeight="false" outlineLevel="0" collapsed="false">
      <c r="B204" s="1" t="s">
        <v>1838</v>
      </c>
      <c r="C204" s="101" t="n">
        <f aca="false">IF(AND(F_LoanBal&gt;0,D_okL=0),1,0)</f>
        <v>0</v>
      </c>
      <c r="D204" s="23"/>
    </row>
    <row r="205" customFormat="false" ht="15" hidden="false" customHeight="false" outlineLevel="0" collapsed="false">
      <c r="B205" s="1" t="s">
        <v>1839</v>
      </c>
      <c r="C205" s="101" t="n">
        <f aca="false">F_CardBal+F_LoanBal</f>
        <v>0</v>
      </c>
      <c r="D205" s="23"/>
    </row>
    <row r="206" customFormat="false" ht="15" hidden="false" customHeight="false" outlineLevel="0" collapsed="false">
      <c r="B206" s="1" t="s">
        <v>1840</v>
      </c>
      <c r="C206" s="101" t="n">
        <f aca="false">F_CardPayM+F_LoanPayM</f>
        <v>0</v>
      </c>
      <c r="D206" s="23"/>
    </row>
    <row r="207" customFormat="false" ht="15" hidden="false" customHeight="false" outlineLevel="0" collapsed="false">
      <c r="B207" s="1" t="s">
        <v>1841</v>
      </c>
      <c r="C207" s="101" t="n">
        <f aca="false">F_CostsM+F_MortPayM+IF(F_Debt&gt;0,F_DebtPayM,0)</f>
        <v>0</v>
      </c>
      <c r="D207" s="23"/>
    </row>
    <row r="209" customFormat="false" ht="15" hidden="false" customHeight="false" outlineLevel="0" collapsed="false">
      <c r="B209" s="93" t="s">
        <v>1842</v>
      </c>
      <c r="C209" s="93" t="s">
        <v>1523</v>
      </c>
      <c r="D209" s="93" t="s">
        <v>1524</v>
      </c>
    </row>
    <row r="210" customFormat="false" ht="15" hidden="false" customHeight="false" outlineLevel="0" collapsed="false">
      <c r="B210" s="1" t="s">
        <v>1843</v>
      </c>
      <c r="C210" s="101" t="n">
        <f aca="false">IF(AND(In_work&lt;&gt;"Not working",F_Income&gt;0),In_pensionM,0)</f>
        <v>0</v>
      </c>
      <c r="D210" s="23"/>
    </row>
    <row r="211" customFormat="false" ht="15" hidden="false" customHeight="false" outlineLevel="0" collapsed="false">
      <c r="B211" s="1" t="s">
        <v>1844</v>
      </c>
      <c r="C211" s="101" t="n">
        <f aca="false">IF(Has_pensionOwnM=1,MIN(F_PenM,In_pensionOwnM),F_PenM*AS_OwnShare)</f>
        <v>0</v>
      </c>
      <c r="D211" s="23"/>
    </row>
    <row r="212" customFormat="false" ht="15" hidden="false" customHeight="false" outlineLevel="0" collapsed="false">
      <c r="B212" s="1" t="s">
        <v>1845</v>
      </c>
      <c r="C212" s="107" t="n">
        <f aca="false">AS_Pen+IF(Has_penChg=1,AS_PenChgTyp-In_penChg,0)</f>
        <v>0.045</v>
      </c>
      <c r="D212" s="23"/>
    </row>
    <row r="213" customFormat="false" ht="15" hidden="false" customHeight="false" outlineLevel="0" collapsed="false">
      <c r="B213" s="1" t="s">
        <v>1846</v>
      </c>
      <c r="C213" s="101" t="str">
        <f aca="false">IF(Has_spYears=1,In_spYears,IF(Has_a_spYears=1,In_a_spYears,""))</f>
        <v/>
      </c>
      <c r="D213" s="23"/>
    </row>
    <row r="214" customFormat="false" ht="15" hidden="false" customHeight="false" outlineLevel="0" collapsed="false">
      <c r="B214" s="1" t="s">
        <v>1847</v>
      </c>
      <c r="C214" s="101" t="n">
        <f aca="false">IF(F_YrsSP&lt;&gt;"",IF(F_YrsSP&lt;PR_SPmin,0,MIN(1,F_YrsSP/PR_SPfull)),IF(In_sp="Expect full",1,MIN(1,AS_SpWeek/PR_SPweek)))</f>
        <v>0.8</v>
      </c>
      <c r="D214" s="23"/>
    </row>
    <row r="215" customFormat="false" ht="15" hidden="false" customHeight="false" outlineLevel="0" collapsed="false">
      <c r="B215" s="1" t="s">
        <v>1848</v>
      </c>
      <c r="C215" s="101" t="str">
        <f aca="false">IF(F_Partner=1,AS_PSpOwn,"None")</f>
        <v>None</v>
      </c>
      <c r="D215" s="23"/>
    </row>
    <row r="216" customFormat="false" ht="15" hidden="false" customHeight="false" outlineLevel="0" collapsed="false">
      <c r="B216" s="1" t="s">
        <v>1849</v>
      </c>
      <c r="C216" s="101" t="n">
        <f aca="false">IF(F_PSpO="Qualified adult increase",1,0)</f>
        <v>0</v>
      </c>
      <c r="D216" s="23"/>
    </row>
    <row r="217" customFormat="false" ht="15" hidden="false" customHeight="false" outlineLevel="0" collapsed="false">
      <c r="B217" s="1" t="s">
        <v>1850</v>
      </c>
      <c r="C217" s="101" t="n">
        <f aca="false">IF(F_PSpO="Own full",1,IF(OR(F_PSpO="Own partial",F_PSpO="Not sure"),MIN(1,AS_PSpWeek/PR_SPweek),0))</f>
        <v>0</v>
      </c>
      <c r="D217" s="23"/>
    </row>
    <row r="218" customFormat="false" ht="15" hidden="false" customHeight="false" outlineLevel="0" collapsed="false">
      <c r="B218" s="1" t="s">
        <v>1851</v>
      </c>
      <c r="C218" s="101" t="n">
        <f aca="false">IF(AND(F_Work="Employed",In_age&gt;=PR_AEageMin,In_age&lt;=PR_AEageMax,F_Income&gt;PR_AEearnMin,F_PenM=0,In_ae&lt;&gt;"No"),1,0)</f>
        <v>0</v>
      </c>
      <c r="D218" s="23"/>
    </row>
    <row r="219" customFormat="false" ht="15" hidden="false" customHeight="false" outlineLevel="0" collapsed="false">
      <c r="B219" s="1" t="s">
        <v>1852</v>
      </c>
      <c r="C219" s="101" t="n">
        <f aca="false">IF(AND(In_credRent="Yes",In_home="Rent"),1,0)</f>
        <v>0</v>
      </c>
      <c r="D219" s="23"/>
    </row>
    <row r="220" customFormat="false" ht="15" hidden="false" customHeight="false" outlineLevel="0" collapsed="false">
      <c r="B220" s="1" t="s">
        <v>1853</v>
      </c>
      <c r="C220" s="101" t="n">
        <f aca="false">IF(AND(In_credLone="Yes",In_deps&gt;0,F_Partner=0),1,0)</f>
        <v>0</v>
      </c>
      <c r="D220" s="23"/>
    </row>
    <row r="221" customFormat="false" ht="15" hidden="false" customHeight="false" outlineLevel="0" collapsed="false">
      <c r="B221" s="1" t="s">
        <v>1854</v>
      </c>
      <c r="C221" s="101" t="n">
        <f aca="false">IF(AND(In_credCarer="Yes",F_Partner=1,In_married="Yes"),1,0)</f>
        <v>0</v>
      </c>
      <c r="D221" s="23"/>
    </row>
    <row r="222" customFormat="false" ht="15" hidden="false" customHeight="false" outlineLevel="0" collapsed="false">
      <c r="B222" s="1" t="s">
        <v>1855</v>
      </c>
      <c r="C222" s="101" t="n">
        <f aca="false">In_pension+IF(WI_Retire=1,In_wiL,0)</f>
        <v>0</v>
      </c>
      <c r="D222" s="23"/>
    </row>
    <row r="223" customFormat="false" ht="15" hidden="false" customHeight="false" outlineLevel="0" collapsed="false">
      <c r="B223" s="1" t="s">
        <v>1856</v>
      </c>
      <c r="C223" s="101" t="n">
        <f aca="false">MAX(F_R,AS_AccessAge)</f>
        <v>66</v>
      </c>
      <c r="D223" s="23"/>
    </row>
    <row r="224" customFormat="false" ht="15" hidden="false" customHeight="false" outlineLevel="0" collapsed="false">
      <c r="B224" s="1" t="s">
        <v>1857</v>
      </c>
      <c r="C224" s="101" t="n">
        <f aca="false">AS_End-F_Age</f>
        <v>90</v>
      </c>
      <c r="D224" s="23"/>
    </row>
    <row r="225" customFormat="false" ht="15" hidden="false" customHeight="false" outlineLevel="0" collapsed="false">
      <c r="B225" s="1" t="s">
        <v>1858</v>
      </c>
      <c r="C225" s="101" t="n">
        <f aca="false">IF(In_work="Self-employed",1,0)</f>
        <v>0</v>
      </c>
      <c r="D225" s="23"/>
    </row>
    <row r="226" customFormat="false" ht="15" hidden="false" customHeight="false" outlineLevel="0" collapsed="false">
      <c r="B226" s="1" t="s">
        <v>1859</v>
      </c>
      <c r="C226" s="101" t="n">
        <f aca="false">IF(AND(In_wiGoal&gt;0,INDEX(Goal_Kind_List,MAX(1,In_wiGoal))="retire"),1,0)</f>
        <v>0</v>
      </c>
      <c r="D226" s="23" t="s">
        <v>1860</v>
      </c>
    </row>
    <row r="227" customFormat="false" ht="15" hidden="false" customHeight="false" outlineLevel="0" collapsed="false">
      <c r="B227" s="1" t="s">
        <v>1861</v>
      </c>
      <c r="C227" s="101" t="n">
        <f aca="false">In_wiM</f>
        <v>0</v>
      </c>
      <c r="D227" s="23"/>
    </row>
    <row r="228" customFormat="false" ht="15" hidden="false" customHeight="false" outlineLevel="0" collapsed="false">
      <c r="B228" s="1" t="s">
        <v>1862</v>
      </c>
      <c r="C228" s="101" t="n">
        <f aca="false">In_wiL</f>
        <v>0</v>
      </c>
      <c r="D228" s="23"/>
    </row>
    <row r="232" customFormat="false" ht="108.95" hidden="false" customHeight="false" outlineLevel="0" collapsed="false">
      <c r="A232" s="93" t="s">
        <v>1863</v>
      </c>
      <c r="B232" s="98" t="s">
        <v>1864</v>
      </c>
      <c r="C232" s="98" t="s">
        <v>723</v>
      </c>
      <c r="D232" s="98" t="s">
        <v>898</v>
      </c>
      <c r="E232" s="98" t="s">
        <v>1865</v>
      </c>
      <c r="F232" s="98" t="s">
        <v>1866</v>
      </c>
      <c r="G232" s="98" t="s">
        <v>1867</v>
      </c>
      <c r="H232" s="98" t="s">
        <v>1868</v>
      </c>
      <c r="I232" s="98" t="s">
        <v>1869</v>
      </c>
      <c r="J232" s="98" t="s">
        <v>1870</v>
      </c>
      <c r="K232" s="98" t="s">
        <v>1871</v>
      </c>
      <c r="L232" s="98" t="s">
        <v>1872</v>
      </c>
      <c r="M232" s="98" t="s">
        <v>1873</v>
      </c>
      <c r="N232" s="98" t="s">
        <v>1874</v>
      </c>
      <c r="O232" s="98" t="s">
        <v>1875</v>
      </c>
      <c r="P232" s="98" t="s">
        <v>1876</v>
      </c>
      <c r="Q232" s="98" t="s">
        <v>1877</v>
      </c>
      <c r="R232" s="98" t="s">
        <v>1878</v>
      </c>
      <c r="S232" s="98" t="s">
        <v>1879</v>
      </c>
      <c r="T232" s="98" t="s">
        <v>1880</v>
      </c>
      <c r="U232" s="98" t="s">
        <v>1881</v>
      </c>
      <c r="V232" s="98" t="s">
        <v>1882</v>
      </c>
      <c r="W232" s="98" t="s">
        <v>1883</v>
      </c>
      <c r="X232" s="98" t="s">
        <v>1884</v>
      </c>
      <c r="Y232" s="98" t="s">
        <v>1885</v>
      </c>
      <c r="Z232" s="98" t="s">
        <v>1886</v>
      </c>
      <c r="AA232" s="98" t="s">
        <v>1887</v>
      </c>
      <c r="AB232" s="98" t="s">
        <v>1888</v>
      </c>
      <c r="AC232" s="98" t="s">
        <v>1889</v>
      </c>
      <c r="AD232" s="98" t="s">
        <v>1890</v>
      </c>
      <c r="AE232" s="98" t="s">
        <v>1891</v>
      </c>
      <c r="AF232" s="98" t="s">
        <v>1892</v>
      </c>
      <c r="AG232" s="98" t="s">
        <v>1330</v>
      </c>
      <c r="AH232" s="98" t="s">
        <v>1893</v>
      </c>
      <c r="AI232" s="98" t="s">
        <v>1894</v>
      </c>
      <c r="AJ232" s="98" t="s">
        <v>1895</v>
      </c>
      <c r="AK232" s="98" t="s">
        <v>1896</v>
      </c>
      <c r="AL232" s="98" t="s">
        <v>1897</v>
      </c>
      <c r="AM232" s="98" t="s">
        <v>1898</v>
      </c>
      <c r="AN232" s="98" t="s">
        <v>1899</v>
      </c>
      <c r="AO232" s="98" t="s">
        <v>1900</v>
      </c>
      <c r="AP232" s="98" t="s">
        <v>1901</v>
      </c>
      <c r="AQ232" s="98" t="s">
        <v>1902</v>
      </c>
      <c r="AR232" s="98" t="s">
        <v>1903</v>
      </c>
      <c r="AS232" s="98" t="s">
        <v>1904</v>
      </c>
      <c r="AT232" s="98" t="s">
        <v>1905</v>
      </c>
      <c r="AU232" s="98" t="s">
        <v>1906</v>
      </c>
      <c r="AV232" s="98" t="s">
        <v>1907</v>
      </c>
      <c r="AW232" s="98" t="s">
        <v>1908</v>
      </c>
      <c r="AX232" s="98" t="s">
        <v>1909</v>
      </c>
      <c r="AY232" s="98" t="s">
        <v>1910</v>
      </c>
      <c r="AZ232" s="98" t="s">
        <v>1911</v>
      </c>
      <c r="BA232" s="98" t="s">
        <v>1912</v>
      </c>
      <c r="BB232" s="98" t="s">
        <v>1913</v>
      </c>
      <c r="BC232" s="98" t="s">
        <v>1914</v>
      </c>
      <c r="BD232" s="98" t="s">
        <v>1915</v>
      </c>
      <c r="BE232" s="98" t="s">
        <v>1916</v>
      </c>
      <c r="BF232" s="98" t="s">
        <v>1917</v>
      </c>
      <c r="BG232" s="98" t="s">
        <v>1918</v>
      </c>
      <c r="BH232" s="98" t="s">
        <v>1919</v>
      </c>
      <c r="BI232" s="98" t="s">
        <v>1920</v>
      </c>
      <c r="BJ232" s="98" t="s">
        <v>1921</v>
      </c>
      <c r="BK232" s="98" t="s">
        <v>1922</v>
      </c>
      <c r="BL232" s="98" t="s">
        <v>1923</v>
      </c>
      <c r="BM232" s="98" t="s">
        <v>1924</v>
      </c>
      <c r="BN232" s="98" t="s">
        <v>1925</v>
      </c>
      <c r="BO232" s="98" t="s">
        <v>1926</v>
      </c>
      <c r="BP232" s="98" t="s">
        <v>1927</v>
      </c>
      <c r="BQ232" s="98" t="s">
        <v>1928</v>
      </c>
      <c r="BR232" s="98" t="s">
        <v>1929</v>
      </c>
      <c r="BS232" s="98" t="s">
        <v>1930</v>
      </c>
      <c r="BT232" s="98" t="s">
        <v>1931</v>
      </c>
    </row>
    <row r="233" customFormat="false" ht="15" hidden="false" customHeight="false" outlineLevel="0" collapsed="false">
      <c r="A233" s="1" t="s">
        <v>1932</v>
      </c>
      <c r="AD233" s="108" t="n">
        <f aca="false">F_Pension0</f>
        <v>0</v>
      </c>
    </row>
    <row r="234" customFormat="false" ht="15" hidden="false" customHeight="false" outlineLevel="0" collapsed="false">
      <c r="B234" s="1" t="n">
        <v>0</v>
      </c>
      <c r="C234" s="1" t="n">
        <f aca="false">F_Age+B234</f>
        <v>0</v>
      </c>
      <c r="D234" s="1" t="n">
        <f aca="false">AS_Year0+B234</f>
        <v>2027</v>
      </c>
      <c r="E234" s="109" t="n">
        <f aca="false">(1+AS_Infl)^B234</f>
        <v>1</v>
      </c>
      <c r="F234" s="109" t="n">
        <f aca="false">(1+AS_Wage)^B234</f>
        <v>1</v>
      </c>
      <c r="G234" s="1" t="n">
        <f aca="false">IF(C234&lt;F_R,1,0)</f>
        <v>1</v>
      </c>
      <c r="H234" s="109" t="n">
        <f aca="false">IF(AS_Bands="flat",1,E234)</f>
        <v>1</v>
      </c>
      <c r="I234" s="109" t="n">
        <f aca="false">IF(AS_SpGrow="pay",F234,IF(AS_SpGrow="flat",1,E234))</f>
        <v>1</v>
      </c>
      <c r="J234" s="109"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0"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0"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IF(C234&gt;=PR_SPage,AS_SP*F_SpF*I234+IF(C234&gt;=PR_Over80Age,PR_Over80*PR_Weeks*I234,0),0)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false" outlineLevel="0" collapsed="false">
      <c r="B235" s="1" t="n">
        <v>1</v>
      </c>
      <c r="C235" s="1" t="n">
        <f aca="false">F_Age+B235</f>
        <v>1</v>
      </c>
      <c r="D235" s="1" t="n">
        <f aca="false">AS_Year0+B235</f>
        <v>2028</v>
      </c>
      <c r="E235" s="109" t="n">
        <f aca="false">(1+AS_Infl)^B235</f>
        <v>1.02</v>
      </c>
      <c r="F235" s="109" t="n">
        <f aca="false">(1+AS_Wage)^B235</f>
        <v>1.03</v>
      </c>
      <c r="G235" s="1" t="n">
        <f aca="false">IF(C235&lt;F_R,1,0)</f>
        <v>1</v>
      </c>
      <c r="H235" s="109" t="n">
        <f aca="false">IF(AS_Bands="flat",1,E235)</f>
        <v>1.02</v>
      </c>
      <c r="I235" s="109" t="n">
        <f aca="false">IF(AS_SpGrow="pay",F235,IF(AS_SpGrow="flat",1,E235))</f>
        <v>1.02</v>
      </c>
      <c r="J235" s="109"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0"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0"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IF(C235&gt;=PR_SPage,AS_SP*F_SpF*I235+IF(C235&gt;=PR_Over80Age,PR_Over80*PR_Weeks*I235,0),0)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false" outlineLevel="0" collapsed="false">
      <c r="B236" s="1" t="n">
        <v>2</v>
      </c>
      <c r="C236" s="1" t="n">
        <f aca="false">F_Age+B236</f>
        <v>2</v>
      </c>
      <c r="D236" s="1" t="n">
        <f aca="false">AS_Year0+B236</f>
        <v>2029</v>
      </c>
      <c r="E236" s="109" t="n">
        <f aca="false">(1+AS_Infl)^B236</f>
        <v>1.0404</v>
      </c>
      <c r="F236" s="109" t="n">
        <f aca="false">(1+AS_Wage)^B236</f>
        <v>1.0609</v>
      </c>
      <c r="G236" s="1" t="n">
        <f aca="false">IF(C236&lt;F_R,1,0)</f>
        <v>1</v>
      </c>
      <c r="H236" s="109" t="n">
        <f aca="false">IF(AS_Bands="flat",1,E236)</f>
        <v>1.0404</v>
      </c>
      <c r="I236" s="109" t="n">
        <f aca="false">IF(AS_SpGrow="pay",F236,IF(AS_SpGrow="flat",1,E236))</f>
        <v>1.0404</v>
      </c>
      <c r="J236" s="109"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0"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0"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IF(C236&gt;=PR_SPage,AS_SP*F_SpF*I236+IF(C236&gt;=PR_Over80Age,PR_Over80*PR_Weeks*I236,0),0)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false" outlineLevel="0" collapsed="false">
      <c r="B237" s="1" t="n">
        <v>3</v>
      </c>
      <c r="C237" s="1" t="n">
        <f aca="false">F_Age+B237</f>
        <v>3</v>
      </c>
      <c r="D237" s="1" t="n">
        <f aca="false">AS_Year0+B237</f>
        <v>2030</v>
      </c>
      <c r="E237" s="109" t="n">
        <f aca="false">(1+AS_Infl)^B237</f>
        <v>1.061208</v>
      </c>
      <c r="F237" s="109" t="n">
        <f aca="false">(1+AS_Wage)^B237</f>
        <v>1.092727</v>
      </c>
      <c r="G237" s="1" t="n">
        <f aca="false">IF(C237&lt;F_R,1,0)</f>
        <v>1</v>
      </c>
      <c r="H237" s="109" t="n">
        <f aca="false">IF(AS_Bands="flat",1,E237)</f>
        <v>1.061208</v>
      </c>
      <c r="I237" s="109" t="n">
        <f aca="false">IF(AS_SpGrow="pay",F237,IF(AS_SpGrow="flat",1,E237))</f>
        <v>1.061208</v>
      </c>
      <c r="J237" s="109"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0"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0"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IF(C237&gt;=PR_SPage,AS_SP*F_SpF*I237+IF(C237&gt;=PR_Over80Age,PR_Over80*PR_Weeks*I237,0),0)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false" outlineLevel="0" collapsed="false">
      <c r="B238" s="1" t="n">
        <v>4</v>
      </c>
      <c r="C238" s="1" t="n">
        <f aca="false">F_Age+B238</f>
        <v>4</v>
      </c>
      <c r="D238" s="1" t="n">
        <f aca="false">AS_Year0+B238</f>
        <v>2031</v>
      </c>
      <c r="E238" s="109" t="n">
        <f aca="false">(1+AS_Infl)^B238</f>
        <v>1.08243216</v>
      </c>
      <c r="F238" s="109" t="n">
        <f aca="false">(1+AS_Wage)^B238</f>
        <v>1.12550881</v>
      </c>
      <c r="G238" s="1" t="n">
        <f aca="false">IF(C238&lt;F_R,1,0)</f>
        <v>1</v>
      </c>
      <c r="H238" s="109" t="n">
        <f aca="false">IF(AS_Bands="flat",1,E238)</f>
        <v>1.08243216</v>
      </c>
      <c r="I238" s="109" t="n">
        <f aca="false">IF(AS_SpGrow="pay",F238,IF(AS_SpGrow="flat",1,E238))</f>
        <v>1.08243216</v>
      </c>
      <c r="J238" s="109"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0"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0"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IF(C238&gt;=PR_SPage,AS_SP*F_SpF*I238+IF(C238&gt;=PR_Over80Age,PR_Over80*PR_Weeks*I238,0),0)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false" outlineLevel="0" collapsed="false">
      <c r="B239" s="1" t="n">
        <v>5</v>
      </c>
      <c r="C239" s="1" t="n">
        <f aca="false">F_Age+B239</f>
        <v>5</v>
      </c>
      <c r="D239" s="1" t="n">
        <f aca="false">AS_Year0+B239</f>
        <v>2032</v>
      </c>
      <c r="E239" s="109" t="n">
        <f aca="false">(1+AS_Infl)^B239</f>
        <v>1.1040808032</v>
      </c>
      <c r="F239" s="109" t="n">
        <f aca="false">(1+AS_Wage)^B239</f>
        <v>1.1592740743</v>
      </c>
      <c r="G239" s="1" t="n">
        <f aca="false">IF(C239&lt;F_R,1,0)</f>
        <v>1</v>
      </c>
      <c r="H239" s="109" t="n">
        <f aca="false">IF(AS_Bands="flat",1,E239)</f>
        <v>1.1040808032</v>
      </c>
      <c r="I239" s="109" t="n">
        <f aca="false">IF(AS_SpGrow="pay",F239,IF(AS_SpGrow="flat",1,E239))</f>
        <v>1.1040808032</v>
      </c>
      <c r="J239" s="109"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0"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0"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IF(C239&gt;=PR_SPage,AS_SP*F_SpF*I239+IF(C239&gt;=PR_Over80Age,PR_Over80*PR_Weeks*I239,0),0)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false" outlineLevel="0" collapsed="false">
      <c r="B240" s="1" t="n">
        <v>6</v>
      </c>
      <c r="C240" s="1" t="n">
        <f aca="false">F_Age+B240</f>
        <v>6</v>
      </c>
      <c r="D240" s="1" t="n">
        <f aca="false">AS_Year0+B240</f>
        <v>2033</v>
      </c>
      <c r="E240" s="109" t="n">
        <f aca="false">(1+AS_Infl)^B240</f>
        <v>1.126162419264</v>
      </c>
      <c r="F240" s="109" t="n">
        <f aca="false">(1+AS_Wage)^B240</f>
        <v>1.194052296529</v>
      </c>
      <c r="G240" s="1" t="n">
        <f aca="false">IF(C240&lt;F_R,1,0)</f>
        <v>1</v>
      </c>
      <c r="H240" s="109" t="n">
        <f aca="false">IF(AS_Bands="flat",1,E240)</f>
        <v>1.126162419264</v>
      </c>
      <c r="I240" s="109" t="n">
        <f aca="false">IF(AS_SpGrow="pay",F240,IF(AS_SpGrow="flat",1,E240))</f>
        <v>1.126162419264</v>
      </c>
      <c r="J240" s="109"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0"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0"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IF(C240&gt;=PR_SPage,AS_SP*F_SpF*I240+IF(C240&gt;=PR_Over80Age,PR_Over80*PR_Weeks*I240,0),0)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false" outlineLevel="0" collapsed="false">
      <c r="B241" s="1" t="n">
        <v>7</v>
      </c>
      <c r="C241" s="1" t="n">
        <f aca="false">F_Age+B241</f>
        <v>7</v>
      </c>
      <c r="D241" s="1" t="n">
        <f aca="false">AS_Year0+B241</f>
        <v>2034</v>
      </c>
      <c r="E241" s="109" t="n">
        <f aca="false">(1+AS_Infl)^B241</f>
        <v>1.14868566764928</v>
      </c>
      <c r="F241" s="109" t="n">
        <f aca="false">(1+AS_Wage)^B241</f>
        <v>1.22987386542487</v>
      </c>
      <c r="G241" s="1" t="n">
        <f aca="false">IF(C241&lt;F_R,1,0)</f>
        <v>1</v>
      </c>
      <c r="H241" s="109" t="n">
        <f aca="false">IF(AS_Bands="flat",1,E241)</f>
        <v>1.14868566764928</v>
      </c>
      <c r="I241" s="109" t="n">
        <f aca="false">IF(AS_SpGrow="pay",F241,IF(AS_SpGrow="flat",1,E241))</f>
        <v>1.14868566764928</v>
      </c>
      <c r="J241" s="109"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0"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0"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IF(C241&gt;=PR_SPage,AS_SP*F_SpF*I241+IF(C241&gt;=PR_Over80Age,PR_Over80*PR_Weeks*I241,0),0)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false" outlineLevel="0" collapsed="false">
      <c r="B242" s="1" t="n">
        <v>8</v>
      </c>
      <c r="C242" s="1" t="n">
        <f aca="false">F_Age+B242</f>
        <v>8</v>
      </c>
      <c r="D242" s="1" t="n">
        <f aca="false">AS_Year0+B242</f>
        <v>2035</v>
      </c>
      <c r="E242" s="109" t="n">
        <f aca="false">(1+AS_Infl)^B242</f>
        <v>1.17165938100227</v>
      </c>
      <c r="F242" s="109" t="n">
        <f aca="false">(1+AS_Wage)^B242</f>
        <v>1.26677008138762</v>
      </c>
      <c r="G242" s="1" t="n">
        <f aca="false">IF(C242&lt;F_R,1,0)</f>
        <v>1</v>
      </c>
      <c r="H242" s="109" t="n">
        <f aca="false">IF(AS_Bands="flat",1,E242)</f>
        <v>1.17165938100227</v>
      </c>
      <c r="I242" s="109" t="n">
        <f aca="false">IF(AS_SpGrow="pay",F242,IF(AS_SpGrow="flat",1,E242))</f>
        <v>1.17165938100227</v>
      </c>
      <c r="J242" s="109"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0"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0"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IF(C242&gt;=PR_SPage,AS_SP*F_SpF*I242+IF(C242&gt;=PR_Over80Age,PR_Over80*PR_Weeks*I242,0),0)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false" outlineLevel="0" collapsed="false">
      <c r="B243" s="1" t="n">
        <v>9</v>
      </c>
      <c r="C243" s="1" t="n">
        <f aca="false">F_Age+B243</f>
        <v>9</v>
      </c>
      <c r="D243" s="1" t="n">
        <f aca="false">AS_Year0+B243</f>
        <v>2036</v>
      </c>
      <c r="E243" s="109" t="n">
        <f aca="false">(1+AS_Infl)^B243</f>
        <v>1.19509256862231</v>
      </c>
      <c r="F243" s="109" t="n">
        <f aca="false">(1+AS_Wage)^B243</f>
        <v>1.30477318382925</v>
      </c>
      <c r="G243" s="1" t="n">
        <f aca="false">IF(C243&lt;F_R,1,0)</f>
        <v>1</v>
      </c>
      <c r="H243" s="109" t="n">
        <f aca="false">IF(AS_Bands="flat",1,E243)</f>
        <v>1.19509256862231</v>
      </c>
      <c r="I243" s="109" t="n">
        <f aca="false">IF(AS_SpGrow="pay",F243,IF(AS_SpGrow="flat",1,E243))</f>
        <v>1.19509256862231</v>
      </c>
      <c r="J243" s="109"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0"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0"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IF(C243&gt;=PR_SPage,AS_SP*F_SpF*I243+IF(C243&gt;=PR_Over80Age,PR_Over80*PR_Weeks*I243,0),0)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false" outlineLevel="0" collapsed="false">
      <c r="B244" s="1" t="n">
        <v>10</v>
      </c>
      <c r="C244" s="1" t="n">
        <f aca="false">F_Age+B244</f>
        <v>10</v>
      </c>
      <c r="D244" s="1" t="n">
        <f aca="false">AS_Year0+B244</f>
        <v>2037</v>
      </c>
      <c r="E244" s="109" t="n">
        <f aca="false">(1+AS_Infl)^B244</f>
        <v>1.21899441999476</v>
      </c>
      <c r="F244" s="109" t="n">
        <f aca="false">(1+AS_Wage)^B244</f>
        <v>1.34391637934412</v>
      </c>
      <c r="G244" s="1" t="n">
        <f aca="false">IF(C244&lt;F_R,1,0)</f>
        <v>1</v>
      </c>
      <c r="H244" s="109" t="n">
        <f aca="false">IF(AS_Bands="flat",1,E244)</f>
        <v>1.21899441999476</v>
      </c>
      <c r="I244" s="109" t="n">
        <f aca="false">IF(AS_SpGrow="pay",F244,IF(AS_SpGrow="flat",1,E244))</f>
        <v>1.21899441999476</v>
      </c>
      <c r="J244" s="109"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0"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0"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IF(C244&gt;=PR_SPage,AS_SP*F_SpF*I244+IF(C244&gt;=PR_Over80Age,PR_Over80*PR_Weeks*I244,0),0)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false" outlineLevel="0" collapsed="false">
      <c r="B245" s="1" t="n">
        <v>11</v>
      </c>
      <c r="C245" s="1" t="n">
        <f aca="false">F_Age+B245</f>
        <v>11</v>
      </c>
      <c r="D245" s="1" t="n">
        <f aca="false">AS_Year0+B245</f>
        <v>2038</v>
      </c>
      <c r="E245" s="109" t="n">
        <f aca="false">(1+AS_Infl)^B245</f>
        <v>1.24337430839465</v>
      </c>
      <c r="F245" s="109" t="n">
        <f aca="false">(1+AS_Wage)^B245</f>
        <v>1.38423387072445</v>
      </c>
      <c r="G245" s="1" t="n">
        <f aca="false">IF(C245&lt;F_R,1,0)</f>
        <v>1</v>
      </c>
      <c r="H245" s="109" t="n">
        <f aca="false">IF(AS_Bands="flat",1,E245)</f>
        <v>1.24337430839465</v>
      </c>
      <c r="I245" s="109" t="n">
        <f aca="false">IF(AS_SpGrow="pay",F245,IF(AS_SpGrow="flat",1,E245))</f>
        <v>1.24337430839465</v>
      </c>
      <c r="J245" s="109"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0"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0"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IF(C245&gt;=PR_SPage,AS_SP*F_SpF*I245+IF(C245&gt;=PR_Over80Age,PR_Over80*PR_Weeks*I245,0),0)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false" outlineLevel="0" collapsed="false">
      <c r="B246" s="1" t="n">
        <v>12</v>
      </c>
      <c r="C246" s="1" t="n">
        <f aca="false">F_Age+B246</f>
        <v>12</v>
      </c>
      <c r="D246" s="1" t="n">
        <f aca="false">AS_Year0+B246</f>
        <v>2039</v>
      </c>
      <c r="E246" s="109" t="n">
        <f aca="false">(1+AS_Infl)^B246</f>
        <v>1.26824179456255</v>
      </c>
      <c r="F246" s="109" t="n">
        <f aca="false">(1+AS_Wage)^B246</f>
        <v>1.42576088684618</v>
      </c>
      <c r="G246" s="1" t="n">
        <f aca="false">IF(C246&lt;F_R,1,0)</f>
        <v>1</v>
      </c>
      <c r="H246" s="109" t="n">
        <f aca="false">IF(AS_Bands="flat",1,E246)</f>
        <v>1.26824179456255</v>
      </c>
      <c r="I246" s="109" t="n">
        <f aca="false">IF(AS_SpGrow="pay",F246,IF(AS_SpGrow="flat",1,E246))</f>
        <v>1.26824179456255</v>
      </c>
      <c r="J246" s="109"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0"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0"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IF(C246&gt;=PR_SPage,AS_SP*F_SpF*I246+IF(C246&gt;=PR_Over80Age,PR_Over80*PR_Weeks*I246,0),0)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false" outlineLevel="0" collapsed="false">
      <c r="B247" s="1" t="n">
        <v>13</v>
      </c>
      <c r="C247" s="1" t="n">
        <f aca="false">F_Age+B247</f>
        <v>13</v>
      </c>
      <c r="D247" s="1" t="n">
        <f aca="false">AS_Year0+B247</f>
        <v>2040</v>
      </c>
      <c r="E247" s="109" t="n">
        <f aca="false">(1+AS_Infl)^B247</f>
        <v>1.2936066304538</v>
      </c>
      <c r="F247" s="109" t="n">
        <f aca="false">(1+AS_Wage)^B247</f>
        <v>1.46853371345156</v>
      </c>
      <c r="G247" s="1" t="n">
        <f aca="false">IF(C247&lt;F_R,1,0)</f>
        <v>1</v>
      </c>
      <c r="H247" s="109" t="n">
        <f aca="false">IF(AS_Bands="flat",1,E247)</f>
        <v>1.2936066304538</v>
      </c>
      <c r="I247" s="109" t="n">
        <f aca="false">IF(AS_SpGrow="pay",F247,IF(AS_SpGrow="flat",1,E247))</f>
        <v>1.2936066304538</v>
      </c>
      <c r="J247" s="109"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0"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0"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IF(C247&gt;=PR_SPage,AS_SP*F_SpF*I247+IF(C247&gt;=PR_Over80Age,PR_Over80*PR_Weeks*I247,0),0)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false" outlineLevel="0" collapsed="false">
      <c r="B248" s="1" t="n">
        <v>14</v>
      </c>
      <c r="C248" s="1" t="n">
        <f aca="false">F_Age+B248</f>
        <v>14</v>
      </c>
      <c r="D248" s="1" t="n">
        <f aca="false">AS_Year0+B248</f>
        <v>2041</v>
      </c>
      <c r="E248" s="109" t="n">
        <f aca="false">(1+AS_Infl)^B248</f>
        <v>1.31947876306287</v>
      </c>
      <c r="F248" s="109" t="n">
        <f aca="false">(1+AS_Wage)^B248</f>
        <v>1.51258972485511</v>
      </c>
      <c r="G248" s="1" t="n">
        <f aca="false">IF(C248&lt;F_R,1,0)</f>
        <v>1</v>
      </c>
      <c r="H248" s="109" t="n">
        <f aca="false">IF(AS_Bands="flat",1,E248)</f>
        <v>1.31947876306287</v>
      </c>
      <c r="I248" s="109" t="n">
        <f aca="false">IF(AS_SpGrow="pay",F248,IF(AS_SpGrow="flat",1,E248))</f>
        <v>1.31947876306287</v>
      </c>
      <c r="J248" s="109"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0"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0"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IF(C248&gt;=PR_SPage,AS_SP*F_SpF*I248+IF(C248&gt;=PR_Over80Age,PR_Over80*PR_Weeks*I248,0),0)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false" outlineLevel="0" collapsed="false">
      <c r="B249" s="1" t="n">
        <v>15</v>
      </c>
      <c r="C249" s="1" t="n">
        <f aca="false">F_Age+B249</f>
        <v>15</v>
      </c>
      <c r="D249" s="1" t="n">
        <f aca="false">AS_Year0+B249</f>
        <v>2042</v>
      </c>
      <c r="E249" s="109" t="n">
        <f aca="false">(1+AS_Infl)^B249</f>
        <v>1.34586833832413</v>
      </c>
      <c r="F249" s="109" t="n">
        <f aca="false">(1+AS_Wage)^B249</f>
        <v>1.55796741660077</v>
      </c>
      <c r="G249" s="1" t="n">
        <f aca="false">IF(C249&lt;F_R,1,0)</f>
        <v>1</v>
      </c>
      <c r="H249" s="109" t="n">
        <f aca="false">IF(AS_Bands="flat",1,E249)</f>
        <v>1.34586833832413</v>
      </c>
      <c r="I249" s="109" t="n">
        <f aca="false">IF(AS_SpGrow="pay",F249,IF(AS_SpGrow="flat",1,E249))</f>
        <v>1.34586833832413</v>
      </c>
      <c r="J249" s="109"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0"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0"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IF(C249&gt;=PR_SPage,AS_SP*F_SpF*I249+IF(C249&gt;=PR_Over80Age,PR_Over80*PR_Weeks*I249,0),0)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false" outlineLevel="0" collapsed="false">
      <c r="B250" s="1" t="n">
        <v>16</v>
      </c>
      <c r="C250" s="1" t="n">
        <f aca="false">F_Age+B250</f>
        <v>16</v>
      </c>
      <c r="D250" s="1" t="n">
        <f aca="false">AS_Year0+B250</f>
        <v>2043</v>
      </c>
      <c r="E250" s="109" t="n">
        <f aca="false">(1+AS_Infl)^B250</f>
        <v>1.37278570509061</v>
      </c>
      <c r="F250" s="109" t="n">
        <f aca="false">(1+AS_Wage)^B250</f>
        <v>1.60470643909879</v>
      </c>
      <c r="G250" s="1" t="n">
        <f aca="false">IF(C250&lt;F_R,1,0)</f>
        <v>1</v>
      </c>
      <c r="H250" s="109" t="n">
        <f aca="false">IF(AS_Bands="flat",1,E250)</f>
        <v>1.37278570509061</v>
      </c>
      <c r="I250" s="109" t="n">
        <f aca="false">IF(AS_SpGrow="pay",F250,IF(AS_SpGrow="flat",1,E250))</f>
        <v>1.37278570509061</v>
      </c>
      <c r="J250" s="109"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0"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0"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IF(C250&gt;=PR_SPage,AS_SP*F_SpF*I250+IF(C250&gt;=PR_Over80Age,PR_Over80*PR_Weeks*I250,0),0)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false" outlineLevel="0" collapsed="false">
      <c r="B251" s="1" t="n">
        <v>17</v>
      </c>
      <c r="C251" s="1" t="n">
        <f aca="false">F_Age+B251</f>
        <v>17</v>
      </c>
      <c r="D251" s="1" t="n">
        <f aca="false">AS_Year0+B251</f>
        <v>2044</v>
      </c>
      <c r="E251" s="109" t="n">
        <f aca="false">(1+AS_Infl)^B251</f>
        <v>1.40024141919242</v>
      </c>
      <c r="F251" s="109" t="n">
        <f aca="false">(1+AS_Wage)^B251</f>
        <v>1.65284763227175</v>
      </c>
      <c r="G251" s="1" t="n">
        <f aca="false">IF(C251&lt;F_R,1,0)</f>
        <v>1</v>
      </c>
      <c r="H251" s="109" t="n">
        <f aca="false">IF(AS_Bands="flat",1,E251)</f>
        <v>1.40024141919242</v>
      </c>
      <c r="I251" s="109" t="n">
        <f aca="false">IF(AS_SpGrow="pay",F251,IF(AS_SpGrow="flat",1,E251))</f>
        <v>1.40024141919242</v>
      </c>
      <c r="J251" s="109"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0"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0"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IF(C251&gt;=PR_SPage,AS_SP*F_SpF*I251+IF(C251&gt;=PR_Over80Age,PR_Over80*PR_Weeks*I251,0),0)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false" outlineLevel="0" collapsed="false">
      <c r="B252" s="1" t="n">
        <v>18</v>
      </c>
      <c r="C252" s="1" t="n">
        <f aca="false">F_Age+B252</f>
        <v>18</v>
      </c>
      <c r="D252" s="1" t="n">
        <f aca="false">AS_Year0+B252</f>
        <v>2045</v>
      </c>
      <c r="E252" s="109" t="n">
        <f aca="false">(1+AS_Infl)^B252</f>
        <v>1.42824624757627</v>
      </c>
      <c r="F252" s="109" t="n">
        <f aca="false">(1+AS_Wage)^B252</f>
        <v>1.7024330612399</v>
      </c>
      <c r="G252" s="1" t="n">
        <f aca="false">IF(C252&lt;F_R,1,0)</f>
        <v>1</v>
      </c>
      <c r="H252" s="109" t="n">
        <f aca="false">IF(AS_Bands="flat",1,E252)</f>
        <v>1.42824624757627</v>
      </c>
      <c r="I252" s="109" t="n">
        <f aca="false">IF(AS_SpGrow="pay",F252,IF(AS_SpGrow="flat",1,E252))</f>
        <v>1.42824624757627</v>
      </c>
      <c r="J252" s="109"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0"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0"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IF(C252&gt;=PR_SPage,AS_SP*F_SpF*I252+IF(C252&gt;=PR_Over80Age,PR_Over80*PR_Weeks*I252,0),0)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false" outlineLevel="0" collapsed="false">
      <c r="B253" s="1" t="n">
        <v>19</v>
      </c>
      <c r="C253" s="1" t="n">
        <f aca="false">F_Age+B253</f>
        <v>19</v>
      </c>
      <c r="D253" s="1" t="n">
        <f aca="false">AS_Year0+B253</f>
        <v>2046</v>
      </c>
      <c r="E253" s="109" t="n">
        <f aca="false">(1+AS_Infl)^B253</f>
        <v>1.4568111725278</v>
      </c>
      <c r="F253" s="109" t="n">
        <f aca="false">(1+AS_Wage)^B253</f>
        <v>1.7535060530771</v>
      </c>
      <c r="G253" s="1" t="n">
        <f aca="false">IF(C253&lt;F_R,1,0)</f>
        <v>1</v>
      </c>
      <c r="H253" s="109" t="n">
        <f aca="false">IF(AS_Bands="flat",1,E253)</f>
        <v>1.4568111725278</v>
      </c>
      <c r="I253" s="109" t="n">
        <f aca="false">IF(AS_SpGrow="pay",F253,IF(AS_SpGrow="flat",1,E253))</f>
        <v>1.4568111725278</v>
      </c>
      <c r="J253" s="109"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0"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0"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IF(C253&gt;=PR_SPage,AS_SP*F_SpF*I253+IF(C253&gt;=PR_Over80Age,PR_Over80*PR_Weeks*I253,0),0)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false" outlineLevel="0" collapsed="false">
      <c r="B254" s="1" t="n">
        <v>20</v>
      </c>
      <c r="C254" s="1" t="n">
        <f aca="false">F_Age+B254</f>
        <v>20</v>
      </c>
      <c r="D254" s="1" t="n">
        <f aca="false">AS_Year0+B254</f>
        <v>2047</v>
      </c>
      <c r="E254" s="109" t="n">
        <f aca="false">(1+AS_Infl)^B254</f>
        <v>1.48594739597836</v>
      </c>
      <c r="F254" s="109" t="n">
        <f aca="false">(1+AS_Wage)^B254</f>
        <v>1.80611123466941</v>
      </c>
      <c r="G254" s="1" t="n">
        <f aca="false">IF(C254&lt;F_R,1,0)</f>
        <v>1</v>
      </c>
      <c r="H254" s="109" t="n">
        <f aca="false">IF(AS_Bands="flat",1,E254)</f>
        <v>1.48594739597836</v>
      </c>
      <c r="I254" s="109" t="n">
        <f aca="false">IF(AS_SpGrow="pay",F254,IF(AS_SpGrow="flat",1,E254))</f>
        <v>1.48594739597836</v>
      </c>
      <c r="J254" s="109"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0"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0"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IF(C254&gt;=PR_SPage,AS_SP*F_SpF*I254+IF(C254&gt;=PR_Over80Age,PR_Over80*PR_Weeks*I254,0),0)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false" outlineLevel="0" collapsed="false">
      <c r="B255" s="1" t="n">
        <v>21</v>
      </c>
      <c r="C255" s="1" t="n">
        <f aca="false">F_Age+B255</f>
        <v>21</v>
      </c>
      <c r="D255" s="1" t="n">
        <f aca="false">AS_Year0+B255</f>
        <v>2048</v>
      </c>
      <c r="E255" s="109" t="n">
        <f aca="false">(1+AS_Infl)^B255</f>
        <v>1.51566634389792</v>
      </c>
      <c r="F255" s="109" t="n">
        <f aca="false">(1+AS_Wage)^B255</f>
        <v>1.8602945717095</v>
      </c>
      <c r="G255" s="1" t="n">
        <f aca="false">IF(C255&lt;F_R,1,0)</f>
        <v>1</v>
      </c>
      <c r="H255" s="109" t="n">
        <f aca="false">IF(AS_Bands="flat",1,E255)</f>
        <v>1.51566634389792</v>
      </c>
      <c r="I255" s="109" t="n">
        <f aca="false">IF(AS_SpGrow="pay",F255,IF(AS_SpGrow="flat",1,E255))</f>
        <v>1.51566634389792</v>
      </c>
      <c r="J255" s="109"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0"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0"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IF(C255&gt;=PR_SPage,AS_SP*F_SpF*I255+IF(C255&gt;=PR_Over80Age,PR_Over80*PR_Weeks*I255,0),0)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false" outlineLevel="0" collapsed="false">
      <c r="B256" s="1" t="n">
        <v>22</v>
      </c>
      <c r="C256" s="1" t="n">
        <f aca="false">F_Age+B256</f>
        <v>22</v>
      </c>
      <c r="D256" s="1" t="n">
        <f aca="false">AS_Year0+B256</f>
        <v>2049</v>
      </c>
      <c r="E256" s="109" t="n">
        <f aca="false">(1+AS_Infl)^B256</f>
        <v>1.54597967077588</v>
      </c>
      <c r="F256" s="109" t="n">
        <f aca="false">(1+AS_Wage)^B256</f>
        <v>1.91610340886078</v>
      </c>
      <c r="G256" s="1" t="n">
        <f aca="false">IF(C256&lt;F_R,1,0)</f>
        <v>1</v>
      </c>
      <c r="H256" s="109" t="n">
        <f aca="false">IF(AS_Bands="flat",1,E256)</f>
        <v>1.54597967077588</v>
      </c>
      <c r="I256" s="109" t="n">
        <f aca="false">IF(AS_SpGrow="pay",F256,IF(AS_SpGrow="flat",1,E256))</f>
        <v>1.54597967077588</v>
      </c>
      <c r="J256" s="109"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0"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0"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IF(C256&gt;=PR_SPage,AS_SP*F_SpF*I256+IF(C256&gt;=PR_Over80Age,PR_Over80*PR_Weeks*I256,0),0)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false" outlineLevel="0" collapsed="false">
      <c r="B257" s="1" t="n">
        <v>23</v>
      </c>
      <c r="C257" s="1" t="n">
        <f aca="false">F_Age+B257</f>
        <v>23</v>
      </c>
      <c r="D257" s="1" t="n">
        <f aca="false">AS_Year0+B257</f>
        <v>2050</v>
      </c>
      <c r="E257" s="109" t="n">
        <f aca="false">(1+AS_Infl)^B257</f>
        <v>1.5768992641914</v>
      </c>
      <c r="F257" s="109" t="n">
        <f aca="false">(1+AS_Wage)^B257</f>
        <v>1.97358651112661</v>
      </c>
      <c r="G257" s="1" t="n">
        <f aca="false">IF(C257&lt;F_R,1,0)</f>
        <v>1</v>
      </c>
      <c r="H257" s="109" t="n">
        <f aca="false">IF(AS_Bands="flat",1,E257)</f>
        <v>1.5768992641914</v>
      </c>
      <c r="I257" s="109" t="n">
        <f aca="false">IF(AS_SpGrow="pay",F257,IF(AS_SpGrow="flat",1,E257))</f>
        <v>1.5768992641914</v>
      </c>
      <c r="J257" s="109"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0"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0"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IF(C257&gt;=PR_SPage,AS_SP*F_SpF*I257+IF(C257&gt;=PR_Over80Age,PR_Over80*PR_Weeks*I257,0),0)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false" outlineLevel="0" collapsed="false">
      <c r="B258" s="1" t="n">
        <v>24</v>
      </c>
      <c r="C258" s="1" t="n">
        <f aca="false">F_Age+B258</f>
        <v>24</v>
      </c>
      <c r="D258" s="1" t="n">
        <f aca="false">AS_Year0+B258</f>
        <v>2051</v>
      </c>
      <c r="E258" s="109" t="n">
        <f aca="false">(1+AS_Infl)^B258</f>
        <v>1.60843724947523</v>
      </c>
      <c r="F258" s="109" t="n">
        <f aca="false">(1+AS_Wage)^B258</f>
        <v>2.0327941064604</v>
      </c>
      <c r="G258" s="1" t="n">
        <f aca="false">IF(C258&lt;F_R,1,0)</f>
        <v>1</v>
      </c>
      <c r="H258" s="109" t="n">
        <f aca="false">IF(AS_Bands="flat",1,E258)</f>
        <v>1.60843724947523</v>
      </c>
      <c r="I258" s="109" t="n">
        <f aca="false">IF(AS_SpGrow="pay",F258,IF(AS_SpGrow="flat",1,E258))</f>
        <v>1.60843724947523</v>
      </c>
      <c r="J258" s="109"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0"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0"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IF(C258&gt;=PR_SPage,AS_SP*F_SpF*I258+IF(C258&gt;=PR_Over80Age,PR_Over80*PR_Weeks*I258,0),0)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false" outlineLevel="0" collapsed="false">
      <c r="B259" s="1" t="n">
        <v>25</v>
      </c>
      <c r="C259" s="1" t="n">
        <f aca="false">F_Age+B259</f>
        <v>25</v>
      </c>
      <c r="D259" s="1" t="n">
        <f aca="false">AS_Year0+B259</f>
        <v>2052</v>
      </c>
      <c r="E259" s="109" t="n">
        <f aca="false">(1+AS_Infl)^B259</f>
        <v>1.64060599446473</v>
      </c>
      <c r="F259" s="109" t="n">
        <f aca="false">(1+AS_Wage)^B259</f>
        <v>2.09377792965422</v>
      </c>
      <c r="G259" s="1" t="n">
        <f aca="false">IF(C259&lt;F_R,1,0)</f>
        <v>1</v>
      </c>
      <c r="H259" s="109" t="n">
        <f aca="false">IF(AS_Bands="flat",1,E259)</f>
        <v>1.64060599446473</v>
      </c>
      <c r="I259" s="109" t="n">
        <f aca="false">IF(AS_SpGrow="pay",F259,IF(AS_SpGrow="flat",1,E259))</f>
        <v>1.64060599446473</v>
      </c>
      <c r="J259" s="109"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0"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0"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IF(C259&gt;=PR_SPage,AS_SP*F_SpF*I259+IF(C259&gt;=PR_Over80Age,PR_Over80*PR_Weeks*I259,0),0)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false" outlineLevel="0" collapsed="false">
      <c r="B260" s="1" t="n">
        <v>26</v>
      </c>
      <c r="C260" s="1" t="n">
        <f aca="false">F_Age+B260</f>
        <v>26</v>
      </c>
      <c r="D260" s="1" t="n">
        <f aca="false">AS_Year0+B260</f>
        <v>2053</v>
      </c>
      <c r="E260" s="109" t="n">
        <f aca="false">(1+AS_Infl)^B260</f>
        <v>1.67341811435403</v>
      </c>
      <c r="F260" s="109" t="n">
        <f aca="false">(1+AS_Wage)^B260</f>
        <v>2.15659126754384</v>
      </c>
      <c r="G260" s="1" t="n">
        <f aca="false">IF(C260&lt;F_R,1,0)</f>
        <v>1</v>
      </c>
      <c r="H260" s="109" t="n">
        <f aca="false">IF(AS_Bands="flat",1,E260)</f>
        <v>1.67341811435403</v>
      </c>
      <c r="I260" s="109" t="n">
        <f aca="false">IF(AS_SpGrow="pay",F260,IF(AS_SpGrow="flat",1,E260))</f>
        <v>1.67341811435403</v>
      </c>
      <c r="J260" s="109"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0"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0"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IF(C260&gt;=PR_SPage,AS_SP*F_SpF*I260+IF(C260&gt;=PR_Over80Age,PR_Over80*PR_Weeks*I260,0),0)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false" outlineLevel="0" collapsed="false">
      <c r="B261" s="1" t="n">
        <v>27</v>
      </c>
      <c r="C261" s="1" t="n">
        <f aca="false">F_Age+B261</f>
        <v>27</v>
      </c>
      <c r="D261" s="1" t="n">
        <f aca="false">AS_Year0+B261</f>
        <v>2054</v>
      </c>
      <c r="E261" s="109" t="n">
        <f aca="false">(1+AS_Infl)^B261</f>
        <v>1.70688647664111</v>
      </c>
      <c r="F261" s="109" t="n">
        <f aca="false">(1+AS_Wage)^B261</f>
        <v>2.22128900557016</v>
      </c>
      <c r="G261" s="1" t="n">
        <f aca="false">IF(C261&lt;F_R,1,0)</f>
        <v>1</v>
      </c>
      <c r="H261" s="109" t="n">
        <f aca="false">IF(AS_Bands="flat",1,E261)</f>
        <v>1.70688647664111</v>
      </c>
      <c r="I261" s="109" t="n">
        <f aca="false">IF(AS_SpGrow="pay",F261,IF(AS_SpGrow="flat",1,E261))</f>
        <v>1.70688647664111</v>
      </c>
      <c r="J261" s="109"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0"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0"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IF(C261&gt;=PR_SPage,AS_SP*F_SpF*I261+IF(C261&gt;=PR_Over80Age,PR_Over80*PR_Weeks*I261,0),0)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false" outlineLevel="0" collapsed="false">
      <c r="B262" s="1" t="n">
        <v>28</v>
      </c>
      <c r="C262" s="1" t="n">
        <f aca="false">F_Age+B262</f>
        <v>28</v>
      </c>
      <c r="D262" s="1" t="n">
        <f aca="false">AS_Year0+B262</f>
        <v>2055</v>
      </c>
      <c r="E262" s="109" t="n">
        <f aca="false">(1+AS_Infl)^B262</f>
        <v>1.74102420617393</v>
      </c>
      <c r="F262" s="109" t="n">
        <f aca="false">(1+AS_Wage)^B262</f>
        <v>2.28792767573726</v>
      </c>
      <c r="G262" s="1" t="n">
        <f aca="false">IF(C262&lt;F_R,1,0)</f>
        <v>1</v>
      </c>
      <c r="H262" s="109" t="n">
        <f aca="false">IF(AS_Bands="flat",1,E262)</f>
        <v>1.74102420617393</v>
      </c>
      <c r="I262" s="109" t="n">
        <f aca="false">IF(AS_SpGrow="pay",F262,IF(AS_SpGrow="flat",1,E262))</f>
        <v>1.74102420617393</v>
      </c>
      <c r="J262" s="109"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0"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0"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IF(C262&gt;=PR_SPage,AS_SP*F_SpF*I262+IF(C262&gt;=PR_Over80Age,PR_Over80*PR_Weeks*I262,0),0)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false" outlineLevel="0" collapsed="false">
      <c r="B263" s="1" t="n">
        <v>29</v>
      </c>
      <c r="C263" s="1" t="n">
        <f aca="false">F_Age+B263</f>
        <v>29</v>
      </c>
      <c r="D263" s="1" t="n">
        <f aca="false">AS_Year0+B263</f>
        <v>2056</v>
      </c>
      <c r="E263" s="109" t="n">
        <f aca="false">(1+AS_Infl)^B263</f>
        <v>1.77584469029741</v>
      </c>
      <c r="F263" s="109" t="n">
        <f aca="false">(1+AS_Wage)^B263</f>
        <v>2.35656550600938</v>
      </c>
      <c r="G263" s="1" t="n">
        <f aca="false">IF(C263&lt;F_R,1,0)</f>
        <v>1</v>
      </c>
      <c r="H263" s="109" t="n">
        <f aca="false">IF(AS_Bands="flat",1,E263)</f>
        <v>1.77584469029741</v>
      </c>
      <c r="I263" s="109" t="n">
        <f aca="false">IF(AS_SpGrow="pay",F263,IF(AS_SpGrow="flat",1,E263))</f>
        <v>1.77584469029741</v>
      </c>
      <c r="J263" s="109"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0"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0"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IF(C263&gt;=PR_SPage,AS_SP*F_SpF*I263+IF(C263&gt;=PR_Over80Age,PR_Over80*PR_Weeks*I263,0),0)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false" outlineLevel="0" collapsed="false">
      <c r="B264" s="1" t="n">
        <v>30</v>
      </c>
      <c r="C264" s="1" t="n">
        <f aca="false">F_Age+B264</f>
        <v>30</v>
      </c>
      <c r="D264" s="1" t="n">
        <f aca="false">AS_Year0+B264</f>
        <v>2057</v>
      </c>
      <c r="E264" s="109" t="n">
        <f aca="false">(1+AS_Infl)^B264</f>
        <v>1.81136158410335</v>
      </c>
      <c r="F264" s="109" t="n">
        <f aca="false">(1+AS_Wage)^B264</f>
        <v>2.42726247118966</v>
      </c>
      <c r="G264" s="1" t="n">
        <f aca="false">IF(C264&lt;F_R,1,0)</f>
        <v>1</v>
      </c>
      <c r="H264" s="109" t="n">
        <f aca="false">IF(AS_Bands="flat",1,E264)</f>
        <v>1.81136158410335</v>
      </c>
      <c r="I264" s="109" t="n">
        <f aca="false">IF(AS_SpGrow="pay",F264,IF(AS_SpGrow="flat",1,E264))</f>
        <v>1.81136158410335</v>
      </c>
      <c r="J264" s="109"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0"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0"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IF(C264&gt;=PR_SPage,AS_SP*F_SpF*I264+IF(C264&gt;=PR_Over80Age,PR_Over80*PR_Weeks*I264,0),0)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false" outlineLevel="0" collapsed="false">
      <c r="B265" s="1" t="n">
        <v>31</v>
      </c>
      <c r="C265" s="1" t="n">
        <f aca="false">F_Age+B265</f>
        <v>31</v>
      </c>
      <c r="D265" s="1" t="n">
        <f aca="false">AS_Year0+B265</f>
        <v>2058</v>
      </c>
      <c r="E265" s="109" t="n">
        <f aca="false">(1+AS_Infl)^B265</f>
        <v>1.84758881578542</v>
      </c>
      <c r="F265" s="109" t="n">
        <f aca="false">(1+AS_Wage)^B265</f>
        <v>2.50008034532535</v>
      </c>
      <c r="G265" s="1" t="n">
        <f aca="false">IF(C265&lt;F_R,1,0)</f>
        <v>1</v>
      </c>
      <c r="H265" s="109" t="n">
        <f aca="false">IF(AS_Bands="flat",1,E265)</f>
        <v>1.84758881578542</v>
      </c>
      <c r="I265" s="109" t="n">
        <f aca="false">IF(AS_SpGrow="pay",F265,IF(AS_SpGrow="flat",1,E265))</f>
        <v>1.84758881578542</v>
      </c>
      <c r="J265" s="109"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0"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0"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IF(C265&gt;=PR_SPage,AS_SP*F_SpF*I265+IF(C265&gt;=PR_Over80Age,PR_Over80*PR_Weeks*I265,0),0)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false" outlineLevel="0" collapsed="false">
      <c r="B266" s="1" t="n">
        <v>32</v>
      </c>
      <c r="C266" s="1" t="n">
        <f aca="false">F_Age+B266</f>
        <v>32</v>
      </c>
      <c r="D266" s="1" t="n">
        <f aca="false">AS_Year0+B266</f>
        <v>2059</v>
      </c>
      <c r="E266" s="109" t="n">
        <f aca="false">(1+AS_Infl)^B266</f>
        <v>1.88454059210113</v>
      </c>
      <c r="F266" s="109" t="n">
        <f aca="false">(1+AS_Wage)^B266</f>
        <v>2.57508275568511</v>
      </c>
      <c r="G266" s="1" t="n">
        <f aca="false">IF(C266&lt;F_R,1,0)</f>
        <v>1</v>
      </c>
      <c r="H266" s="109" t="n">
        <f aca="false">IF(AS_Bands="flat",1,E266)</f>
        <v>1.88454059210113</v>
      </c>
      <c r="I266" s="109" t="n">
        <f aca="false">IF(AS_SpGrow="pay",F266,IF(AS_SpGrow="flat",1,E266))</f>
        <v>1.88454059210113</v>
      </c>
      <c r="J266" s="109"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0"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0"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IF(C266&gt;=PR_SPage,AS_SP*F_SpF*I266+IF(C266&gt;=PR_Over80Age,PR_Over80*PR_Weeks*I266,0),0)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false" outlineLevel="0" collapsed="false">
      <c r="B267" s="1" t="n">
        <v>33</v>
      </c>
      <c r="C267" s="1" t="n">
        <f aca="false">F_Age+B267</f>
        <v>33</v>
      </c>
      <c r="D267" s="1" t="n">
        <f aca="false">AS_Year0+B267</f>
        <v>2060</v>
      </c>
      <c r="E267" s="109" t="n">
        <f aca="false">(1+AS_Infl)^B267</f>
        <v>1.92223140394315</v>
      </c>
      <c r="F267" s="109" t="n">
        <f aca="false">(1+AS_Wage)^B267</f>
        <v>2.65233523835567</v>
      </c>
      <c r="G267" s="1" t="n">
        <f aca="false">IF(C267&lt;F_R,1,0)</f>
        <v>1</v>
      </c>
      <c r="H267" s="109" t="n">
        <f aca="false">IF(AS_Bands="flat",1,E267)</f>
        <v>1.92223140394315</v>
      </c>
      <c r="I267" s="109" t="n">
        <f aca="false">IF(AS_SpGrow="pay",F267,IF(AS_SpGrow="flat",1,E267))</f>
        <v>1.92223140394315</v>
      </c>
      <c r="J267" s="109"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0"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0"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IF(C267&gt;=PR_SPage,AS_SP*F_SpF*I267+IF(C267&gt;=PR_Over80Age,PR_Over80*PR_Weeks*I267,0),0)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false" outlineLevel="0" collapsed="false">
      <c r="B268" s="1" t="n">
        <v>34</v>
      </c>
      <c r="C268" s="1" t="n">
        <f aca="false">F_Age+B268</f>
        <v>34</v>
      </c>
      <c r="D268" s="1" t="n">
        <f aca="false">AS_Year0+B268</f>
        <v>2061</v>
      </c>
      <c r="E268" s="109" t="n">
        <f aca="false">(1+AS_Infl)^B268</f>
        <v>1.96067603202202</v>
      </c>
      <c r="F268" s="109" t="n">
        <f aca="false">(1+AS_Wage)^B268</f>
        <v>2.73190529550634</v>
      </c>
      <c r="G268" s="1" t="n">
        <f aca="false">IF(C268&lt;F_R,1,0)</f>
        <v>1</v>
      </c>
      <c r="H268" s="109" t="n">
        <f aca="false">IF(AS_Bands="flat",1,E268)</f>
        <v>1.96067603202202</v>
      </c>
      <c r="I268" s="109" t="n">
        <f aca="false">IF(AS_SpGrow="pay",F268,IF(AS_SpGrow="flat",1,E268))</f>
        <v>1.96067603202202</v>
      </c>
      <c r="J268" s="109"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0"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0"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IF(C268&gt;=PR_SPage,AS_SP*F_SpF*I268+IF(C268&gt;=PR_Over80Age,PR_Over80*PR_Weeks*I268,0),0)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false" outlineLevel="0" collapsed="false">
      <c r="B269" s="1" t="n">
        <v>35</v>
      </c>
      <c r="C269" s="1" t="n">
        <f aca="false">F_Age+B269</f>
        <v>35</v>
      </c>
      <c r="D269" s="1" t="n">
        <f aca="false">AS_Year0+B269</f>
        <v>2062</v>
      </c>
      <c r="E269" s="109" t="n">
        <f aca="false">(1+AS_Infl)^B269</f>
        <v>1.99988955266246</v>
      </c>
      <c r="F269" s="109" t="n">
        <f aca="false">(1+AS_Wage)^B269</f>
        <v>2.81386245437153</v>
      </c>
      <c r="G269" s="1" t="n">
        <f aca="false">IF(C269&lt;F_R,1,0)</f>
        <v>1</v>
      </c>
      <c r="H269" s="109" t="n">
        <f aca="false">IF(AS_Bands="flat",1,E269)</f>
        <v>1.99988955266246</v>
      </c>
      <c r="I269" s="109" t="n">
        <f aca="false">IF(AS_SpGrow="pay",F269,IF(AS_SpGrow="flat",1,E269))</f>
        <v>1.99988955266246</v>
      </c>
      <c r="J269" s="109"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0"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0"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IF(C269&gt;=PR_SPage,AS_SP*F_SpF*I269+IF(C269&gt;=PR_Over80Age,PR_Over80*PR_Weeks*I269,0),0)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false" outlineLevel="0" collapsed="false">
      <c r="B270" s="1" t="n">
        <v>36</v>
      </c>
      <c r="C270" s="1" t="n">
        <f aca="false">F_Age+B270</f>
        <v>36</v>
      </c>
      <c r="D270" s="1" t="n">
        <f aca="false">AS_Year0+B270</f>
        <v>2063</v>
      </c>
      <c r="E270" s="109" t="n">
        <f aca="false">(1+AS_Infl)^B270</f>
        <v>2.03988734371571</v>
      </c>
      <c r="F270" s="109" t="n">
        <f aca="false">(1+AS_Wage)^B270</f>
        <v>2.89827832800267</v>
      </c>
      <c r="G270" s="1" t="n">
        <f aca="false">IF(C270&lt;F_R,1,0)</f>
        <v>1</v>
      </c>
      <c r="H270" s="109" t="n">
        <f aca="false">IF(AS_Bands="flat",1,E270)</f>
        <v>2.03988734371571</v>
      </c>
      <c r="I270" s="109" t="n">
        <f aca="false">IF(AS_SpGrow="pay",F270,IF(AS_SpGrow="flat",1,E270))</f>
        <v>2.03988734371571</v>
      </c>
      <c r="J270" s="109"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0"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0"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IF(C270&gt;=PR_SPage,AS_SP*F_SpF*I270+IF(C270&gt;=PR_Over80Age,PR_Over80*PR_Weeks*I270,0),0)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false" outlineLevel="0" collapsed="false">
      <c r="B271" s="1" t="n">
        <v>37</v>
      </c>
      <c r="C271" s="1" t="n">
        <f aca="false">F_Age+B271</f>
        <v>37</v>
      </c>
      <c r="D271" s="1" t="n">
        <f aca="false">AS_Year0+B271</f>
        <v>2064</v>
      </c>
      <c r="E271" s="109" t="n">
        <f aca="false">(1+AS_Infl)^B271</f>
        <v>2.08068509059002</v>
      </c>
      <c r="F271" s="109" t="n">
        <f aca="false">(1+AS_Wage)^B271</f>
        <v>2.98522667784275</v>
      </c>
      <c r="G271" s="1" t="n">
        <f aca="false">IF(C271&lt;F_R,1,0)</f>
        <v>1</v>
      </c>
      <c r="H271" s="109" t="n">
        <f aca="false">IF(AS_Bands="flat",1,E271)</f>
        <v>2.08068509059002</v>
      </c>
      <c r="I271" s="109" t="n">
        <f aca="false">IF(AS_SpGrow="pay",F271,IF(AS_SpGrow="flat",1,E271))</f>
        <v>2.08068509059002</v>
      </c>
      <c r="J271" s="109"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0"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0"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IF(C271&gt;=PR_SPage,AS_SP*F_SpF*I271+IF(C271&gt;=PR_Over80Age,PR_Over80*PR_Weeks*I271,0),0)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false" outlineLevel="0" collapsed="false">
      <c r="B272" s="1" t="n">
        <v>38</v>
      </c>
      <c r="C272" s="1" t="n">
        <f aca="false">F_Age+B272</f>
        <v>38</v>
      </c>
      <c r="D272" s="1" t="n">
        <f aca="false">AS_Year0+B272</f>
        <v>2065</v>
      </c>
      <c r="E272" s="109" t="n">
        <f aca="false">(1+AS_Infl)^B272</f>
        <v>2.12229879240182</v>
      </c>
      <c r="F272" s="109" t="n">
        <f aca="false">(1+AS_Wage)^B272</f>
        <v>3.07478347817804</v>
      </c>
      <c r="G272" s="1" t="n">
        <f aca="false">IF(C272&lt;F_R,1,0)</f>
        <v>1</v>
      </c>
      <c r="H272" s="109" t="n">
        <f aca="false">IF(AS_Bands="flat",1,E272)</f>
        <v>2.12229879240182</v>
      </c>
      <c r="I272" s="109" t="n">
        <f aca="false">IF(AS_SpGrow="pay",F272,IF(AS_SpGrow="flat",1,E272))</f>
        <v>2.12229879240182</v>
      </c>
      <c r="J272" s="109"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0"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0"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IF(C272&gt;=PR_SPage,AS_SP*F_SpF*I272+IF(C272&gt;=PR_Over80Age,PR_Over80*PR_Weeks*I272,0),0)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false" outlineLevel="0" collapsed="false">
      <c r="B273" s="1" t="n">
        <v>39</v>
      </c>
      <c r="C273" s="1" t="n">
        <f aca="false">F_Age+B273</f>
        <v>39</v>
      </c>
      <c r="D273" s="1" t="n">
        <f aca="false">AS_Year0+B273</f>
        <v>2066</v>
      </c>
      <c r="E273" s="109" t="n">
        <f aca="false">(1+AS_Infl)^B273</f>
        <v>2.16474476824986</v>
      </c>
      <c r="F273" s="109" t="n">
        <f aca="false">(1+AS_Wage)^B273</f>
        <v>3.16702698252338</v>
      </c>
      <c r="G273" s="1" t="n">
        <f aca="false">IF(C273&lt;F_R,1,0)</f>
        <v>1</v>
      </c>
      <c r="H273" s="109" t="n">
        <f aca="false">IF(AS_Bands="flat",1,E273)</f>
        <v>2.16474476824986</v>
      </c>
      <c r="I273" s="109" t="n">
        <f aca="false">IF(AS_SpGrow="pay",F273,IF(AS_SpGrow="flat",1,E273))</f>
        <v>2.16474476824986</v>
      </c>
      <c r="J273" s="109"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0"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0"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IF(C273&gt;=PR_SPage,AS_SP*F_SpF*I273+IF(C273&gt;=PR_Over80Age,PR_Over80*PR_Weeks*I273,0),0)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false" outlineLevel="0" collapsed="false">
      <c r="B274" s="1" t="n">
        <v>40</v>
      </c>
      <c r="C274" s="1" t="n">
        <f aca="false">F_Age+B274</f>
        <v>40</v>
      </c>
      <c r="D274" s="1" t="n">
        <f aca="false">AS_Year0+B274</f>
        <v>2067</v>
      </c>
      <c r="E274" s="109" t="n">
        <f aca="false">(1+AS_Infl)^B274</f>
        <v>2.20803966361485</v>
      </c>
      <c r="F274" s="109" t="n">
        <f aca="false">(1+AS_Wage)^B274</f>
        <v>3.26203779199908</v>
      </c>
      <c r="G274" s="1" t="n">
        <f aca="false">IF(C274&lt;F_R,1,0)</f>
        <v>1</v>
      </c>
      <c r="H274" s="109" t="n">
        <f aca="false">IF(AS_Bands="flat",1,E274)</f>
        <v>2.20803966361485</v>
      </c>
      <c r="I274" s="109" t="n">
        <f aca="false">IF(AS_SpGrow="pay",F274,IF(AS_SpGrow="flat",1,E274))</f>
        <v>2.20803966361485</v>
      </c>
      <c r="J274" s="109"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0"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0"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IF(C274&gt;=PR_SPage,AS_SP*F_SpF*I274+IF(C274&gt;=PR_Over80Age,PR_Over80*PR_Weeks*I274,0),0)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false" outlineLevel="0" collapsed="false">
      <c r="B275" s="1" t="n">
        <v>41</v>
      </c>
      <c r="C275" s="1" t="n">
        <f aca="false">F_Age+B275</f>
        <v>41</v>
      </c>
      <c r="D275" s="1" t="n">
        <f aca="false">AS_Year0+B275</f>
        <v>2068</v>
      </c>
      <c r="E275" s="109" t="n">
        <f aca="false">(1+AS_Infl)^B275</f>
        <v>2.25220045688715</v>
      </c>
      <c r="F275" s="109" t="n">
        <f aca="false">(1+AS_Wage)^B275</f>
        <v>3.35989892575905</v>
      </c>
      <c r="G275" s="1" t="n">
        <f aca="false">IF(C275&lt;F_R,1,0)</f>
        <v>1</v>
      </c>
      <c r="H275" s="109" t="n">
        <f aca="false">IF(AS_Bands="flat",1,E275)</f>
        <v>2.25220045688715</v>
      </c>
      <c r="I275" s="109" t="n">
        <f aca="false">IF(AS_SpGrow="pay",F275,IF(AS_SpGrow="flat",1,E275))</f>
        <v>2.25220045688715</v>
      </c>
      <c r="J275" s="109"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0"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0"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IF(C275&gt;=PR_SPage,AS_SP*F_SpF*I275+IF(C275&gt;=PR_Over80Age,PR_Over80*PR_Weeks*I275,0),0)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false" outlineLevel="0" collapsed="false">
      <c r="B276" s="1" t="n">
        <v>42</v>
      </c>
      <c r="C276" s="1" t="n">
        <f aca="false">F_Age+B276</f>
        <v>42</v>
      </c>
      <c r="D276" s="1" t="n">
        <f aca="false">AS_Year0+B276</f>
        <v>2069</v>
      </c>
      <c r="E276" s="109" t="n">
        <f aca="false">(1+AS_Infl)^B276</f>
        <v>2.29724446602489</v>
      </c>
      <c r="F276" s="109" t="n">
        <f aca="false">(1+AS_Wage)^B276</f>
        <v>3.46069589353182</v>
      </c>
      <c r="G276" s="1" t="n">
        <f aca="false">IF(C276&lt;F_R,1,0)</f>
        <v>1</v>
      </c>
      <c r="H276" s="109" t="n">
        <f aca="false">IF(AS_Bands="flat",1,E276)</f>
        <v>2.29724446602489</v>
      </c>
      <c r="I276" s="109" t="n">
        <f aca="false">IF(AS_SpGrow="pay",F276,IF(AS_SpGrow="flat",1,E276))</f>
        <v>2.29724446602489</v>
      </c>
      <c r="J276" s="109"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0"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0"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IF(C276&gt;=PR_SPage,AS_SP*F_SpF*I276+IF(C276&gt;=PR_Over80Age,PR_Over80*PR_Weeks*I276,0),0)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false" outlineLevel="0" collapsed="false">
      <c r="B277" s="1" t="n">
        <v>43</v>
      </c>
      <c r="C277" s="1" t="n">
        <f aca="false">F_Age+B277</f>
        <v>43</v>
      </c>
      <c r="D277" s="1" t="n">
        <f aca="false">AS_Year0+B277</f>
        <v>2070</v>
      </c>
      <c r="E277" s="109" t="n">
        <f aca="false">(1+AS_Infl)^B277</f>
        <v>2.34318935534539</v>
      </c>
      <c r="F277" s="109" t="n">
        <f aca="false">(1+AS_Wage)^B277</f>
        <v>3.56451677033778</v>
      </c>
      <c r="G277" s="1" t="n">
        <f aca="false">IF(C277&lt;F_R,1,0)</f>
        <v>1</v>
      </c>
      <c r="H277" s="109" t="n">
        <f aca="false">IF(AS_Bands="flat",1,E277)</f>
        <v>2.34318935534539</v>
      </c>
      <c r="I277" s="109" t="n">
        <f aca="false">IF(AS_SpGrow="pay",F277,IF(AS_SpGrow="flat",1,E277))</f>
        <v>2.34318935534539</v>
      </c>
      <c r="J277" s="109"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0"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0"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IF(C277&gt;=PR_SPage,AS_SP*F_SpF*I277+IF(C277&gt;=PR_Over80Age,PR_Over80*PR_Weeks*I277,0),0)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false" outlineLevel="0" collapsed="false">
      <c r="B278" s="1" t="n">
        <v>44</v>
      </c>
      <c r="C278" s="1" t="n">
        <f aca="false">F_Age+B278</f>
        <v>44</v>
      </c>
      <c r="D278" s="1" t="n">
        <f aca="false">AS_Year0+B278</f>
        <v>2071</v>
      </c>
      <c r="E278" s="109" t="n">
        <f aca="false">(1+AS_Infl)^B278</f>
        <v>2.3900531424523</v>
      </c>
      <c r="F278" s="109" t="n">
        <f aca="false">(1+AS_Wage)^B278</f>
        <v>3.67145227344791</v>
      </c>
      <c r="G278" s="1" t="n">
        <f aca="false">IF(C278&lt;F_R,1,0)</f>
        <v>1</v>
      </c>
      <c r="H278" s="109" t="n">
        <f aca="false">IF(AS_Bands="flat",1,E278)</f>
        <v>2.3900531424523</v>
      </c>
      <c r="I278" s="109" t="n">
        <f aca="false">IF(AS_SpGrow="pay",F278,IF(AS_SpGrow="flat",1,E278))</f>
        <v>2.3900531424523</v>
      </c>
      <c r="J278" s="109"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0"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0"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IF(C278&gt;=PR_SPage,AS_SP*F_SpF*I278+IF(C278&gt;=PR_Over80Age,PR_Over80*PR_Weeks*I278,0),0)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false" outlineLevel="0" collapsed="false">
      <c r="B279" s="1" t="n">
        <v>45</v>
      </c>
      <c r="C279" s="1" t="n">
        <f aca="false">F_Age+B279</f>
        <v>45</v>
      </c>
      <c r="D279" s="1" t="n">
        <f aca="false">AS_Year0+B279</f>
        <v>2072</v>
      </c>
      <c r="E279" s="109" t="n">
        <f aca="false">(1+AS_Infl)^B279</f>
        <v>2.43785420530135</v>
      </c>
      <c r="F279" s="109" t="n">
        <f aca="false">(1+AS_Wage)^B279</f>
        <v>3.78159584165135</v>
      </c>
      <c r="G279" s="1" t="n">
        <f aca="false">IF(C279&lt;F_R,1,0)</f>
        <v>1</v>
      </c>
      <c r="H279" s="109" t="n">
        <f aca="false">IF(AS_Bands="flat",1,E279)</f>
        <v>2.43785420530135</v>
      </c>
      <c r="I279" s="109" t="n">
        <f aca="false">IF(AS_SpGrow="pay",F279,IF(AS_SpGrow="flat",1,E279))</f>
        <v>2.43785420530135</v>
      </c>
      <c r="J279" s="109"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0"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0"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IF(C279&gt;=PR_SPage,AS_SP*F_SpF*I279+IF(C279&gt;=PR_Over80Age,PR_Over80*PR_Weeks*I279,0),0)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false" outlineLevel="0" collapsed="false">
      <c r="B280" s="1" t="n">
        <v>46</v>
      </c>
      <c r="C280" s="1" t="n">
        <f aca="false">F_Age+B280</f>
        <v>46</v>
      </c>
      <c r="D280" s="1" t="n">
        <f aca="false">AS_Year0+B280</f>
        <v>2073</v>
      </c>
      <c r="E280" s="109" t="n">
        <f aca="false">(1+AS_Infl)^B280</f>
        <v>2.48661128940737</v>
      </c>
      <c r="F280" s="109" t="n">
        <f aca="false">(1+AS_Wage)^B280</f>
        <v>3.89504371690089</v>
      </c>
      <c r="G280" s="1" t="n">
        <f aca="false">IF(C280&lt;F_R,1,0)</f>
        <v>1</v>
      </c>
      <c r="H280" s="109" t="n">
        <f aca="false">IF(AS_Bands="flat",1,E280)</f>
        <v>2.48661128940737</v>
      </c>
      <c r="I280" s="109" t="n">
        <f aca="false">IF(AS_SpGrow="pay",F280,IF(AS_SpGrow="flat",1,E280))</f>
        <v>2.48661128940737</v>
      </c>
      <c r="J280" s="109"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0"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0"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IF(C280&gt;=PR_SPage,AS_SP*F_SpF*I280+IF(C280&gt;=PR_Over80Age,PR_Over80*PR_Weeks*I280,0),0)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false" outlineLevel="0" collapsed="false">
      <c r="B281" s="1" t="n">
        <v>47</v>
      </c>
      <c r="C281" s="1" t="n">
        <f aca="false">F_Age+B281</f>
        <v>47</v>
      </c>
      <c r="D281" s="1" t="n">
        <f aca="false">AS_Year0+B281</f>
        <v>2074</v>
      </c>
      <c r="E281" s="109" t="n">
        <f aca="false">(1+AS_Infl)^B281</f>
        <v>2.53634351519552</v>
      </c>
      <c r="F281" s="109" t="n">
        <f aca="false">(1+AS_Wage)^B281</f>
        <v>4.01189502840791</v>
      </c>
      <c r="G281" s="1" t="n">
        <f aca="false">IF(C281&lt;F_R,1,0)</f>
        <v>1</v>
      </c>
      <c r="H281" s="109" t="n">
        <f aca="false">IF(AS_Bands="flat",1,E281)</f>
        <v>2.53634351519552</v>
      </c>
      <c r="I281" s="109" t="n">
        <f aca="false">IF(AS_SpGrow="pay",F281,IF(AS_SpGrow="flat",1,E281))</f>
        <v>2.53634351519552</v>
      </c>
      <c r="J281" s="109"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0"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0"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IF(C281&gt;=PR_SPage,AS_SP*F_SpF*I281+IF(C281&gt;=PR_Over80Age,PR_Over80*PR_Weeks*I281,0),0)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false" outlineLevel="0" collapsed="false">
      <c r="B282" s="1" t="n">
        <v>48</v>
      </c>
      <c r="C282" s="1" t="n">
        <f aca="false">F_Age+B282</f>
        <v>48</v>
      </c>
      <c r="D282" s="1" t="n">
        <f aca="false">AS_Year0+B282</f>
        <v>2075</v>
      </c>
      <c r="E282" s="109" t="n">
        <f aca="false">(1+AS_Infl)^B282</f>
        <v>2.58707038549943</v>
      </c>
      <c r="F282" s="109" t="n">
        <f aca="false">(1+AS_Wage)^B282</f>
        <v>4.13225187926015</v>
      </c>
      <c r="G282" s="1" t="n">
        <f aca="false">IF(C282&lt;F_R,1,0)</f>
        <v>1</v>
      </c>
      <c r="H282" s="109" t="n">
        <f aca="false">IF(AS_Bands="flat",1,E282)</f>
        <v>2.58707038549943</v>
      </c>
      <c r="I282" s="109" t="n">
        <f aca="false">IF(AS_SpGrow="pay",F282,IF(AS_SpGrow="flat",1,E282))</f>
        <v>2.58707038549943</v>
      </c>
      <c r="J282" s="109"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0"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0"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IF(C282&gt;=PR_SPage,AS_SP*F_SpF*I282+IF(C282&gt;=PR_Over80Age,PR_Over80*PR_Weeks*I282,0),0)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false" outlineLevel="0" collapsed="false">
      <c r="B283" s="1" t="n">
        <v>49</v>
      </c>
      <c r="C283" s="1" t="n">
        <f aca="false">F_Age+B283</f>
        <v>49</v>
      </c>
      <c r="D283" s="1" t="n">
        <f aca="false">AS_Year0+B283</f>
        <v>2076</v>
      </c>
      <c r="E283" s="109" t="n">
        <f aca="false">(1+AS_Infl)^B283</f>
        <v>2.63881179320942</v>
      </c>
      <c r="F283" s="109" t="n">
        <f aca="false">(1+AS_Wage)^B283</f>
        <v>4.25621943563796</v>
      </c>
      <c r="G283" s="1" t="n">
        <f aca="false">IF(C283&lt;F_R,1,0)</f>
        <v>1</v>
      </c>
      <c r="H283" s="109" t="n">
        <f aca="false">IF(AS_Bands="flat",1,E283)</f>
        <v>2.63881179320942</v>
      </c>
      <c r="I283" s="109" t="n">
        <f aca="false">IF(AS_SpGrow="pay",F283,IF(AS_SpGrow="flat",1,E283))</f>
        <v>2.63881179320942</v>
      </c>
      <c r="J283" s="109"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0"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0"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IF(C283&gt;=PR_SPage,AS_SP*F_SpF*I283+IF(C283&gt;=PR_Over80Age,PR_Over80*PR_Weeks*I283,0),0)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false" outlineLevel="0" collapsed="false">
      <c r="B284" s="1" t="n">
        <v>50</v>
      </c>
      <c r="C284" s="1" t="n">
        <f aca="false">F_Age+B284</f>
        <v>50</v>
      </c>
      <c r="D284" s="1" t="n">
        <f aca="false">AS_Year0+B284</f>
        <v>2077</v>
      </c>
      <c r="E284" s="109" t="n">
        <f aca="false">(1+AS_Infl)^B284</f>
        <v>2.69158802907361</v>
      </c>
      <c r="F284" s="109" t="n">
        <f aca="false">(1+AS_Wage)^B284</f>
        <v>4.3839060187071</v>
      </c>
      <c r="G284" s="1" t="n">
        <f aca="false">IF(C284&lt;F_R,1,0)</f>
        <v>1</v>
      </c>
      <c r="H284" s="109" t="n">
        <f aca="false">IF(AS_Bands="flat",1,E284)</f>
        <v>2.69158802907361</v>
      </c>
      <c r="I284" s="109" t="n">
        <f aca="false">IF(AS_SpGrow="pay",F284,IF(AS_SpGrow="flat",1,E284))</f>
        <v>2.69158802907361</v>
      </c>
      <c r="J284" s="109"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0"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0"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IF(C284&gt;=PR_SPage,AS_SP*F_SpF*I284+IF(C284&gt;=PR_Over80Age,PR_Over80*PR_Weeks*I284,0),0)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false" outlineLevel="0" collapsed="false">
      <c r="B285" s="1" t="n">
        <v>51</v>
      </c>
      <c r="C285" s="1" t="n">
        <f aca="false">F_Age+B285</f>
        <v>51</v>
      </c>
      <c r="D285" s="1" t="n">
        <f aca="false">AS_Year0+B285</f>
        <v>2078</v>
      </c>
      <c r="E285" s="109" t="n">
        <f aca="false">(1+AS_Infl)^B285</f>
        <v>2.74541978965508</v>
      </c>
      <c r="F285" s="109" t="n">
        <f aca="false">(1+AS_Wage)^B285</f>
        <v>4.51542319926831</v>
      </c>
      <c r="G285" s="1" t="n">
        <f aca="false">IF(C285&lt;F_R,1,0)</f>
        <v>1</v>
      </c>
      <c r="H285" s="109" t="n">
        <f aca="false">IF(AS_Bands="flat",1,E285)</f>
        <v>2.74541978965508</v>
      </c>
      <c r="I285" s="109" t="n">
        <f aca="false">IF(AS_SpGrow="pay",F285,IF(AS_SpGrow="flat",1,E285))</f>
        <v>2.74541978965508</v>
      </c>
      <c r="J285" s="109"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0"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0"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IF(C285&gt;=PR_SPage,AS_SP*F_SpF*I285+IF(C285&gt;=PR_Over80Age,PR_Over80*PR_Weeks*I285,0),0)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false" outlineLevel="0" collapsed="false">
      <c r="B286" s="1" t="n">
        <v>52</v>
      </c>
      <c r="C286" s="1" t="n">
        <f aca="false">F_Age+B286</f>
        <v>52</v>
      </c>
      <c r="D286" s="1" t="n">
        <f aca="false">AS_Year0+B286</f>
        <v>2079</v>
      </c>
      <c r="E286" s="109" t="n">
        <f aca="false">(1+AS_Infl)^B286</f>
        <v>2.80032818544818</v>
      </c>
      <c r="F286" s="109" t="n">
        <f aca="false">(1+AS_Wage)^B286</f>
        <v>4.65088589524636</v>
      </c>
      <c r="G286" s="1" t="n">
        <f aca="false">IF(C286&lt;F_R,1,0)</f>
        <v>1</v>
      </c>
      <c r="H286" s="109" t="n">
        <f aca="false">IF(AS_Bands="flat",1,E286)</f>
        <v>2.80032818544818</v>
      </c>
      <c r="I286" s="109" t="n">
        <f aca="false">IF(AS_SpGrow="pay",F286,IF(AS_SpGrow="flat",1,E286))</f>
        <v>2.80032818544818</v>
      </c>
      <c r="J286" s="109"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0"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0"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IF(C286&gt;=PR_SPage,AS_SP*F_SpF*I286+IF(C286&gt;=PR_Over80Age,PR_Over80*PR_Weeks*I286,0),0)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false" outlineLevel="0" collapsed="false">
      <c r="B287" s="1" t="n">
        <v>53</v>
      </c>
      <c r="C287" s="1" t="n">
        <f aca="false">F_Age+B287</f>
        <v>53</v>
      </c>
      <c r="D287" s="1" t="n">
        <f aca="false">AS_Year0+B287</f>
        <v>2080</v>
      </c>
      <c r="E287" s="109" t="n">
        <f aca="false">(1+AS_Infl)^B287</f>
        <v>2.85633474915715</v>
      </c>
      <c r="F287" s="109" t="n">
        <f aca="false">(1+AS_Wage)^B287</f>
        <v>4.79041247210375</v>
      </c>
      <c r="G287" s="1" t="n">
        <f aca="false">IF(C287&lt;F_R,1,0)</f>
        <v>1</v>
      </c>
      <c r="H287" s="109" t="n">
        <f aca="false">IF(AS_Bands="flat",1,E287)</f>
        <v>2.85633474915715</v>
      </c>
      <c r="I287" s="109" t="n">
        <f aca="false">IF(AS_SpGrow="pay",F287,IF(AS_SpGrow="flat",1,E287))</f>
        <v>2.85633474915715</v>
      </c>
      <c r="J287" s="109"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0"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0"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IF(C287&gt;=PR_SPage,AS_SP*F_SpF*I287+IF(C287&gt;=PR_Over80Age,PR_Over80*PR_Weeks*I287,0),0)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false" outlineLevel="0" collapsed="false">
      <c r="B288" s="1" t="n">
        <v>54</v>
      </c>
      <c r="C288" s="1" t="n">
        <f aca="false">F_Age+B288</f>
        <v>54</v>
      </c>
      <c r="D288" s="1" t="n">
        <f aca="false">AS_Year0+B288</f>
        <v>2081</v>
      </c>
      <c r="E288" s="109" t="n">
        <f aca="false">(1+AS_Infl)^B288</f>
        <v>2.91346144414029</v>
      </c>
      <c r="F288" s="109" t="n">
        <f aca="false">(1+AS_Wage)^B288</f>
        <v>4.93412484626686</v>
      </c>
      <c r="G288" s="1" t="n">
        <f aca="false">IF(C288&lt;F_R,1,0)</f>
        <v>1</v>
      </c>
      <c r="H288" s="109" t="n">
        <f aca="false">IF(AS_Bands="flat",1,E288)</f>
        <v>2.91346144414029</v>
      </c>
      <c r="I288" s="109" t="n">
        <f aca="false">IF(AS_SpGrow="pay",F288,IF(AS_SpGrow="flat",1,E288))</f>
        <v>2.91346144414029</v>
      </c>
      <c r="J288" s="109"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0"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0"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IF(C288&gt;=PR_SPage,AS_SP*F_SpF*I288+IF(C288&gt;=PR_Over80Age,PR_Over80*PR_Weeks*I288,0),0)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false" outlineLevel="0" collapsed="false">
      <c r="B289" s="1" t="n">
        <v>55</v>
      </c>
      <c r="C289" s="1" t="n">
        <f aca="false">F_Age+B289</f>
        <v>55</v>
      </c>
      <c r="D289" s="1" t="n">
        <f aca="false">AS_Year0+B289</f>
        <v>2082</v>
      </c>
      <c r="E289" s="109" t="n">
        <f aca="false">(1+AS_Infl)^B289</f>
        <v>2.97173067302309</v>
      </c>
      <c r="F289" s="109" t="n">
        <f aca="false">(1+AS_Wage)^B289</f>
        <v>5.08214859165487</v>
      </c>
      <c r="G289" s="1" t="n">
        <f aca="false">IF(C289&lt;F_R,1,0)</f>
        <v>1</v>
      </c>
      <c r="H289" s="109" t="n">
        <f aca="false">IF(AS_Bands="flat",1,E289)</f>
        <v>2.97173067302309</v>
      </c>
      <c r="I289" s="109" t="n">
        <f aca="false">IF(AS_SpGrow="pay",F289,IF(AS_SpGrow="flat",1,E289))</f>
        <v>2.97173067302309</v>
      </c>
      <c r="J289" s="109"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0"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0"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IF(C289&gt;=PR_SPage,AS_SP*F_SpF*I289+IF(C289&gt;=PR_Over80Age,PR_Over80*PR_Weeks*I289,0),0)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false" outlineLevel="0" collapsed="false">
      <c r="B290" s="1" t="n">
        <v>56</v>
      </c>
      <c r="C290" s="1" t="n">
        <f aca="false">F_Age+B290</f>
        <v>56</v>
      </c>
      <c r="D290" s="1" t="n">
        <f aca="false">AS_Year0+B290</f>
        <v>2083</v>
      </c>
      <c r="E290" s="109" t="n">
        <f aca="false">(1+AS_Infl)^B290</f>
        <v>3.03116528648356</v>
      </c>
      <c r="F290" s="109" t="n">
        <f aca="false">(1+AS_Wage)^B290</f>
        <v>5.23461304940451</v>
      </c>
      <c r="G290" s="1" t="n">
        <f aca="false">IF(C290&lt;F_R,1,0)</f>
        <v>1</v>
      </c>
      <c r="H290" s="109" t="n">
        <f aca="false">IF(AS_Bands="flat",1,E290)</f>
        <v>3.03116528648356</v>
      </c>
      <c r="I290" s="109" t="n">
        <f aca="false">IF(AS_SpGrow="pay",F290,IF(AS_SpGrow="flat",1,E290))</f>
        <v>3.03116528648356</v>
      </c>
      <c r="J290" s="109"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0"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0"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IF(C290&gt;=PR_SPage,AS_SP*F_SpF*I290+IF(C290&gt;=PR_Over80Age,PR_Over80*PR_Weeks*I290,0),0)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false" outlineLevel="0" collapsed="false">
      <c r="B291" s="1" t="n">
        <v>57</v>
      </c>
      <c r="C291" s="1" t="n">
        <f aca="false">F_Age+B291</f>
        <v>57</v>
      </c>
      <c r="D291" s="1" t="n">
        <f aca="false">AS_Year0+B291</f>
        <v>2084</v>
      </c>
      <c r="E291" s="109" t="n">
        <f aca="false">(1+AS_Infl)^B291</f>
        <v>3.09178859221323</v>
      </c>
      <c r="F291" s="109" t="n">
        <f aca="false">(1+AS_Wage)^B291</f>
        <v>5.39165144088665</v>
      </c>
      <c r="G291" s="1" t="n">
        <f aca="false">IF(C291&lt;F_R,1,0)</f>
        <v>1</v>
      </c>
      <c r="H291" s="109" t="n">
        <f aca="false">IF(AS_Bands="flat",1,E291)</f>
        <v>3.09178859221323</v>
      </c>
      <c r="I291" s="109" t="n">
        <f aca="false">IF(AS_SpGrow="pay",F291,IF(AS_SpGrow="flat",1,E291))</f>
        <v>3.09178859221323</v>
      </c>
      <c r="J291" s="109"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0"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0"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IF(C291&gt;=PR_SPage,AS_SP*F_SpF*I291+IF(C291&gt;=PR_Over80Age,PR_Over80*PR_Weeks*I291,0),0)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false" outlineLevel="0" collapsed="false">
      <c r="B292" s="1" t="n">
        <v>58</v>
      </c>
      <c r="C292" s="1" t="n">
        <f aca="false">F_Age+B292</f>
        <v>58</v>
      </c>
      <c r="D292" s="1" t="n">
        <f aca="false">AS_Year0+B292</f>
        <v>2085</v>
      </c>
      <c r="E292" s="109" t="n">
        <f aca="false">(1+AS_Infl)^B292</f>
        <v>3.15362436405749</v>
      </c>
      <c r="F292" s="109" t="n">
        <f aca="false">(1+AS_Wage)^B292</f>
        <v>5.55340098411325</v>
      </c>
      <c r="G292" s="1" t="n">
        <f aca="false">IF(C292&lt;F_R,1,0)</f>
        <v>1</v>
      </c>
      <c r="H292" s="109" t="n">
        <f aca="false">IF(AS_Bands="flat",1,E292)</f>
        <v>3.15362436405749</v>
      </c>
      <c r="I292" s="109" t="n">
        <f aca="false">IF(AS_SpGrow="pay",F292,IF(AS_SpGrow="flat",1,E292))</f>
        <v>3.15362436405749</v>
      </c>
      <c r="J292" s="109"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0"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0"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IF(C292&gt;=PR_SPage,AS_SP*F_SpF*I292+IF(C292&gt;=PR_Over80Age,PR_Over80*PR_Weeks*I292,0),0)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false" outlineLevel="0" collapsed="false">
      <c r="B293" s="1" t="n">
        <v>59</v>
      </c>
      <c r="C293" s="1" t="n">
        <f aca="false">F_Age+B293</f>
        <v>59</v>
      </c>
      <c r="D293" s="1" t="n">
        <f aca="false">AS_Year0+B293</f>
        <v>2086</v>
      </c>
      <c r="E293" s="109" t="n">
        <f aca="false">(1+AS_Infl)^B293</f>
        <v>3.21669685133864</v>
      </c>
      <c r="F293" s="109" t="n">
        <f aca="false">(1+AS_Wage)^B293</f>
        <v>5.72000301363665</v>
      </c>
      <c r="G293" s="1" t="n">
        <f aca="false">IF(C293&lt;F_R,1,0)</f>
        <v>1</v>
      </c>
      <c r="H293" s="109" t="n">
        <f aca="false">IF(AS_Bands="flat",1,E293)</f>
        <v>3.21669685133864</v>
      </c>
      <c r="I293" s="109" t="n">
        <f aca="false">IF(AS_SpGrow="pay",F293,IF(AS_SpGrow="flat",1,E293))</f>
        <v>3.21669685133864</v>
      </c>
      <c r="J293" s="109"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0"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0"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IF(C293&gt;=PR_SPage,AS_SP*F_SpF*I293+IF(C293&gt;=PR_Over80Age,PR_Over80*PR_Weeks*I293,0),0)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false" outlineLevel="0" collapsed="false">
      <c r="B294" s="1" t="n">
        <v>60</v>
      </c>
      <c r="C294" s="1" t="n">
        <f aca="false">F_Age+B294</f>
        <v>60</v>
      </c>
      <c r="D294" s="1" t="n">
        <f aca="false">AS_Year0+B294</f>
        <v>2087</v>
      </c>
      <c r="E294" s="109" t="n">
        <f aca="false">(1+AS_Infl)^B294</f>
        <v>3.28103078836541</v>
      </c>
      <c r="F294" s="109" t="n">
        <f aca="false">(1+AS_Wage)^B294</f>
        <v>5.89160310404575</v>
      </c>
      <c r="G294" s="1" t="n">
        <f aca="false">IF(C294&lt;F_R,1,0)</f>
        <v>1</v>
      </c>
      <c r="H294" s="109" t="n">
        <f aca="false">IF(AS_Bands="flat",1,E294)</f>
        <v>3.28103078836541</v>
      </c>
      <c r="I294" s="109" t="n">
        <f aca="false">IF(AS_SpGrow="pay",F294,IF(AS_SpGrow="flat",1,E294))</f>
        <v>3.28103078836541</v>
      </c>
      <c r="J294" s="109"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0"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0"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IF(C294&gt;=PR_SPage,AS_SP*F_SpF*I294+IF(C294&gt;=PR_Over80Age,PR_Over80*PR_Weeks*I294,0),0)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false" outlineLevel="0" collapsed="false">
      <c r="B295" s="1" t="n">
        <v>61</v>
      </c>
      <c r="C295" s="1" t="n">
        <f aca="false">F_Age+B295</f>
        <v>61</v>
      </c>
      <c r="D295" s="1" t="n">
        <f aca="false">AS_Year0+B295</f>
        <v>2088</v>
      </c>
      <c r="E295" s="109" t="n">
        <f aca="false">(1+AS_Infl)^B295</f>
        <v>3.34665140413272</v>
      </c>
      <c r="F295" s="109" t="n">
        <f aca="false">(1+AS_Wage)^B295</f>
        <v>6.06835119716712</v>
      </c>
      <c r="G295" s="1" t="n">
        <f aca="false">IF(C295&lt;F_R,1,0)</f>
        <v>1</v>
      </c>
      <c r="H295" s="109" t="n">
        <f aca="false">IF(AS_Bands="flat",1,E295)</f>
        <v>3.34665140413272</v>
      </c>
      <c r="I295" s="109" t="n">
        <f aca="false">IF(AS_SpGrow="pay",F295,IF(AS_SpGrow="flat",1,E295))</f>
        <v>3.34665140413272</v>
      </c>
      <c r="J295" s="109"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0"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0"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IF(C295&gt;=PR_SPage,AS_SP*F_SpF*I295+IF(C295&gt;=PR_Over80Age,PR_Over80*PR_Weeks*I295,0),0)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false" outlineLevel="0" collapsed="false">
      <c r="B296" s="1" t="n">
        <v>62</v>
      </c>
      <c r="C296" s="1" t="n">
        <f aca="false">F_Age+B296</f>
        <v>62</v>
      </c>
      <c r="D296" s="1" t="n">
        <f aca="false">AS_Year0+B296</f>
        <v>2089</v>
      </c>
      <c r="E296" s="109" t="n">
        <f aca="false">(1+AS_Infl)^B296</f>
        <v>3.41358443221538</v>
      </c>
      <c r="F296" s="109" t="n">
        <f aca="false">(1+AS_Wage)^B296</f>
        <v>6.25040173308213</v>
      </c>
      <c r="G296" s="1" t="n">
        <f aca="false">IF(C296&lt;F_R,1,0)</f>
        <v>1</v>
      </c>
      <c r="H296" s="109" t="n">
        <f aca="false">IF(AS_Bands="flat",1,E296)</f>
        <v>3.41358443221538</v>
      </c>
      <c r="I296" s="109" t="n">
        <f aca="false">IF(AS_SpGrow="pay",F296,IF(AS_SpGrow="flat",1,E296))</f>
        <v>3.41358443221538</v>
      </c>
      <c r="J296" s="109"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0"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0"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IF(C296&gt;=PR_SPage,AS_SP*F_SpF*I296+IF(C296&gt;=PR_Over80Age,PR_Over80*PR_Weeks*I296,0),0)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false" outlineLevel="0" collapsed="false">
      <c r="B297" s="1" t="n">
        <v>63</v>
      </c>
      <c r="C297" s="1" t="n">
        <f aca="false">F_Age+B297</f>
        <v>63</v>
      </c>
      <c r="D297" s="1" t="n">
        <f aca="false">AS_Year0+B297</f>
        <v>2090</v>
      </c>
      <c r="E297" s="109" t="n">
        <f aca="false">(1+AS_Infl)^B297</f>
        <v>3.48185612085969</v>
      </c>
      <c r="F297" s="109" t="n">
        <f aca="false">(1+AS_Wage)^B297</f>
        <v>6.4379137850746</v>
      </c>
      <c r="G297" s="1" t="n">
        <f aca="false">IF(C297&lt;F_R,1,0)</f>
        <v>1</v>
      </c>
      <c r="H297" s="109" t="n">
        <f aca="false">IF(AS_Bands="flat",1,E297)</f>
        <v>3.48185612085969</v>
      </c>
      <c r="I297" s="109" t="n">
        <f aca="false">IF(AS_SpGrow="pay",F297,IF(AS_SpGrow="flat",1,E297))</f>
        <v>3.48185612085969</v>
      </c>
      <c r="J297" s="109"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0"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0"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IF(C297&gt;=PR_SPage,AS_SP*F_SpF*I297+IF(C297&gt;=PR_Over80Age,PR_Over80*PR_Weeks*I297,0),0)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false" outlineLevel="0" collapsed="false">
      <c r="B298" s="1" t="n">
        <v>64</v>
      </c>
      <c r="C298" s="1" t="n">
        <f aca="false">F_Age+B298</f>
        <v>64</v>
      </c>
      <c r="D298" s="1" t="n">
        <f aca="false">AS_Year0+B298</f>
        <v>2091</v>
      </c>
      <c r="E298" s="109" t="n">
        <f aca="false">(1+AS_Infl)^B298</f>
        <v>3.55149324327688</v>
      </c>
      <c r="F298" s="109" t="n">
        <f aca="false">(1+AS_Wage)^B298</f>
        <v>6.63105119862683</v>
      </c>
      <c r="G298" s="1" t="n">
        <f aca="false">IF(C298&lt;F_R,1,0)</f>
        <v>1</v>
      </c>
      <c r="H298" s="109" t="n">
        <f aca="false">IF(AS_Bands="flat",1,E298)</f>
        <v>3.55149324327688</v>
      </c>
      <c r="I298" s="109" t="n">
        <f aca="false">IF(AS_SpGrow="pay",F298,IF(AS_SpGrow="flat",1,E298))</f>
        <v>3.55149324327688</v>
      </c>
      <c r="J298" s="109"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0"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0"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IF(C298&gt;=PR_SPage,AS_SP*F_SpF*I298+IF(C298&gt;=PR_Over80Age,PR_Over80*PR_Weeks*I298,0),0)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false" outlineLevel="0" collapsed="false">
      <c r="B299" s="1" t="n">
        <v>65</v>
      </c>
      <c r="C299" s="1" t="n">
        <f aca="false">F_Age+B299</f>
        <v>65</v>
      </c>
      <c r="D299" s="1" t="n">
        <f aca="false">AS_Year0+B299</f>
        <v>2092</v>
      </c>
      <c r="E299" s="109" t="n">
        <f aca="false">(1+AS_Infl)^B299</f>
        <v>3.62252310814242</v>
      </c>
      <c r="F299" s="109" t="n">
        <f aca="false">(1+AS_Wage)^B299</f>
        <v>6.82998273458564</v>
      </c>
      <c r="G299" s="1" t="n">
        <f aca="false">IF(C299&lt;F_R,1,0)</f>
        <v>1</v>
      </c>
      <c r="H299" s="109" t="n">
        <f aca="false">IF(AS_Bands="flat",1,E299)</f>
        <v>3.62252310814242</v>
      </c>
      <c r="I299" s="109" t="n">
        <f aca="false">IF(AS_SpGrow="pay",F299,IF(AS_SpGrow="flat",1,E299))</f>
        <v>3.62252310814242</v>
      </c>
      <c r="J299" s="109"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0"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0"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IF(C299&gt;=PR_SPage,AS_SP*F_SpF*I299+IF(C299&gt;=PR_Over80Age,PR_Over80*PR_Weeks*I299,0),0)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false" outlineLevel="0" collapsed="false">
      <c r="B300" s="1" t="n">
        <v>66</v>
      </c>
      <c r="C300" s="1" t="n">
        <f aca="false">F_Age+B300</f>
        <v>66</v>
      </c>
      <c r="D300" s="1" t="n">
        <f aca="false">AS_Year0+B300</f>
        <v>2093</v>
      </c>
      <c r="E300" s="109" t="n">
        <f aca="false">(1+AS_Infl)^B300</f>
        <v>3.69497357030527</v>
      </c>
      <c r="F300" s="109" t="n">
        <f aca="false">(1+AS_Wage)^B300</f>
        <v>7.03488221662321</v>
      </c>
      <c r="G300" s="1" t="n">
        <f aca="false">IF(C300&lt;F_R,1,0)</f>
        <v>0</v>
      </c>
      <c r="H300" s="109" t="n">
        <f aca="false">IF(AS_Bands="flat",1,E300)</f>
        <v>3.69497357030527</v>
      </c>
      <c r="I300" s="109" t="n">
        <f aca="false">IF(AS_SpGrow="pay",F300,IF(AS_SpGrow="flat",1,E300))</f>
        <v>3.69497357030527</v>
      </c>
      <c r="J300" s="109"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0"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0"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IF(C300&gt;=PR_SPage,AS_SP*F_SpF*I300+IF(C300&gt;=PR_Over80Age,PR_Over80*PR_Weeks*I300,0),0)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false" outlineLevel="0" collapsed="false">
      <c r="B301" s="1" t="n">
        <v>67</v>
      </c>
      <c r="C301" s="1" t="n">
        <f aca="false">F_Age+B301</f>
        <v>67</v>
      </c>
      <c r="D301" s="1" t="n">
        <f aca="false">AS_Year0+B301</f>
        <v>2094</v>
      </c>
      <c r="E301" s="109" t="n">
        <f aca="false">(1+AS_Infl)^B301</f>
        <v>3.76887304171137</v>
      </c>
      <c r="F301" s="109" t="n">
        <f aca="false">(1+AS_Wage)^B301</f>
        <v>7.24592868312191</v>
      </c>
      <c r="G301" s="1" t="n">
        <f aca="false">IF(C301&lt;F_R,1,0)</f>
        <v>0</v>
      </c>
      <c r="H301" s="109" t="n">
        <f aca="false">IF(AS_Bands="flat",1,E301)</f>
        <v>3.76887304171137</v>
      </c>
      <c r="I301" s="109" t="n">
        <f aca="false">IF(AS_SpGrow="pay",F301,IF(AS_SpGrow="flat",1,E301))</f>
        <v>3.76887304171137</v>
      </c>
      <c r="J301" s="109"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0"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0"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IF(C301&gt;=PR_SPage,AS_SP*F_SpF*I301+IF(C301&gt;=PR_Over80Age,PR_Over80*PR_Weeks*I301,0),0)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false" outlineLevel="0" collapsed="false">
      <c r="B302" s="1" t="n">
        <v>68</v>
      </c>
      <c r="C302" s="1" t="n">
        <f aca="false">F_Age+B302</f>
        <v>68</v>
      </c>
      <c r="D302" s="1" t="n">
        <f aca="false">AS_Year0+B302</f>
        <v>2095</v>
      </c>
      <c r="E302" s="109" t="n">
        <f aca="false">(1+AS_Infl)^B302</f>
        <v>3.8442505025456</v>
      </c>
      <c r="F302" s="109" t="n">
        <f aca="false">(1+AS_Wage)^B302</f>
        <v>7.46330654361556</v>
      </c>
      <c r="G302" s="1" t="n">
        <f aca="false">IF(C302&lt;F_R,1,0)</f>
        <v>0</v>
      </c>
      <c r="H302" s="109" t="n">
        <f aca="false">IF(AS_Bands="flat",1,E302)</f>
        <v>3.8442505025456</v>
      </c>
      <c r="I302" s="109" t="n">
        <f aca="false">IF(AS_SpGrow="pay",F302,IF(AS_SpGrow="flat",1,E302))</f>
        <v>3.8442505025456</v>
      </c>
      <c r="J302" s="109"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0"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0"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IF(C302&gt;=PR_SPage,AS_SP*F_SpF*I302+IF(C302&gt;=PR_Over80Age,PR_Over80*PR_Weeks*I302,0),0)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false" outlineLevel="0" collapsed="false">
      <c r="B303" s="1" t="n">
        <v>69</v>
      </c>
      <c r="C303" s="1" t="n">
        <f aca="false">F_Age+B303</f>
        <v>69</v>
      </c>
      <c r="D303" s="1" t="n">
        <f aca="false">AS_Year0+B303</f>
        <v>2096</v>
      </c>
      <c r="E303" s="109" t="n">
        <f aca="false">(1+AS_Infl)^B303</f>
        <v>3.92113551259651</v>
      </c>
      <c r="F303" s="109" t="n">
        <f aca="false">(1+AS_Wage)^B303</f>
        <v>7.68720573992403</v>
      </c>
      <c r="G303" s="1" t="n">
        <f aca="false">IF(C303&lt;F_R,1,0)</f>
        <v>0</v>
      </c>
      <c r="H303" s="109" t="n">
        <f aca="false">IF(AS_Bands="flat",1,E303)</f>
        <v>3.92113551259651</v>
      </c>
      <c r="I303" s="109" t="n">
        <f aca="false">IF(AS_SpGrow="pay",F303,IF(AS_SpGrow="flat",1,E303))</f>
        <v>3.92113551259651</v>
      </c>
      <c r="J303" s="109"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0"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0"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IF(C303&gt;=PR_SPage,AS_SP*F_SpF*I303+IF(C303&gt;=PR_Over80Age,PR_Over80*PR_Weeks*I303,0),0)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false" outlineLevel="0" collapsed="false">
      <c r="B304" s="1" t="n">
        <v>70</v>
      </c>
      <c r="C304" s="1" t="n">
        <f aca="false">F_Age+B304</f>
        <v>70</v>
      </c>
      <c r="D304" s="1" t="n">
        <f aca="false">AS_Year0+B304</f>
        <v>2097</v>
      </c>
      <c r="E304" s="109" t="n">
        <f aca="false">(1+AS_Infl)^B304</f>
        <v>3.99955822284844</v>
      </c>
      <c r="F304" s="109" t="n">
        <f aca="false">(1+AS_Wage)^B304</f>
        <v>7.91782191212175</v>
      </c>
      <c r="G304" s="1" t="n">
        <f aca="false">IF(C304&lt;F_R,1,0)</f>
        <v>0</v>
      </c>
      <c r="H304" s="109" t="n">
        <f aca="false">IF(AS_Bands="flat",1,E304)</f>
        <v>3.99955822284844</v>
      </c>
      <c r="I304" s="109" t="n">
        <f aca="false">IF(AS_SpGrow="pay",F304,IF(AS_SpGrow="flat",1,E304))</f>
        <v>3.99955822284844</v>
      </c>
      <c r="J304" s="109"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0"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0"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IF(C304&gt;=PR_SPage,AS_SP*F_SpF*I304+IF(C304&gt;=PR_Over80Age,PR_Over80*PR_Weeks*I304,0),0)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false" outlineLevel="0" collapsed="false">
      <c r="B305" s="1" t="n">
        <v>71</v>
      </c>
      <c r="C305" s="1" t="n">
        <f aca="false">F_Age+B305</f>
        <v>71</v>
      </c>
      <c r="D305" s="1" t="n">
        <f aca="false">AS_Year0+B305</f>
        <v>2098</v>
      </c>
      <c r="E305" s="109" t="n">
        <f aca="false">(1+AS_Infl)^B305</f>
        <v>4.07954938730541</v>
      </c>
      <c r="F305" s="109" t="n">
        <f aca="false">(1+AS_Wage)^B305</f>
        <v>8.1553565694854</v>
      </c>
      <c r="G305" s="1" t="n">
        <f aca="false">IF(C305&lt;F_R,1,0)</f>
        <v>0</v>
      </c>
      <c r="H305" s="109" t="n">
        <f aca="false">IF(AS_Bands="flat",1,E305)</f>
        <v>4.07954938730541</v>
      </c>
      <c r="I305" s="109" t="n">
        <f aca="false">IF(AS_SpGrow="pay",F305,IF(AS_SpGrow="flat",1,E305))</f>
        <v>4.07954938730541</v>
      </c>
      <c r="J305" s="109"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0"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0"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IF(C305&gt;=PR_SPage,AS_SP*F_SpF*I305+IF(C305&gt;=PR_Over80Age,PR_Over80*PR_Weeks*I305,0),0)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false" outlineLevel="0" collapsed="false">
      <c r="B306" s="1" t="n">
        <v>72</v>
      </c>
      <c r="C306" s="1" t="n">
        <f aca="false">F_Age+B306</f>
        <v>72</v>
      </c>
      <c r="D306" s="1" t="n">
        <f aca="false">AS_Year0+B306</f>
        <v>2099</v>
      </c>
      <c r="E306" s="109" t="n">
        <f aca="false">(1+AS_Infl)^B306</f>
        <v>4.16114037505152</v>
      </c>
      <c r="F306" s="109" t="n">
        <f aca="false">(1+AS_Wage)^B306</f>
        <v>8.40001726656997</v>
      </c>
      <c r="G306" s="1" t="n">
        <f aca="false">IF(C306&lt;F_R,1,0)</f>
        <v>0</v>
      </c>
      <c r="H306" s="109" t="n">
        <f aca="false">IF(AS_Bands="flat",1,E306)</f>
        <v>4.16114037505152</v>
      </c>
      <c r="I306" s="109" t="n">
        <f aca="false">IF(AS_SpGrow="pay",F306,IF(AS_SpGrow="flat",1,E306))</f>
        <v>4.16114037505152</v>
      </c>
      <c r="J306" s="109"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0"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0"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IF(C306&gt;=PR_SPage,AS_SP*F_SpF*I306+IF(C306&gt;=PR_Over80Age,PR_Over80*PR_Weeks*I306,0),0)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false" outlineLevel="0" collapsed="false">
      <c r="B307" s="1" t="n">
        <v>73</v>
      </c>
      <c r="C307" s="1" t="n">
        <f aca="false">F_Age+B307</f>
        <v>73</v>
      </c>
      <c r="D307" s="1" t="n">
        <f aca="false">AS_Year0+B307</f>
        <v>2100</v>
      </c>
      <c r="E307" s="109" t="n">
        <f aca="false">(1+AS_Infl)^B307</f>
        <v>4.24436318255255</v>
      </c>
      <c r="F307" s="109" t="n">
        <f aca="false">(1+AS_Wage)^B307</f>
        <v>8.65201778456706</v>
      </c>
      <c r="G307" s="1" t="n">
        <f aca="false">IF(C307&lt;F_R,1,0)</f>
        <v>0</v>
      </c>
      <c r="H307" s="109" t="n">
        <f aca="false">IF(AS_Bands="flat",1,E307)</f>
        <v>4.24436318255255</v>
      </c>
      <c r="I307" s="109" t="n">
        <f aca="false">IF(AS_SpGrow="pay",F307,IF(AS_SpGrow="flat",1,E307))</f>
        <v>4.24436318255255</v>
      </c>
      <c r="J307" s="109"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0"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0"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IF(C307&gt;=PR_SPage,AS_SP*F_SpF*I307+IF(C307&gt;=PR_Over80Age,PR_Over80*PR_Weeks*I307,0),0)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false" outlineLevel="0" collapsed="false">
      <c r="B308" s="1" t="n">
        <v>74</v>
      </c>
      <c r="C308" s="1" t="n">
        <f aca="false">F_Age+B308</f>
        <v>74</v>
      </c>
      <c r="D308" s="1" t="n">
        <f aca="false">AS_Year0+B308</f>
        <v>2101</v>
      </c>
      <c r="E308" s="109" t="n">
        <f aca="false">(1+AS_Infl)^B308</f>
        <v>4.3292504462036</v>
      </c>
      <c r="F308" s="109" t="n">
        <f aca="false">(1+AS_Wage)^B308</f>
        <v>8.91157831810408</v>
      </c>
      <c r="G308" s="1" t="n">
        <f aca="false">IF(C308&lt;F_R,1,0)</f>
        <v>0</v>
      </c>
      <c r="H308" s="109" t="n">
        <f aca="false">IF(AS_Bands="flat",1,E308)</f>
        <v>4.3292504462036</v>
      </c>
      <c r="I308" s="109" t="n">
        <f aca="false">IF(AS_SpGrow="pay",F308,IF(AS_SpGrow="flat",1,E308))</f>
        <v>4.3292504462036</v>
      </c>
      <c r="J308" s="109"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0"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0"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IF(C308&gt;=PR_SPage,AS_SP*F_SpF*I308+IF(C308&gt;=PR_Over80Age,PR_Over80*PR_Weeks*I308,0),0)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false" outlineLevel="0" collapsed="false">
      <c r="B309" s="1" t="n">
        <v>75</v>
      </c>
      <c r="C309" s="1" t="n">
        <f aca="false">F_Age+B309</f>
        <v>75</v>
      </c>
      <c r="D309" s="1" t="n">
        <f aca="false">AS_Year0+B309</f>
        <v>2102</v>
      </c>
      <c r="E309" s="109" t="n">
        <f aca="false">(1+AS_Infl)^B309</f>
        <v>4.41583545512767</v>
      </c>
      <c r="F309" s="109" t="n">
        <f aca="false">(1+AS_Wage)^B309</f>
        <v>9.1789256676472</v>
      </c>
      <c r="G309" s="1" t="n">
        <f aca="false">IF(C309&lt;F_R,1,0)</f>
        <v>0</v>
      </c>
      <c r="H309" s="109" t="n">
        <f aca="false">IF(AS_Bands="flat",1,E309)</f>
        <v>4.41583545512767</v>
      </c>
      <c r="I309" s="109" t="n">
        <f aca="false">IF(AS_SpGrow="pay",F309,IF(AS_SpGrow="flat",1,E309))</f>
        <v>4.41583545512767</v>
      </c>
      <c r="J309" s="109"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0"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0"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IF(C309&gt;=PR_SPage,AS_SP*F_SpF*I309+IF(C309&gt;=PR_Over80Age,PR_Over80*PR_Weeks*I309,0),0)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false" outlineLevel="0" collapsed="false">
      <c r="B310" s="1" t="n">
        <v>76</v>
      </c>
      <c r="C310" s="1" t="n">
        <f aca="false">F_Age+B310</f>
        <v>76</v>
      </c>
      <c r="D310" s="1" t="n">
        <f aca="false">AS_Year0+B310</f>
        <v>2103</v>
      </c>
      <c r="E310" s="109" t="n">
        <f aca="false">(1+AS_Infl)^B310</f>
        <v>4.50415216423022</v>
      </c>
      <c r="F310" s="109" t="n">
        <f aca="false">(1+AS_Wage)^B310</f>
        <v>9.45429343767662</v>
      </c>
      <c r="G310" s="1" t="n">
        <f aca="false">IF(C310&lt;F_R,1,0)</f>
        <v>0</v>
      </c>
      <c r="H310" s="109" t="n">
        <f aca="false">IF(AS_Bands="flat",1,E310)</f>
        <v>4.50415216423022</v>
      </c>
      <c r="I310" s="109" t="n">
        <f aca="false">IF(AS_SpGrow="pay",F310,IF(AS_SpGrow="flat",1,E310))</f>
        <v>4.50415216423022</v>
      </c>
      <c r="J310" s="109"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0"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0"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IF(C310&gt;=PR_SPage,AS_SP*F_SpF*I310+IF(C310&gt;=PR_Over80Age,PR_Over80*PR_Weeks*I310,0),0)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false" outlineLevel="0" collapsed="false">
      <c r="B311" s="1" t="n">
        <v>77</v>
      </c>
      <c r="C311" s="1" t="n">
        <f aca="false">F_Age+B311</f>
        <v>77</v>
      </c>
      <c r="D311" s="1" t="n">
        <f aca="false">AS_Year0+B311</f>
        <v>2104</v>
      </c>
      <c r="E311" s="109" t="n">
        <f aca="false">(1+AS_Infl)^B311</f>
        <v>4.59423520751483</v>
      </c>
      <c r="F311" s="109" t="n">
        <f aca="false">(1+AS_Wage)^B311</f>
        <v>9.73792224080692</v>
      </c>
      <c r="G311" s="1" t="n">
        <f aca="false">IF(C311&lt;F_R,1,0)</f>
        <v>0</v>
      </c>
      <c r="H311" s="109" t="n">
        <f aca="false">IF(AS_Bands="flat",1,E311)</f>
        <v>4.59423520751483</v>
      </c>
      <c r="I311" s="109" t="n">
        <f aca="false">IF(AS_SpGrow="pay",F311,IF(AS_SpGrow="flat",1,E311))</f>
        <v>4.59423520751483</v>
      </c>
      <c r="J311" s="109"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0"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0"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IF(C311&gt;=PR_SPage,AS_SP*F_SpF*I311+IF(C311&gt;=PR_Over80Age,PR_Over80*PR_Weeks*I311,0),0)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false" outlineLevel="0" collapsed="false">
      <c r="B312" s="1" t="n">
        <v>78</v>
      </c>
      <c r="C312" s="1" t="n">
        <f aca="false">F_Age+B312</f>
        <v>78</v>
      </c>
      <c r="D312" s="1" t="n">
        <f aca="false">AS_Year0+B312</f>
        <v>2105</v>
      </c>
      <c r="E312" s="109" t="n">
        <f aca="false">(1+AS_Infl)^B312</f>
        <v>4.68611991166513</v>
      </c>
      <c r="F312" s="109" t="n">
        <f aca="false">(1+AS_Wage)^B312</f>
        <v>10.0300599080311</v>
      </c>
      <c r="G312" s="1" t="n">
        <f aca="false">IF(C312&lt;F_R,1,0)</f>
        <v>0</v>
      </c>
      <c r="H312" s="109" t="n">
        <f aca="false">IF(AS_Bands="flat",1,E312)</f>
        <v>4.68611991166513</v>
      </c>
      <c r="I312" s="109" t="n">
        <f aca="false">IF(AS_SpGrow="pay",F312,IF(AS_SpGrow="flat",1,E312))</f>
        <v>4.68611991166513</v>
      </c>
      <c r="J312" s="109"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0"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0"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IF(C312&gt;=PR_SPage,AS_SP*F_SpF*I312+IF(C312&gt;=PR_Over80Age,PR_Over80*PR_Weeks*I312,0),0)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false" outlineLevel="0" collapsed="false">
      <c r="B313" s="1" t="n">
        <v>79</v>
      </c>
      <c r="C313" s="1" t="n">
        <f aca="false">F_Age+B313</f>
        <v>79</v>
      </c>
      <c r="D313" s="1" t="n">
        <f aca="false">AS_Year0+B313</f>
        <v>2106</v>
      </c>
      <c r="E313" s="109" t="n">
        <f aca="false">(1+AS_Infl)^B313</f>
        <v>4.77984230989843</v>
      </c>
      <c r="F313" s="109" t="n">
        <f aca="false">(1+AS_Wage)^B313</f>
        <v>10.3309617052721</v>
      </c>
      <c r="G313" s="1" t="n">
        <f aca="false">IF(C313&lt;F_R,1,0)</f>
        <v>0</v>
      </c>
      <c r="H313" s="109" t="n">
        <f aca="false">IF(AS_Bands="flat",1,E313)</f>
        <v>4.77984230989843</v>
      </c>
      <c r="I313" s="109" t="n">
        <f aca="false">IF(AS_SpGrow="pay",F313,IF(AS_SpGrow="flat",1,E313))</f>
        <v>4.77984230989843</v>
      </c>
      <c r="J313" s="109"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0"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0"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IF(C313&gt;=PR_SPage,AS_SP*F_SpF*I313+IF(C313&gt;=PR_Over80Age,PR_Over80*PR_Weeks*I313,0),0)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false" outlineLevel="0" collapsed="false">
      <c r="B314" s="1" t="n">
        <v>80</v>
      </c>
      <c r="C314" s="1" t="n">
        <f aca="false">F_Age+B314</f>
        <v>80</v>
      </c>
      <c r="D314" s="1" t="n">
        <f aca="false">AS_Year0+B314</f>
        <v>2107</v>
      </c>
      <c r="E314" s="109" t="n">
        <f aca="false">(1+AS_Infl)^B314</f>
        <v>4.8754391560964</v>
      </c>
      <c r="F314" s="109" t="n">
        <f aca="false">(1+AS_Wage)^B314</f>
        <v>10.6408905564302</v>
      </c>
      <c r="G314" s="1" t="n">
        <f aca="false">IF(C314&lt;F_R,1,0)</f>
        <v>0</v>
      </c>
      <c r="H314" s="109" t="n">
        <f aca="false">IF(AS_Bands="flat",1,E314)</f>
        <v>4.8754391560964</v>
      </c>
      <c r="I314" s="109" t="n">
        <f aca="false">IF(AS_SpGrow="pay",F314,IF(AS_SpGrow="flat",1,E314))</f>
        <v>4.8754391560964</v>
      </c>
      <c r="J314" s="109"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0"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0"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IF(C314&gt;=PR_SPage,AS_SP*F_SpF*I314+IF(C314&gt;=PR_Over80Age,PR_Over80*PR_Weeks*I314,0),0)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false" outlineLevel="0" collapsed="false">
      <c r="B315" s="1" t="n">
        <v>81</v>
      </c>
      <c r="C315" s="1" t="n">
        <f aca="false">F_Age+B315</f>
        <v>81</v>
      </c>
      <c r="D315" s="1" t="n">
        <f aca="false">AS_Year0+B315</f>
        <v>2108</v>
      </c>
      <c r="E315" s="109" t="n">
        <f aca="false">(1+AS_Infl)^B315</f>
        <v>4.97294793921833</v>
      </c>
      <c r="F315" s="109" t="n">
        <f aca="false">(1+AS_Wage)^B315</f>
        <v>10.9601172731231</v>
      </c>
      <c r="G315" s="1" t="n">
        <f aca="false">IF(C315&lt;F_R,1,0)</f>
        <v>0</v>
      </c>
      <c r="H315" s="109" t="n">
        <f aca="false">IF(AS_Bands="flat",1,E315)</f>
        <v>4.97294793921833</v>
      </c>
      <c r="I315" s="109" t="n">
        <f aca="false">IF(AS_SpGrow="pay",F315,IF(AS_SpGrow="flat",1,E315))</f>
        <v>4.97294793921833</v>
      </c>
      <c r="J315" s="109"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0"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0"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IF(C315&gt;=PR_SPage,AS_SP*F_SpF*I315+IF(C315&gt;=PR_Over80Age,PR_Over80*PR_Weeks*I315,0),0)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false" outlineLevel="0" collapsed="false">
      <c r="B316" s="1" t="n">
        <v>82</v>
      </c>
      <c r="C316" s="1" t="n">
        <f aca="false">F_Age+B316</f>
        <v>82</v>
      </c>
      <c r="D316" s="1" t="n">
        <f aca="false">AS_Year0+B316</f>
        <v>2109</v>
      </c>
      <c r="E316" s="109" t="n">
        <f aca="false">(1+AS_Infl)^B316</f>
        <v>5.07240689800269</v>
      </c>
      <c r="F316" s="109" t="n">
        <f aca="false">(1+AS_Wage)^B316</f>
        <v>11.2889207913168</v>
      </c>
      <c r="G316" s="1" t="n">
        <f aca="false">IF(C316&lt;F_R,1,0)</f>
        <v>0</v>
      </c>
      <c r="H316" s="109" t="n">
        <f aca="false">IF(AS_Bands="flat",1,E316)</f>
        <v>5.07240689800269</v>
      </c>
      <c r="I316" s="109" t="n">
        <f aca="false">IF(AS_SpGrow="pay",F316,IF(AS_SpGrow="flat",1,E316))</f>
        <v>5.07240689800269</v>
      </c>
      <c r="J316" s="109"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0"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0"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IF(C316&gt;=PR_SPage,AS_SP*F_SpF*I316+IF(C316&gt;=PR_Over80Age,PR_Over80*PR_Weeks*I316,0),0)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false" outlineLevel="0" collapsed="false">
      <c r="B317" s="1" t="n">
        <v>83</v>
      </c>
      <c r="C317" s="1" t="n">
        <f aca="false">F_Age+B317</f>
        <v>83</v>
      </c>
      <c r="D317" s="1" t="n">
        <f aca="false">AS_Year0+B317</f>
        <v>2110</v>
      </c>
      <c r="E317" s="109" t="n">
        <f aca="false">(1+AS_Infl)^B317</f>
        <v>5.17385503596275</v>
      </c>
      <c r="F317" s="109" t="n">
        <f aca="false">(1+AS_Wage)^B317</f>
        <v>11.6275884150563</v>
      </c>
      <c r="G317" s="1" t="n">
        <f aca="false">IF(C317&lt;F_R,1,0)</f>
        <v>0</v>
      </c>
      <c r="H317" s="109" t="n">
        <f aca="false">IF(AS_Bands="flat",1,E317)</f>
        <v>5.17385503596275</v>
      </c>
      <c r="I317" s="109" t="n">
        <f aca="false">IF(AS_SpGrow="pay",F317,IF(AS_SpGrow="flat",1,E317))</f>
        <v>5.17385503596275</v>
      </c>
      <c r="J317" s="109"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0"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0"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IF(C317&gt;=PR_SPage,AS_SP*F_SpF*I317+IF(C317&gt;=PR_Over80Age,PR_Over80*PR_Weeks*I317,0),0)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false" outlineLevel="0" collapsed="false">
      <c r="B318" s="1" t="n">
        <v>84</v>
      </c>
      <c r="C318" s="1" t="n">
        <f aca="false">F_Age+B318</f>
        <v>84</v>
      </c>
      <c r="D318" s="1" t="n">
        <f aca="false">AS_Year0+B318</f>
        <v>2111</v>
      </c>
      <c r="E318" s="109" t="n">
        <f aca="false">(1+AS_Infl)^B318</f>
        <v>5.277332136682</v>
      </c>
      <c r="F318" s="109" t="n">
        <f aca="false">(1+AS_Wage)^B318</f>
        <v>11.976416067508</v>
      </c>
      <c r="G318" s="1" t="n">
        <f aca="false">IF(C318&lt;F_R,1,0)</f>
        <v>0</v>
      </c>
      <c r="H318" s="109" t="n">
        <f aca="false">IF(AS_Bands="flat",1,E318)</f>
        <v>5.277332136682</v>
      </c>
      <c r="I318" s="109" t="n">
        <f aca="false">IF(AS_SpGrow="pay",F318,IF(AS_SpGrow="flat",1,E318))</f>
        <v>5.277332136682</v>
      </c>
      <c r="J318" s="109"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0"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0"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IF(C318&gt;=PR_SPage,AS_SP*F_SpF*I318+IF(C318&gt;=PR_Over80Age,PR_Over80*PR_Weeks*I318,0),0)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false" outlineLevel="0" collapsed="false">
      <c r="B319" s="1" t="n">
        <v>85</v>
      </c>
      <c r="C319" s="1" t="n">
        <f aca="false">F_Age+B319</f>
        <v>85</v>
      </c>
      <c r="D319" s="1" t="n">
        <f aca="false">AS_Year0+B319</f>
        <v>2112</v>
      </c>
      <c r="E319" s="109" t="n">
        <f aca="false">(1+AS_Infl)^B319</f>
        <v>5.38287877941564</v>
      </c>
      <c r="F319" s="109" t="n">
        <f aca="false">(1+AS_Wage)^B319</f>
        <v>12.3357085495333</v>
      </c>
      <c r="G319" s="1" t="n">
        <f aca="false">IF(C319&lt;F_R,1,0)</f>
        <v>0</v>
      </c>
      <c r="H319" s="109" t="n">
        <f aca="false">IF(AS_Bands="flat",1,E319)</f>
        <v>5.38287877941564</v>
      </c>
      <c r="I319" s="109" t="n">
        <f aca="false">IF(AS_SpGrow="pay",F319,IF(AS_SpGrow="flat",1,E319))</f>
        <v>5.38287877941564</v>
      </c>
      <c r="J319" s="109"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0"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0"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IF(C319&gt;=PR_SPage,AS_SP*F_SpF*I319+IF(C319&gt;=PR_Over80Age,PR_Over80*PR_Weeks*I319,0),0)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false" outlineLevel="0" collapsed="false">
      <c r="B320" s="1" t="n">
        <v>86</v>
      </c>
      <c r="C320" s="1" t="n">
        <f aca="false">F_Age+B320</f>
        <v>86</v>
      </c>
      <c r="D320" s="1" t="n">
        <f aca="false">AS_Year0+B320</f>
        <v>2113</v>
      </c>
      <c r="E320" s="109" t="n">
        <f aca="false">(1+AS_Infl)^B320</f>
        <v>5.49053635500395</v>
      </c>
      <c r="F320" s="109" t="n">
        <f aca="false">(1+AS_Wage)^B320</f>
        <v>12.7057798060193</v>
      </c>
      <c r="G320" s="1" t="n">
        <f aca="false">IF(C320&lt;F_R,1,0)</f>
        <v>0</v>
      </c>
      <c r="H320" s="109" t="n">
        <f aca="false">IF(AS_Bands="flat",1,E320)</f>
        <v>5.49053635500395</v>
      </c>
      <c r="I320" s="109" t="n">
        <f aca="false">IF(AS_SpGrow="pay",F320,IF(AS_SpGrow="flat",1,E320))</f>
        <v>5.49053635500395</v>
      </c>
      <c r="J320" s="109"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0"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0"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IF(C320&gt;=PR_SPage,AS_SP*F_SpF*I320+IF(C320&gt;=PR_Over80Age,PR_Over80*PR_Weeks*I320,0),0)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false" outlineLevel="0" collapsed="false">
      <c r="B321" s="1" t="n">
        <v>87</v>
      </c>
      <c r="C321" s="1" t="n">
        <f aca="false">F_Age+B321</f>
        <v>87</v>
      </c>
      <c r="D321" s="1" t="n">
        <f aca="false">AS_Year0+B321</f>
        <v>2114</v>
      </c>
      <c r="E321" s="109" t="n">
        <f aca="false">(1+AS_Infl)^B321</f>
        <v>5.60034708210403</v>
      </c>
      <c r="F321" s="109" t="n">
        <f aca="false">(1+AS_Wage)^B321</f>
        <v>13.0869532001998</v>
      </c>
      <c r="G321" s="1" t="n">
        <f aca="false">IF(C321&lt;F_R,1,0)</f>
        <v>0</v>
      </c>
      <c r="H321" s="109" t="n">
        <f aca="false">IF(AS_Bands="flat",1,E321)</f>
        <v>5.60034708210403</v>
      </c>
      <c r="I321" s="109" t="n">
        <f aca="false">IF(AS_SpGrow="pay",F321,IF(AS_SpGrow="flat",1,E321))</f>
        <v>5.60034708210403</v>
      </c>
      <c r="J321" s="109"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0"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0"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IF(C321&gt;=PR_SPage,AS_SP*F_SpF*I321+IF(C321&gt;=PR_Over80Age,PR_Over80*PR_Weeks*I321,0),0)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false" outlineLevel="0" collapsed="false">
      <c r="B322" s="1" t="n">
        <v>88</v>
      </c>
      <c r="C322" s="1" t="n">
        <f aca="false">F_Age+B322</f>
        <v>88</v>
      </c>
      <c r="D322" s="1" t="n">
        <f aca="false">AS_Year0+B322</f>
        <v>2115</v>
      </c>
      <c r="E322" s="109" t="n">
        <f aca="false">(1+AS_Infl)^B322</f>
        <v>5.71235402374611</v>
      </c>
      <c r="F322" s="109" t="n">
        <f aca="false">(1+AS_Wage)^B322</f>
        <v>13.4795617962058</v>
      </c>
      <c r="G322" s="1" t="n">
        <f aca="false">IF(C322&lt;F_R,1,0)</f>
        <v>0</v>
      </c>
      <c r="H322" s="109" t="n">
        <f aca="false">IF(AS_Bands="flat",1,E322)</f>
        <v>5.71235402374611</v>
      </c>
      <c r="I322" s="109" t="n">
        <f aca="false">IF(AS_SpGrow="pay",F322,IF(AS_SpGrow="flat",1,E322))</f>
        <v>5.71235402374611</v>
      </c>
      <c r="J322" s="109"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0"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0"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IF(C322&gt;=PR_SPage,AS_SP*F_SpF*I322+IF(C322&gt;=PR_Over80Age,PR_Over80*PR_Weeks*I322,0),0)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false" outlineLevel="0" collapsed="false">
      <c r="B323" s="1" t="n">
        <v>89</v>
      </c>
      <c r="C323" s="1" t="n">
        <f aca="false">F_Age+B323</f>
        <v>89</v>
      </c>
      <c r="D323" s="1" t="n">
        <f aca="false">AS_Year0+B323</f>
        <v>2116</v>
      </c>
      <c r="E323" s="109" t="n">
        <f aca="false">(1+AS_Infl)^B323</f>
        <v>5.82660110422104</v>
      </c>
      <c r="F323" s="109" t="n">
        <f aca="false">(1+AS_Wage)^B323</f>
        <v>13.883948650092</v>
      </c>
      <c r="G323" s="1" t="n">
        <f aca="false">IF(C323&lt;F_R,1,0)</f>
        <v>0</v>
      </c>
      <c r="H323" s="109" t="n">
        <f aca="false">IF(AS_Bands="flat",1,E323)</f>
        <v>5.82660110422104</v>
      </c>
      <c r="I323" s="109" t="n">
        <f aca="false">IF(AS_SpGrow="pay",F323,IF(AS_SpGrow="flat",1,E323))</f>
        <v>5.82660110422104</v>
      </c>
      <c r="J323" s="109"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0"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0"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IF(C323&gt;=PR_SPage,AS_SP*F_SpF*I323+IF(C323&gt;=PR_Over80Age,PR_Over80*PR_Weeks*I323,0),0)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35" hidden="false" customHeight="false" outlineLevel="0" collapsed="false">
      <c r="B1" s="90" t="s">
        <v>1933</v>
      </c>
    </row>
    <row r="2" customFormat="false" ht="48" hidden="false" customHeight="true" outlineLevel="0" collapsed="false">
      <c r="B2" s="91" t="s">
        <v>1934</v>
      </c>
      <c r="C2" s="91"/>
      <c r="D2" s="91"/>
      <c r="E2" s="91"/>
      <c r="F2" s="91"/>
      <c r="G2" s="91"/>
      <c r="H2" s="91"/>
      <c r="I2" s="91"/>
      <c r="J2" s="91"/>
      <c r="K2" s="91"/>
      <c r="L2" s="91"/>
    </row>
    <row r="6" customFormat="false" ht="122.35" hidden="false" customHeight="false" outlineLevel="0" collapsed="false">
      <c r="A6" s="93" t="s">
        <v>1863</v>
      </c>
      <c r="B6" s="98" t="s">
        <v>1864</v>
      </c>
      <c r="C6" s="98" t="s">
        <v>1935</v>
      </c>
      <c r="D6" s="98" t="s">
        <v>723</v>
      </c>
      <c r="E6" s="98" t="s">
        <v>1865</v>
      </c>
      <c r="F6" s="98" t="s">
        <v>1867</v>
      </c>
      <c r="G6" s="98" t="s">
        <v>1936</v>
      </c>
      <c r="H6" s="98" t="s">
        <v>1937</v>
      </c>
      <c r="I6" s="98" t="s">
        <v>1938</v>
      </c>
      <c r="J6" s="98" t="s">
        <v>1939</v>
      </c>
      <c r="K6" s="98" t="s">
        <v>1940</v>
      </c>
      <c r="L6" s="98" t="s">
        <v>1941</v>
      </c>
      <c r="M6" s="98" t="s">
        <v>1942</v>
      </c>
      <c r="N6" s="98" t="s">
        <v>1943</v>
      </c>
      <c r="O6" s="98" t="s">
        <v>1944</v>
      </c>
      <c r="P6" s="98" t="s">
        <v>1945</v>
      </c>
      <c r="Q6" s="98" t="s">
        <v>1946</v>
      </c>
      <c r="R6" s="98" t="s">
        <v>1947</v>
      </c>
      <c r="S6" s="98" t="s">
        <v>1948</v>
      </c>
      <c r="T6" s="98" t="s">
        <v>1949</v>
      </c>
      <c r="U6" s="98" t="s">
        <v>1950</v>
      </c>
      <c r="V6" s="98" t="s">
        <v>1951</v>
      </c>
      <c r="W6" s="98" t="s">
        <v>1952</v>
      </c>
      <c r="X6" s="98" t="s">
        <v>1953</v>
      </c>
      <c r="Y6" s="98" t="s">
        <v>1954</v>
      </c>
      <c r="Z6" s="98" t="s">
        <v>1955</v>
      </c>
      <c r="AA6" s="98" t="s">
        <v>1956</v>
      </c>
      <c r="AB6" s="98" t="s">
        <v>1957</v>
      </c>
      <c r="AC6" s="98" t="s">
        <v>1958</v>
      </c>
      <c r="AD6" s="98" t="s">
        <v>1959</v>
      </c>
      <c r="AE6" s="98" t="s">
        <v>1960</v>
      </c>
      <c r="AF6" s="98" t="s">
        <v>1961</v>
      </c>
      <c r="AG6" s="98" t="s">
        <v>1962</v>
      </c>
      <c r="AH6" s="98" t="s">
        <v>1963</v>
      </c>
      <c r="AI6" s="98" t="s">
        <v>1964</v>
      </c>
      <c r="AJ6" s="98" t="s">
        <v>1965</v>
      </c>
      <c r="AK6" s="98" t="s">
        <v>1966</v>
      </c>
      <c r="AL6" s="98" t="s">
        <v>1967</v>
      </c>
      <c r="AM6" s="98" t="s">
        <v>1968</v>
      </c>
      <c r="AN6" s="98" t="s">
        <v>1969</v>
      </c>
      <c r="AO6" s="98" t="s">
        <v>1970</v>
      </c>
      <c r="AP6" s="98" t="s">
        <v>1971</v>
      </c>
      <c r="AQ6" s="98" t="s">
        <v>1972</v>
      </c>
      <c r="AR6" s="98" t="s">
        <v>1973</v>
      </c>
      <c r="AS6" s="98" t="s">
        <v>1974</v>
      </c>
      <c r="AT6" s="98" t="s">
        <v>1975</v>
      </c>
      <c r="AU6" s="98" t="s">
        <v>1976</v>
      </c>
      <c r="AV6" s="98" t="s">
        <v>1977</v>
      </c>
      <c r="AW6" s="98" t="s">
        <v>1978</v>
      </c>
      <c r="AX6" s="98" t="s">
        <v>1979</v>
      </c>
      <c r="AY6" s="98" t="s">
        <v>1980</v>
      </c>
      <c r="AZ6" s="98" t="s">
        <v>1981</v>
      </c>
      <c r="BA6" s="98" t="s">
        <v>1982</v>
      </c>
      <c r="BB6" s="98" t="s">
        <v>1983</v>
      </c>
      <c r="BC6" s="98" t="s">
        <v>1984</v>
      </c>
      <c r="BD6" s="98" t="s">
        <v>1985</v>
      </c>
      <c r="BE6" s="98" t="s">
        <v>1986</v>
      </c>
      <c r="BF6" s="98" t="s">
        <v>1987</v>
      </c>
      <c r="BG6" s="98" t="s">
        <v>1988</v>
      </c>
      <c r="BH6" s="98" t="s">
        <v>1989</v>
      </c>
      <c r="BI6" s="98" t="s">
        <v>1990</v>
      </c>
      <c r="BJ6" s="98" t="s">
        <v>1991</v>
      </c>
      <c r="BK6" s="98" t="s">
        <v>1992</v>
      </c>
      <c r="BL6" s="98" t="s">
        <v>1993</v>
      </c>
      <c r="BM6" s="98" t="s">
        <v>1994</v>
      </c>
      <c r="BN6" s="98" t="s">
        <v>1995</v>
      </c>
      <c r="BO6" s="98" t="s">
        <v>1996</v>
      </c>
      <c r="BP6" s="98" t="s">
        <v>1997</v>
      </c>
      <c r="BQ6" s="98" t="s">
        <v>1998</v>
      </c>
      <c r="BR6" s="98" t="s">
        <v>1999</v>
      </c>
      <c r="BS6" s="98" t="s">
        <v>2000</v>
      </c>
      <c r="BT6" s="98" t="s">
        <v>2001</v>
      </c>
      <c r="BU6" s="98" t="s">
        <v>2002</v>
      </c>
      <c r="BV6" s="98" t="s">
        <v>2003</v>
      </c>
      <c r="BW6" s="98" t="s">
        <v>2004</v>
      </c>
      <c r="BX6" s="98" t="s">
        <v>2005</v>
      </c>
      <c r="BY6" s="98" t="s">
        <v>2006</v>
      </c>
      <c r="BZ6" s="98" t="s">
        <v>2007</v>
      </c>
      <c r="CA6" s="98" t="s">
        <v>2008</v>
      </c>
      <c r="CB6" s="98" t="s">
        <v>2009</v>
      </c>
      <c r="CC6" s="98" t="s">
        <v>2010</v>
      </c>
      <c r="CD6" s="98" t="s">
        <v>2011</v>
      </c>
      <c r="CE6" s="98" t="s">
        <v>2012</v>
      </c>
      <c r="CF6" s="98" t="s">
        <v>2013</v>
      </c>
      <c r="CG6" s="98" t="s">
        <v>2014</v>
      </c>
      <c r="CH6" s="98" t="s">
        <v>2015</v>
      </c>
      <c r="CI6" s="98" t="s">
        <v>2016</v>
      </c>
      <c r="CJ6" s="98" t="s">
        <v>2017</v>
      </c>
      <c r="CK6" s="98" t="s">
        <v>2018</v>
      </c>
      <c r="CL6" s="98" t="s">
        <v>2019</v>
      </c>
      <c r="CM6" s="98" t="s">
        <v>2020</v>
      </c>
      <c r="CN6" s="98" t="s">
        <v>2021</v>
      </c>
      <c r="CO6" s="98" t="s">
        <v>2022</v>
      </c>
      <c r="CP6" s="98" t="s">
        <v>2023</v>
      </c>
      <c r="CQ6" s="98" t="s">
        <v>2024</v>
      </c>
      <c r="CR6" s="98" t="s">
        <v>2025</v>
      </c>
      <c r="CS6" s="98" t="s">
        <v>2026</v>
      </c>
      <c r="CT6" s="98" t="s">
        <v>2027</v>
      </c>
      <c r="CU6" s="98" t="s">
        <v>2028</v>
      </c>
      <c r="CV6" s="98" t="s">
        <v>2029</v>
      </c>
      <c r="CW6" s="98" t="s">
        <v>2030</v>
      </c>
      <c r="CX6" s="98" t="s">
        <v>2031</v>
      </c>
      <c r="CY6" s="98" t="s">
        <v>2032</v>
      </c>
      <c r="CZ6" s="98" t="s">
        <v>2033</v>
      </c>
      <c r="DA6" s="98" t="s">
        <v>2034</v>
      </c>
      <c r="DB6" s="98" t="s">
        <v>2035</v>
      </c>
      <c r="DC6" s="98" t="s">
        <v>2036</v>
      </c>
      <c r="DD6" s="98" t="s">
        <v>2037</v>
      </c>
      <c r="DE6" s="98" t="s">
        <v>2038</v>
      </c>
      <c r="DF6" s="98" t="s">
        <v>2039</v>
      </c>
      <c r="DG6" s="98" t="s">
        <v>2040</v>
      </c>
      <c r="DH6" s="98" t="s">
        <v>2041</v>
      </c>
      <c r="DI6" s="98" t="s">
        <v>2042</v>
      </c>
      <c r="DJ6" s="98" t="s">
        <v>2043</v>
      </c>
      <c r="DK6" s="98" t="s">
        <v>2044</v>
      </c>
      <c r="DL6" s="98" t="s">
        <v>2045</v>
      </c>
      <c r="DM6" s="98" t="s">
        <v>2046</v>
      </c>
      <c r="DN6" s="98" t="s">
        <v>2047</v>
      </c>
      <c r="DO6" s="98" t="s">
        <v>2048</v>
      </c>
      <c r="DP6" s="98" t="s">
        <v>2049</v>
      </c>
      <c r="DQ6" s="98" t="s">
        <v>2050</v>
      </c>
      <c r="DR6" s="98" t="s">
        <v>2051</v>
      </c>
      <c r="DS6" s="98" t="s">
        <v>2052</v>
      </c>
      <c r="DT6" s="98" t="s">
        <v>2053</v>
      </c>
      <c r="DU6" s="98" t="s">
        <v>2054</v>
      </c>
      <c r="DV6" s="98" t="s">
        <v>2055</v>
      </c>
      <c r="DW6" s="98" t="s">
        <v>2056</v>
      </c>
      <c r="DX6" s="98" t="s">
        <v>2057</v>
      </c>
      <c r="DY6" s="98" t="s">
        <v>2058</v>
      </c>
      <c r="DZ6" s="98" t="s">
        <v>2059</v>
      </c>
      <c r="EA6" s="98" t="s">
        <v>2060</v>
      </c>
      <c r="EB6" s="98" t="s">
        <v>2061</v>
      </c>
      <c r="EC6" s="98" t="s">
        <v>2062</v>
      </c>
      <c r="ED6" s="98" t="s">
        <v>2063</v>
      </c>
      <c r="EE6" s="98" t="s">
        <v>2064</v>
      </c>
      <c r="EF6" s="98" t="s">
        <v>2065</v>
      </c>
      <c r="EG6" s="98" t="s">
        <v>2066</v>
      </c>
      <c r="EH6" s="98" t="s">
        <v>2067</v>
      </c>
      <c r="EI6" s="98" t="s">
        <v>2068</v>
      </c>
      <c r="EJ6" s="98" t="s">
        <v>2069</v>
      </c>
      <c r="EK6" s="98" t="s">
        <v>2070</v>
      </c>
      <c r="EL6" s="98" t="s">
        <v>2071</v>
      </c>
      <c r="EM6" s="98" t="s">
        <v>2072</v>
      </c>
      <c r="EN6" s="98" t="s">
        <v>2073</v>
      </c>
      <c r="EO6" s="98" t="s">
        <v>2074</v>
      </c>
      <c r="EP6" s="98" t="s">
        <v>2075</v>
      </c>
      <c r="EQ6" s="98" t="s">
        <v>2076</v>
      </c>
      <c r="ER6" s="98" t="s">
        <v>2077</v>
      </c>
      <c r="ES6" s="98" t="s">
        <v>2078</v>
      </c>
      <c r="ET6" s="98" t="s">
        <v>2079</v>
      </c>
      <c r="EU6" s="98" t="s">
        <v>2080</v>
      </c>
      <c r="EV6" s="98" t="s">
        <v>2081</v>
      </c>
      <c r="EW6" s="98" t="s">
        <v>2082</v>
      </c>
      <c r="EX6" s="98" t="s">
        <v>2083</v>
      </c>
      <c r="EY6" s="98" t="s">
        <v>2084</v>
      </c>
      <c r="EZ6" s="98" t="s">
        <v>2085</v>
      </c>
      <c r="FA6" s="98" t="s">
        <v>2086</v>
      </c>
      <c r="FB6" s="98" t="s">
        <v>2087</v>
      </c>
      <c r="FC6" s="98" t="s">
        <v>2088</v>
      </c>
      <c r="FD6" s="98" t="s">
        <v>2089</v>
      </c>
      <c r="FE6" s="98" t="s">
        <v>2090</v>
      </c>
      <c r="FF6" s="98" t="s">
        <v>2091</v>
      </c>
      <c r="FG6" s="98" t="s">
        <v>2092</v>
      </c>
      <c r="FH6" s="98" t="s">
        <v>2093</v>
      </c>
      <c r="FI6" s="98" t="s">
        <v>2094</v>
      </c>
      <c r="FJ6" s="98" t="s">
        <v>2095</v>
      </c>
      <c r="FK6" s="98" t="s">
        <v>2096</v>
      </c>
      <c r="FL6" s="98" t="s">
        <v>2097</v>
      </c>
      <c r="FM6" s="98" t="s">
        <v>2098</v>
      </c>
      <c r="FN6" s="98" t="s">
        <v>2099</v>
      </c>
      <c r="FO6" s="98" t="s">
        <v>2100</v>
      </c>
      <c r="FP6" s="98" t="s">
        <v>2101</v>
      </c>
      <c r="FQ6" s="98" t="s">
        <v>2102</v>
      </c>
      <c r="FR6" s="98" t="s">
        <v>2103</v>
      </c>
      <c r="FS6" s="98" t="s">
        <v>2104</v>
      </c>
      <c r="FT6" s="98" t="s">
        <v>2105</v>
      </c>
      <c r="FU6" s="98" t="s">
        <v>2106</v>
      </c>
      <c r="FV6" s="98" t="s">
        <v>2107</v>
      </c>
      <c r="FW6" s="98" t="s">
        <v>2108</v>
      </c>
      <c r="FX6" s="98" t="s">
        <v>2109</v>
      </c>
      <c r="FY6" s="98" t="s">
        <v>2110</v>
      </c>
      <c r="FZ6" s="98" t="s">
        <v>2111</v>
      </c>
      <c r="GA6" s="98" t="s">
        <v>2112</v>
      </c>
      <c r="GB6" s="98" t="s">
        <v>2113</v>
      </c>
      <c r="GC6" s="98" t="s">
        <v>2114</v>
      </c>
      <c r="GD6" s="98" t="s">
        <v>2115</v>
      </c>
      <c r="GE6" s="98" t="s">
        <v>2116</v>
      </c>
      <c r="GF6" s="98" t="s">
        <v>2117</v>
      </c>
      <c r="GG6" s="98" t="s">
        <v>2118</v>
      </c>
      <c r="GH6" s="98" t="s">
        <v>2119</v>
      </c>
      <c r="GI6" s="98" t="s">
        <v>2120</v>
      </c>
      <c r="GJ6" s="98" t="s">
        <v>2121</v>
      </c>
      <c r="GK6" s="98" t="s">
        <v>2122</v>
      </c>
      <c r="GL6" s="98" t="s">
        <v>2123</v>
      </c>
      <c r="GM6" s="98" t="s">
        <v>2124</v>
      </c>
      <c r="GN6" s="98" t="s">
        <v>2125</v>
      </c>
      <c r="GO6" s="98" t="s">
        <v>2126</v>
      </c>
      <c r="GP6" s="98" t="s">
        <v>2127</v>
      </c>
      <c r="GQ6" s="98" t="s">
        <v>2128</v>
      </c>
      <c r="GR6" s="98" t="s">
        <v>2129</v>
      </c>
      <c r="GS6" s="98" t="s">
        <v>2130</v>
      </c>
      <c r="GT6" s="98" t="s">
        <v>2131</v>
      </c>
      <c r="GU6" s="98" t="s">
        <v>2132</v>
      </c>
      <c r="GV6" s="98" t="s">
        <v>2133</v>
      </c>
      <c r="GW6" s="98" t="s">
        <v>2134</v>
      </c>
      <c r="GX6" s="98" t="s">
        <v>2135</v>
      </c>
      <c r="GY6" s="98" t="s">
        <v>2136</v>
      </c>
      <c r="GZ6" s="98" t="s">
        <v>2137</v>
      </c>
      <c r="HA6" s="98" t="s">
        <v>2138</v>
      </c>
      <c r="HB6" s="98" t="s">
        <v>2139</v>
      </c>
      <c r="HC6" s="98" t="s">
        <v>2140</v>
      </c>
      <c r="HD6" s="98" t="s">
        <v>2141</v>
      </c>
      <c r="HE6" s="98" t="s">
        <v>2142</v>
      </c>
      <c r="HF6" s="98" t="s">
        <v>2143</v>
      </c>
      <c r="HG6" s="98" t="s">
        <v>2144</v>
      </c>
      <c r="HH6" s="98" t="s">
        <v>2145</v>
      </c>
      <c r="HI6" s="98" t="s">
        <v>2146</v>
      </c>
      <c r="HJ6" s="98" t="s">
        <v>2147</v>
      </c>
      <c r="HK6" s="98" t="s">
        <v>2148</v>
      </c>
      <c r="HL6" s="98" t="s">
        <v>2149</v>
      </c>
      <c r="HM6" s="98" t="s">
        <v>2150</v>
      </c>
      <c r="HN6" s="98" t="s">
        <v>2151</v>
      </c>
      <c r="HO6" s="98" t="s">
        <v>2152</v>
      </c>
      <c r="HP6" s="98" t="s">
        <v>2153</v>
      </c>
      <c r="HQ6" s="98" t="s">
        <v>2154</v>
      </c>
      <c r="HR6" s="98" t="s">
        <v>2155</v>
      </c>
      <c r="HS6" s="98" t="s">
        <v>2156</v>
      </c>
      <c r="HT6" s="98" t="s">
        <v>2157</v>
      </c>
      <c r="HU6" s="98" t="s">
        <v>2158</v>
      </c>
      <c r="HV6" s="98" t="s">
        <v>2159</v>
      </c>
      <c r="HW6" s="98" t="s">
        <v>2160</v>
      </c>
      <c r="HX6" s="98" t="s">
        <v>2161</v>
      </c>
      <c r="HY6" s="98" t="s">
        <v>2162</v>
      </c>
      <c r="HZ6" s="98" t="s">
        <v>2163</v>
      </c>
      <c r="IA6" s="98" t="s">
        <v>2164</v>
      </c>
      <c r="IB6" s="98" t="s">
        <v>2165</v>
      </c>
      <c r="IC6" s="98" t="s">
        <v>2166</v>
      </c>
      <c r="ID6" s="98" t="s">
        <v>2167</v>
      </c>
      <c r="IE6" s="98" t="s">
        <v>2168</v>
      </c>
      <c r="IF6" s="98" t="s">
        <v>2169</v>
      </c>
      <c r="IG6" s="98" t="s">
        <v>2170</v>
      </c>
      <c r="IH6" s="98" t="s">
        <v>2171</v>
      </c>
      <c r="II6" s="98" t="s">
        <v>2172</v>
      </c>
      <c r="IJ6" s="98" t="s">
        <v>2173</v>
      </c>
      <c r="IK6" s="98" t="s">
        <v>2174</v>
      </c>
      <c r="IL6" s="98" t="s">
        <v>2175</v>
      </c>
      <c r="IM6" s="98" t="s">
        <v>2176</v>
      </c>
      <c r="IN6" s="98" t="s">
        <v>2177</v>
      </c>
      <c r="IO6" s="98" t="s">
        <v>2178</v>
      </c>
      <c r="IP6" s="98" t="s">
        <v>2179</v>
      </c>
      <c r="IQ6" s="98" t="s">
        <v>2180</v>
      </c>
      <c r="IR6" s="98" t="s">
        <v>2181</v>
      </c>
      <c r="IS6" s="98" t="s">
        <v>2182</v>
      </c>
      <c r="IT6" s="98" t="s">
        <v>2183</v>
      </c>
      <c r="IU6" s="98" t="s">
        <v>2184</v>
      </c>
      <c r="IV6" s="98" t="s">
        <v>2185</v>
      </c>
      <c r="IW6" s="98" t="s">
        <v>2186</v>
      </c>
      <c r="IX6" s="98" t="s">
        <v>2187</v>
      </c>
      <c r="IY6" s="98" t="s">
        <v>2188</v>
      </c>
      <c r="IZ6" s="98" t="s">
        <v>2189</v>
      </c>
      <c r="JA6" s="98" t="s">
        <v>2190</v>
      </c>
      <c r="JB6" s="98" t="s">
        <v>2191</v>
      </c>
      <c r="JC6" s="98" t="s">
        <v>2192</v>
      </c>
      <c r="JD6" s="98" t="s">
        <v>2193</v>
      </c>
      <c r="JE6" s="98" t="s">
        <v>2194</v>
      </c>
      <c r="JF6" s="98" t="s">
        <v>2195</v>
      </c>
      <c r="JG6" s="98" t="s">
        <v>2196</v>
      </c>
      <c r="JH6" s="98" t="s">
        <v>2197</v>
      </c>
      <c r="JI6" s="98" t="s">
        <v>2198</v>
      </c>
      <c r="JJ6" s="98" t="s">
        <v>2199</v>
      </c>
      <c r="JK6" s="98" t="s">
        <v>2200</v>
      </c>
      <c r="JL6" s="98" t="s">
        <v>2201</v>
      </c>
      <c r="JM6" s="98" t="s">
        <v>2202</v>
      </c>
      <c r="JN6" s="98" t="s">
        <v>2203</v>
      </c>
      <c r="JO6" s="98" t="s">
        <v>2204</v>
      </c>
      <c r="JP6" s="98" t="s">
        <v>2205</v>
      </c>
      <c r="JQ6" s="98" t="s">
        <v>2206</v>
      </c>
      <c r="JR6" s="98" t="s">
        <v>2207</v>
      </c>
      <c r="JS6" s="98" t="s">
        <v>2208</v>
      </c>
      <c r="JT6" s="98" t="s">
        <v>2209</v>
      </c>
      <c r="JU6" s="98" t="s">
        <v>2210</v>
      </c>
      <c r="JV6" s="98" t="s">
        <v>2211</v>
      </c>
      <c r="JW6" s="98" t="s">
        <v>2212</v>
      </c>
      <c r="JX6" s="98" t="s">
        <v>2213</v>
      </c>
      <c r="JY6" s="98" t="s">
        <v>2214</v>
      </c>
      <c r="JZ6" s="98" t="s">
        <v>2215</v>
      </c>
      <c r="KA6" s="98" t="s">
        <v>2216</v>
      </c>
      <c r="KB6" s="98" t="s">
        <v>2217</v>
      </c>
      <c r="KC6" s="98" t="s">
        <v>2218</v>
      </c>
      <c r="KD6" s="98" t="s">
        <v>2219</v>
      </c>
      <c r="KE6" s="98" t="s">
        <v>2220</v>
      </c>
      <c r="KF6" s="98" t="s">
        <v>2221</v>
      </c>
      <c r="KG6" s="98" t="s">
        <v>2222</v>
      </c>
      <c r="KH6" s="98" t="s">
        <v>2223</v>
      </c>
      <c r="KI6" s="98" t="s">
        <v>2224</v>
      </c>
      <c r="KJ6" s="98" t="s">
        <v>2225</v>
      </c>
      <c r="KK6" s="98" t="s">
        <v>2226</v>
      </c>
      <c r="KL6" s="98" t="s">
        <v>2227</v>
      </c>
      <c r="KM6" s="98" t="s">
        <v>2228</v>
      </c>
      <c r="KN6" s="98" t="s">
        <v>2229</v>
      </c>
      <c r="KO6" s="98" t="s">
        <v>2230</v>
      </c>
      <c r="KP6" s="98" t="s">
        <v>2231</v>
      </c>
      <c r="KQ6" s="98" t="s">
        <v>2232</v>
      </c>
      <c r="KR6" s="98" t="s">
        <v>2233</v>
      </c>
      <c r="KS6" s="98" t="s">
        <v>2234</v>
      </c>
      <c r="KT6" s="98" t="s">
        <v>2235</v>
      </c>
      <c r="KU6" s="98" t="s">
        <v>2236</v>
      </c>
      <c r="KV6" s="98" t="s">
        <v>2237</v>
      </c>
      <c r="KW6" s="98" t="s">
        <v>2238</v>
      </c>
      <c r="KX6" s="98" t="s">
        <v>2239</v>
      </c>
      <c r="KY6" s="98" t="s">
        <v>2240</v>
      </c>
      <c r="KZ6" s="98" t="s">
        <v>2241</v>
      </c>
      <c r="LA6" s="98" t="s">
        <v>2242</v>
      </c>
      <c r="LB6" s="98" t="s">
        <v>2243</v>
      </c>
      <c r="LC6" s="98" t="s">
        <v>2244</v>
      </c>
      <c r="LD6" s="98" t="s">
        <v>2245</v>
      </c>
      <c r="LE6" s="98" t="s">
        <v>2246</v>
      </c>
      <c r="LF6" s="98" t="s">
        <v>2247</v>
      </c>
      <c r="LG6" s="98" t="s">
        <v>2248</v>
      </c>
      <c r="LH6" s="98" t="s">
        <v>2249</v>
      </c>
      <c r="LI6" s="98" t="s">
        <v>2250</v>
      </c>
      <c r="LJ6" s="98" t="s">
        <v>2251</v>
      </c>
      <c r="LK6" s="98" t="s">
        <v>2252</v>
      </c>
      <c r="LL6" s="98" t="s">
        <v>2253</v>
      </c>
      <c r="LM6" s="98" t="s">
        <v>2254</v>
      </c>
      <c r="LN6" s="98" t="s">
        <v>2255</v>
      </c>
      <c r="LO6" s="98" t="s">
        <v>2256</v>
      </c>
      <c r="LP6" s="98" t="s">
        <v>2257</v>
      </c>
      <c r="LQ6" s="98" t="s">
        <v>2258</v>
      </c>
      <c r="LR6" s="98" t="s">
        <v>2259</v>
      </c>
      <c r="LS6" s="98" t="s">
        <v>2260</v>
      </c>
      <c r="LT6" s="98" t="s">
        <v>2261</v>
      </c>
      <c r="LU6" s="98" t="s">
        <v>2262</v>
      </c>
      <c r="LV6" s="98" t="s">
        <v>2263</v>
      </c>
      <c r="LW6" s="98" t="s">
        <v>2264</v>
      </c>
      <c r="LX6" s="98" t="s">
        <v>2265</v>
      </c>
      <c r="LY6" s="98" t="s">
        <v>2266</v>
      </c>
      <c r="LZ6" s="98" t="s">
        <v>2267</v>
      </c>
      <c r="MA6" s="98" t="s">
        <v>2268</v>
      </c>
      <c r="MB6" s="98" t="s">
        <v>2269</v>
      </c>
      <c r="MC6" s="98" t="s">
        <v>2270</v>
      </c>
      <c r="MD6" s="98" t="s">
        <v>2271</v>
      </c>
      <c r="ME6" s="98" t="s">
        <v>2272</v>
      </c>
      <c r="MF6" s="98" t="s">
        <v>2273</v>
      </c>
      <c r="MG6" s="98" t="s">
        <v>2274</v>
      </c>
      <c r="MH6" s="98" t="s">
        <v>2275</v>
      </c>
      <c r="MI6" s="98" t="s">
        <v>2276</v>
      </c>
      <c r="MJ6" s="98" t="s">
        <v>2277</v>
      </c>
      <c r="MK6" s="98" t="s">
        <v>2278</v>
      </c>
      <c r="ML6" s="98" t="s">
        <v>2279</v>
      </c>
      <c r="MM6" s="98" t="s">
        <v>2280</v>
      </c>
      <c r="MN6" s="98" t="s">
        <v>2281</v>
      </c>
      <c r="MO6" s="98" t="s">
        <v>2282</v>
      </c>
      <c r="MP6" s="98" t="s">
        <v>2283</v>
      </c>
      <c r="MQ6" s="98" t="s">
        <v>2284</v>
      </c>
      <c r="MR6" s="98" t="s">
        <v>2285</v>
      </c>
      <c r="MS6" s="98" t="s">
        <v>2286</v>
      </c>
      <c r="MT6" s="98" t="s">
        <v>2287</v>
      </c>
      <c r="MU6" s="98" t="s">
        <v>2288</v>
      </c>
      <c r="MV6" s="98" t="s">
        <v>2289</v>
      </c>
      <c r="MW6" s="98" t="s">
        <v>2290</v>
      </c>
      <c r="MX6" s="98" t="s">
        <v>2291</v>
      </c>
      <c r="MY6" s="98" t="s">
        <v>2292</v>
      </c>
      <c r="MZ6" s="98" t="s">
        <v>2293</v>
      </c>
      <c r="NA6" s="98" t="s">
        <v>2294</v>
      </c>
      <c r="NB6" s="98" t="s">
        <v>2295</v>
      </c>
      <c r="NC6" s="98" t="s">
        <v>2296</v>
      </c>
      <c r="ND6" s="98" t="s">
        <v>2297</v>
      </c>
      <c r="NE6" s="98" t="s">
        <v>2298</v>
      </c>
      <c r="NF6" s="98" t="s">
        <v>2299</v>
      </c>
      <c r="NG6" s="98" t="s">
        <v>2300</v>
      </c>
      <c r="NH6" s="98" t="s">
        <v>2301</v>
      </c>
      <c r="NI6" s="98" t="s">
        <v>2302</v>
      </c>
      <c r="NJ6" s="98" t="s">
        <v>2303</v>
      </c>
      <c r="NK6" s="98" t="s">
        <v>2304</v>
      </c>
      <c r="NL6" s="98" t="s">
        <v>2305</v>
      </c>
      <c r="NM6" s="98" t="s">
        <v>2306</v>
      </c>
      <c r="NN6" s="98" t="s">
        <v>2307</v>
      </c>
      <c r="NO6" s="98" t="s">
        <v>2308</v>
      </c>
      <c r="NP6" s="98" t="s">
        <v>2309</v>
      </c>
      <c r="NQ6" s="98" t="s">
        <v>2310</v>
      </c>
      <c r="NR6" s="98" t="s">
        <v>2311</v>
      </c>
      <c r="NS6" s="98" t="s">
        <v>2312</v>
      </c>
      <c r="NT6" s="98" t="s">
        <v>2313</v>
      </c>
      <c r="NU6" s="98" t="s">
        <v>2314</v>
      </c>
      <c r="NV6" s="98" t="s">
        <v>2315</v>
      </c>
      <c r="NW6" s="98" t="s">
        <v>2316</v>
      </c>
      <c r="NX6" s="98" t="s">
        <v>2317</v>
      </c>
      <c r="NY6" s="98" t="s">
        <v>2318</v>
      </c>
      <c r="NZ6" s="98" t="s">
        <v>2319</v>
      </c>
      <c r="OA6" s="98" t="s">
        <v>2320</v>
      </c>
      <c r="OB6" s="98" t="s">
        <v>2321</v>
      </c>
      <c r="OC6" s="98" t="s">
        <v>2322</v>
      </c>
      <c r="OD6" s="98" t="s">
        <v>2323</v>
      </c>
      <c r="OE6" s="98" t="s">
        <v>2324</v>
      </c>
      <c r="OF6" s="98" t="s">
        <v>2325</v>
      </c>
      <c r="OG6" s="98" t="s">
        <v>2326</v>
      </c>
      <c r="OH6" s="98" t="s">
        <v>2327</v>
      </c>
      <c r="OI6" s="98" t="s">
        <v>2328</v>
      </c>
      <c r="OJ6" s="98" t="s">
        <v>2329</v>
      </c>
      <c r="OK6" s="98" t="s">
        <v>2330</v>
      </c>
      <c r="OL6" s="98" t="s">
        <v>2331</v>
      </c>
      <c r="OM6" s="98" t="s">
        <v>2332</v>
      </c>
      <c r="ON6" s="98" t="s">
        <v>2333</v>
      </c>
      <c r="OO6" s="98" t="s">
        <v>2334</v>
      </c>
      <c r="OP6" s="98" t="s">
        <v>2335</v>
      </c>
      <c r="OQ6" s="98" t="s">
        <v>2336</v>
      </c>
      <c r="OR6" s="98" t="s">
        <v>2337</v>
      </c>
      <c r="OS6" s="98" t="s">
        <v>2338</v>
      </c>
      <c r="OT6" s="98" t="s">
        <v>2339</v>
      </c>
      <c r="OU6" s="98" t="s">
        <v>2340</v>
      </c>
      <c r="OV6" s="98" t="s">
        <v>2341</v>
      </c>
      <c r="OW6" s="98" t="s">
        <v>2342</v>
      </c>
      <c r="OX6" s="98" t="s">
        <v>2343</v>
      </c>
      <c r="OY6" s="98" t="s">
        <v>2344</v>
      </c>
      <c r="OZ6" s="98" t="s">
        <v>2345</v>
      </c>
      <c r="PA6" s="98" t="s">
        <v>2346</v>
      </c>
      <c r="PB6" s="98" t="s">
        <v>2347</v>
      </c>
      <c r="PC6" s="98" t="s">
        <v>2348</v>
      </c>
      <c r="PD6" s="98" t="s">
        <v>2349</v>
      </c>
      <c r="PE6" s="98" t="s">
        <v>2350</v>
      </c>
      <c r="PF6" s="98" t="s">
        <v>2351</v>
      </c>
      <c r="PG6" s="98" t="s">
        <v>2352</v>
      </c>
      <c r="PH6" s="98" t="s">
        <v>2353</v>
      </c>
      <c r="PI6" s="98" t="s">
        <v>2354</v>
      </c>
      <c r="PJ6" s="98" t="s">
        <v>2355</v>
      </c>
      <c r="PK6" s="98" t="s">
        <v>2356</v>
      </c>
      <c r="PL6" s="98" t="s">
        <v>2357</v>
      </c>
      <c r="PM6" s="98" t="s">
        <v>2358</v>
      </c>
      <c r="PN6" s="98" t="s">
        <v>2359</v>
      </c>
      <c r="PO6" s="98" t="s">
        <v>2360</v>
      </c>
      <c r="PP6" s="98" t="s">
        <v>2361</v>
      </c>
      <c r="PQ6" s="98" t="s">
        <v>2362</v>
      </c>
      <c r="PR6" s="98" t="s">
        <v>2363</v>
      </c>
      <c r="PS6" s="98" t="s">
        <v>2364</v>
      </c>
      <c r="PT6" s="98" t="s">
        <v>2365</v>
      </c>
      <c r="PU6" s="98" t="s">
        <v>2366</v>
      </c>
      <c r="PV6" s="98" t="s">
        <v>2367</v>
      </c>
      <c r="PW6" s="98" t="s">
        <v>2368</v>
      </c>
      <c r="PX6" s="98" t="s">
        <v>2369</v>
      </c>
      <c r="PY6" s="98" t="s">
        <v>2370</v>
      </c>
      <c r="PZ6" s="98" t="s">
        <v>2371</v>
      </c>
      <c r="QA6" s="98" t="s">
        <v>2372</v>
      </c>
      <c r="QB6" s="98" t="s">
        <v>2373</v>
      </c>
      <c r="QC6" s="98" t="s">
        <v>2374</v>
      </c>
      <c r="QD6" s="98" t="s">
        <v>2375</v>
      </c>
      <c r="QE6" s="98" t="s">
        <v>2376</v>
      </c>
      <c r="QF6" s="98" t="s">
        <v>2377</v>
      </c>
      <c r="QG6" s="98" t="s">
        <v>2378</v>
      </c>
      <c r="QH6" s="98" t="s">
        <v>2379</v>
      </c>
      <c r="QI6" s="98" t="s">
        <v>2380</v>
      </c>
      <c r="QJ6" s="98" t="s">
        <v>2381</v>
      </c>
      <c r="QK6" s="98" t="s">
        <v>2382</v>
      </c>
      <c r="QL6" s="98" t="s">
        <v>2383</v>
      </c>
      <c r="QM6" s="98" t="s">
        <v>2384</v>
      </c>
      <c r="QN6" s="98" t="s">
        <v>2385</v>
      </c>
      <c r="QO6" s="98" t="s">
        <v>2386</v>
      </c>
      <c r="QP6" s="98" t="s">
        <v>2387</v>
      </c>
      <c r="QQ6" s="98" t="s">
        <v>2388</v>
      </c>
      <c r="QR6" s="98" t="s">
        <v>2389</v>
      </c>
      <c r="QS6" s="98" t="s">
        <v>2390</v>
      </c>
      <c r="QT6" s="98" t="s">
        <v>2391</v>
      </c>
      <c r="QU6" s="98" t="s">
        <v>2392</v>
      </c>
      <c r="QV6" s="98" t="s">
        <v>2393</v>
      </c>
      <c r="QW6" s="98" t="s">
        <v>2394</v>
      </c>
      <c r="QX6" s="98" t="s">
        <v>2395</v>
      </c>
      <c r="QY6" s="98" t="s">
        <v>2396</v>
      </c>
      <c r="QZ6" s="98" t="s">
        <v>2397</v>
      </c>
      <c r="RA6" s="98" t="s">
        <v>2398</v>
      </c>
      <c r="RB6" s="98" t="s">
        <v>2399</v>
      </c>
      <c r="RC6" s="98" t="s">
        <v>2400</v>
      </c>
      <c r="RD6" s="98" t="s">
        <v>2401</v>
      </c>
      <c r="RE6" s="98" t="s">
        <v>2402</v>
      </c>
      <c r="RF6" s="98" t="s">
        <v>2403</v>
      </c>
      <c r="RG6" s="98" t="s">
        <v>2404</v>
      </c>
      <c r="RH6" s="98" t="s">
        <v>2405</v>
      </c>
      <c r="RI6" s="98" t="s">
        <v>2406</v>
      </c>
      <c r="RJ6" s="98" t="s">
        <v>2407</v>
      </c>
      <c r="RK6" s="98" t="s">
        <v>2408</v>
      </c>
      <c r="RL6" s="98" t="s">
        <v>2409</v>
      </c>
      <c r="RM6" s="98" t="s">
        <v>2410</v>
      </c>
      <c r="RN6" s="98" t="s">
        <v>2411</v>
      </c>
      <c r="RO6" s="98" t="s">
        <v>2412</v>
      </c>
      <c r="RP6" s="98" t="s">
        <v>2413</v>
      </c>
      <c r="RQ6" s="98" t="s">
        <v>2414</v>
      </c>
      <c r="RR6" s="98" t="s">
        <v>2415</v>
      </c>
      <c r="RS6" s="98" t="s">
        <v>2416</v>
      </c>
      <c r="RT6" s="98" t="s">
        <v>2417</v>
      </c>
      <c r="RU6" s="98" t="s">
        <v>2418</v>
      </c>
      <c r="RV6" s="98" t="s">
        <v>2419</v>
      </c>
      <c r="RW6" s="98" t="s">
        <v>2420</v>
      </c>
      <c r="RX6" s="98" t="s">
        <v>2421</v>
      </c>
      <c r="RY6" s="98" t="s">
        <v>2422</v>
      </c>
      <c r="RZ6" s="98" t="s">
        <v>2423</v>
      </c>
      <c r="SA6" s="98" t="s">
        <v>2424</v>
      </c>
      <c r="SB6" s="98" t="s">
        <v>2425</v>
      </c>
      <c r="SC6" s="98" t="s">
        <v>2426</v>
      </c>
      <c r="SD6" s="98" t="s">
        <v>2427</v>
      </c>
      <c r="SE6" s="98" t="s">
        <v>2428</v>
      </c>
      <c r="SF6" s="98" t="s">
        <v>2429</v>
      </c>
      <c r="SG6" s="98" t="s">
        <v>2430</v>
      </c>
      <c r="SH6" s="98" t="s">
        <v>2431</v>
      </c>
      <c r="SI6" s="98" t="s">
        <v>2432</v>
      </c>
      <c r="SJ6" s="98" t="s">
        <v>2433</v>
      </c>
      <c r="SK6" s="98" t="s">
        <v>2434</v>
      </c>
      <c r="SL6" s="98" t="s">
        <v>2435</v>
      </c>
      <c r="SM6" s="98" t="s">
        <v>2436</v>
      </c>
      <c r="SN6" s="98" t="s">
        <v>2437</v>
      </c>
      <c r="SO6" s="98" t="s">
        <v>2438</v>
      </c>
      <c r="SP6" s="98" t="s">
        <v>2439</v>
      </c>
      <c r="SQ6" s="98" t="s">
        <v>2440</v>
      </c>
      <c r="SR6" s="98" t="s">
        <v>2441</v>
      </c>
      <c r="SS6" s="98" t="s">
        <v>2442</v>
      </c>
      <c r="ST6" s="98" t="s">
        <v>2443</v>
      </c>
      <c r="SU6" s="98" t="s">
        <v>2444</v>
      </c>
      <c r="SV6" s="98" t="s">
        <v>2445</v>
      </c>
      <c r="SW6" s="98" t="s">
        <v>2446</v>
      </c>
      <c r="SX6" s="98" t="s">
        <v>2447</v>
      </c>
      <c r="SY6" s="98" t="s">
        <v>2448</v>
      </c>
      <c r="SZ6" s="98" t="s">
        <v>2449</v>
      </c>
      <c r="TA6" s="98" t="s">
        <v>2450</v>
      </c>
      <c r="TB6" s="98" t="s">
        <v>2451</v>
      </c>
      <c r="TC6" s="98" t="s">
        <v>2452</v>
      </c>
      <c r="TD6" s="98" t="s">
        <v>2453</v>
      </c>
      <c r="TE6" s="98" t="s">
        <v>2454</v>
      </c>
      <c r="TF6" s="98" t="s">
        <v>2455</v>
      </c>
      <c r="TG6" s="98" t="s">
        <v>2456</v>
      </c>
      <c r="TH6" s="98" t="s">
        <v>2457</v>
      </c>
      <c r="TI6" s="98" t="s">
        <v>2458</v>
      </c>
      <c r="TJ6" s="98" t="s">
        <v>2459</v>
      </c>
      <c r="TK6" s="98" t="s">
        <v>2460</v>
      </c>
      <c r="TL6" s="98" t="s">
        <v>2461</v>
      </c>
      <c r="TM6" s="98" t="s">
        <v>2462</v>
      </c>
      <c r="TN6" s="98" t="s">
        <v>2463</v>
      </c>
      <c r="TO6" s="98" t="s">
        <v>2464</v>
      </c>
      <c r="TP6" s="98" t="s">
        <v>2465</v>
      </c>
      <c r="TQ6" s="98" t="s">
        <v>2466</v>
      </c>
      <c r="TR6" s="98" t="s">
        <v>2467</v>
      </c>
      <c r="TS6" s="98" t="s">
        <v>2468</v>
      </c>
      <c r="TT6" s="98" t="s">
        <v>1890</v>
      </c>
      <c r="TU6" s="98" t="s">
        <v>2469</v>
      </c>
      <c r="TV6" s="98" t="s">
        <v>2470</v>
      </c>
      <c r="TW6" s="98" t="s">
        <v>2471</v>
      </c>
      <c r="TX6" s="98" t="s">
        <v>2472</v>
      </c>
      <c r="TY6" s="98" t="s">
        <v>2473</v>
      </c>
      <c r="TZ6" s="98" t="s">
        <v>2474</v>
      </c>
      <c r="UA6" s="98" t="s">
        <v>2475</v>
      </c>
      <c r="UB6" s="98" t="s">
        <v>2476</v>
      </c>
      <c r="UC6" s="98" t="s">
        <v>2477</v>
      </c>
      <c r="UD6" s="98" t="s">
        <v>2478</v>
      </c>
      <c r="UE6" s="98" t="s">
        <v>2479</v>
      </c>
      <c r="UF6" s="98" t="s">
        <v>2480</v>
      </c>
      <c r="UG6" s="98" t="s">
        <v>2481</v>
      </c>
      <c r="UH6" s="98" t="s">
        <v>2482</v>
      </c>
      <c r="UI6" s="98" t="s">
        <v>2483</v>
      </c>
    </row>
    <row r="7" customFormat="false" ht="15" hidden="false" customHeight="false" outlineLevel="0" collapsed="false">
      <c r="A7" s="1" t="s">
        <v>1932</v>
      </c>
      <c r="N7" s="108" t="n">
        <f aca="false">F_CardBal</f>
        <v>0</v>
      </c>
      <c r="Q7" s="108" t="n">
        <f aca="false">F_LoanBal</f>
        <v>0</v>
      </c>
      <c r="S7" s="108" t="n">
        <f aca="false">Init_Free0</f>
        <v>0</v>
      </c>
      <c r="AE7" s="108" t="n">
        <f aca="false">Init_Buf0</f>
        <v>0</v>
      </c>
      <c r="HQ7" s="108" t="n">
        <f aca="false">F_MortBal</f>
        <v>0</v>
      </c>
      <c r="HS7" s="108" t="n">
        <v>0</v>
      </c>
      <c r="QJ7" s="108" t="n">
        <f aca="false">Init_Free1</f>
        <v>0</v>
      </c>
      <c r="QK7" s="108" t="n">
        <f aca="false">Init_Buf0</f>
        <v>0</v>
      </c>
      <c r="QL7" s="108" t="n">
        <f aca="false">Slot1_Pot0</f>
        <v>0</v>
      </c>
      <c r="QP7" s="108" t="n">
        <f aca="false">Slot2_Pot0</f>
        <v>0</v>
      </c>
      <c r="QT7" s="108" t="n">
        <f aca="false">Slot3_Pot0</f>
        <v>0</v>
      </c>
      <c r="QX7" s="108" t="n">
        <f aca="false">Slot4_Pot0</f>
        <v>0</v>
      </c>
      <c r="RB7" s="108" t="n">
        <f aca="false">Slot5_Pot0</f>
        <v>0</v>
      </c>
      <c r="RF7" s="108" t="n">
        <f aca="false">Slot6_Pot0</f>
        <v>0</v>
      </c>
      <c r="RJ7" s="108" t="n">
        <f aca="false">Slot7_Pot0</f>
        <v>0</v>
      </c>
      <c r="RN7" s="108" t="n">
        <f aca="false">Slot8_Pot0</f>
        <v>0</v>
      </c>
      <c r="RR7" s="108" t="n">
        <f aca="false">Slot9_Pot0</f>
        <v>0</v>
      </c>
      <c r="RV7" s="108" t="n">
        <f aca="false">Slot10_Pot0</f>
        <v>0</v>
      </c>
      <c r="RZ7" s="108" t="n">
        <f aca="false">Slot11_Pot0</f>
        <v>0</v>
      </c>
      <c r="SD7" s="108" t="n">
        <f aca="false">Slot12_Pot0</f>
        <v>0</v>
      </c>
      <c r="SH7" s="108" t="n">
        <f aca="false">Slot13_Pot0</f>
        <v>0</v>
      </c>
      <c r="SL7" s="108" t="n">
        <f aca="false">Slot14_Pot0</f>
        <v>0</v>
      </c>
      <c r="SP7" s="108" t="n">
        <f aca="false">Slot15_Pot0</f>
        <v>0</v>
      </c>
      <c r="ST7" s="108" t="n">
        <f aca="false">Slot16_Pot0</f>
        <v>0</v>
      </c>
      <c r="SX7" s="108" t="n">
        <f aca="false">Slot17_Pot0</f>
        <v>0</v>
      </c>
      <c r="TB7" s="108" t="n">
        <f aca="false">Slot18_Pot0</f>
        <v>0</v>
      </c>
      <c r="TF7" s="108" t="n">
        <f aca="false">Slot19_Pot0</f>
        <v>0</v>
      </c>
      <c r="TJ7" s="108" t="n">
        <f aca="false">Slot20_Pot0</f>
        <v>0</v>
      </c>
      <c r="UE7" s="108" t="n">
        <v>0</v>
      </c>
    </row>
    <row r="8" customFormat="false" ht="15" hidden="false" customHeight="false" outlineLevel="0" collapsed="false">
      <c r="B8" s="1" t="n">
        <v>0</v>
      </c>
      <c r="C8" s="1" t="n">
        <f aca="false">IF(B8&lt;=F_N,1,0)</f>
        <v>1</v>
      </c>
      <c r="D8" s="1" t="n">
        <f aca="false">'Plan pay &amp; tax'!C234</f>
        <v>0</v>
      </c>
      <c r="E8" s="109"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false" outlineLevel="0" collapsed="false">
      <c r="B9" s="1" t="n">
        <v>1</v>
      </c>
      <c r="C9" s="1" t="n">
        <f aca="false">IF(B9&lt;=F_N,1,0)</f>
        <v>1</v>
      </c>
      <c r="D9" s="1" t="n">
        <f aca="false">'Plan pay &amp; tax'!C235</f>
        <v>1</v>
      </c>
      <c r="E9" s="109"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false" outlineLevel="0" collapsed="false">
      <c r="B10" s="1" t="n">
        <v>2</v>
      </c>
      <c r="C10" s="1" t="n">
        <f aca="false">IF(B10&lt;=F_N,1,0)</f>
        <v>1</v>
      </c>
      <c r="D10" s="1" t="n">
        <f aca="false">'Plan pay &amp; tax'!C236</f>
        <v>2</v>
      </c>
      <c r="E10" s="109"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false" outlineLevel="0" collapsed="false">
      <c r="B11" s="1" t="n">
        <v>3</v>
      </c>
      <c r="C11" s="1" t="n">
        <f aca="false">IF(B11&lt;=F_N,1,0)</f>
        <v>1</v>
      </c>
      <c r="D11" s="1" t="n">
        <f aca="false">'Plan pay &amp; tax'!C237</f>
        <v>3</v>
      </c>
      <c r="E11" s="109"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false" outlineLevel="0" collapsed="false">
      <c r="B12" s="1" t="n">
        <v>4</v>
      </c>
      <c r="C12" s="1" t="n">
        <f aca="false">IF(B12&lt;=F_N,1,0)</f>
        <v>1</v>
      </c>
      <c r="D12" s="1" t="n">
        <f aca="false">'Plan pay &amp; tax'!C238</f>
        <v>4</v>
      </c>
      <c r="E12" s="109"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false" outlineLevel="0" collapsed="false">
      <c r="B13" s="1" t="n">
        <v>5</v>
      </c>
      <c r="C13" s="1" t="n">
        <f aca="false">IF(B13&lt;=F_N,1,0)</f>
        <v>1</v>
      </c>
      <c r="D13" s="1" t="n">
        <f aca="false">'Plan pay &amp; tax'!C239</f>
        <v>5</v>
      </c>
      <c r="E13" s="109"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false" outlineLevel="0" collapsed="false">
      <c r="B14" s="1" t="n">
        <v>6</v>
      </c>
      <c r="C14" s="1" t="n">
        <f aca="false">IF(B14&lt;=F_N,1,0)</f>
        <v>1</v>
      </c>
      <c r="D14" s="1" t="n">
        <f aca="false">'Plan pay &amp; tax'!C240</f>
        <v>6</v>
      </c>
      <c r="E14" s="109"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false" outlineLevel="0" collapsed="false">
      <c r="B15" s="1" t="n">
        <v>7</v>
      </c>
      <c r="C15" s="1" t="n">
        <f aca="false">IF(B15&lt;=F_N,1,0)</f>
        <v>1</v>
      </c>
      <c r="D15" s="1" t="n">
        <f aca="false">'Plan pay &amp; tax'!C241</f>
        <v>7</v>
      </c>
      <c r="E15" s="109"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false" outlineLevel="0" collapsed="false">
      <c r="B16" s="1" t="n">
        <v>8</v>
      </c>
      <c r="C16" s="1" t="n">
        <f aca="false">IF(B16&lt;=F_N,1,0)</f>
        <v>1</v>
      </c>
      <c r="D16" s="1" t="n">
        <f aca="false">'Plan pay &amp; tax'!C242</f>
        <v>8</v>
      </c>
      <c r="E16" s="109"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false" outlineLevel="0" collapsed="false">
      <c r="B17" s="1" t="n">
        <v>9</v>
      </c>
      <c r="C17" s="1" t="n">
        <f aca="false">IF(B17&lt;=F_N,1,0)</f>
        <v>1</v>
      </c>
      <c r="D17" s="1" t="n">
        <f aca="false">'Plan pay &amp; tax'!C243</f>
        <v>9</v>
      </c>
      <c r="E17" s="109"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false" outlineLevel="0" collapsed="false">
      <c r="B18" s="1" t="n">
        <v>10</v>
      </c>
      <c r="C18" s="1" t="n">
        <f aca="false">IF(B18&lt;=F_N,1,0)</f>
        <v>1</v>
      </c>
      <c r="D18" s="1" t="n">
        <f aca="false">'Plan pay &amp; tax'!C244</f>
        <v>10</v>
      </c>
      <c r="E18" s="109"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false" outlineLevel="0" collapsed="false">
      <c r="B19" s="1" t="n">
        <v>11</v>
      </c>
      <c r="C19" s="1" t="n">
        <f aca="false">IF(B19&lt;=F_N,1,0)</f>
        <v>1</v>
      </c>
      <c r="D19" s="1" t="n">
        <f aca="false">'Plan pay &amp; tax'!C245</f>
        <v>11</v>
      </c>
      <c r="E19" s="109"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false" outlineLevel="0" collapsed="false">
      <c r="B20" s="1" t="n">
        <v>12</v>
      </c>
      <c r="C20" s="1" t="n">
        <f aca="false">IF(B20&lt;=F_N,1,0)</f>
        <v>1</v>
      </c>
      <c r="D20" s="1" t="n">
        <f aca="false">'Plan pay &amp; tax'!C246</f>
        <v>12</v>
      </c>
      <c r="E20" s="109"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false" outlineLevel="0" collapsed="false">
      <c r="B21" s="1" t="n">
        <v>13</v>
      </c>
      <c r="C21" s="1" t="n">
        <f aca="false">IF(B21&lt;=F_N,1,0)</f>
        <v>1</v>
      </c>
      <c r="D21" s="1" t="n">
        <f aca="false">'Plan pay &amp; tax'!C247</f>
        <v>13</v>
      </c>
      <c r="E21" s="109"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false" outlineLevel="0" collapsed="false">
      <c r="B22" s="1" t="n">
        <v>14</v>
      </c>
      <c r="C22" s="1" t="n">
        <f aca="false">IF(B22&lt;=F_N,1,0)</f>
        <v>1</v>
      </c>
      <c r="D22" s="1" t="n">
        <f aca="false">'Plan pay &amp; tax'!C248</f>
        <v>14</v>
      </c>
      <c r="E22" s="109"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false" outlineLevel="0" collapsed="false">
      <c r="B23" s="1" t="n">
        <v>15</v>
      </c>
      <c r="C23" s="1" t="n">
        <f aca="false">IF(B23&lt;=F_N,1,0)</f>
        <v>1</v>
      </c>
      <c r="D23" s="1" t="n">
        <f aca="false">'Plan pay &amp; tax'!C249</f>
        <v>15</v>
      </c>
      <c r="E23" s="109"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false" outlineLevel="0" collapsed="false">
      <c r="B24" s="1" t="n">
        <v>16</v>
      </c>
      <c r="C24" s="1" t="n">
        <f aca="false">IF(B24&lt;=F_N,1,0)</f>
        <v>1</v>
      </c>
      <c r="D24" s="1" t="n">
        <f aca="false">'Plan pay &amp; tax'!C250</f>
        <v>16</v>
      </c>
      <c r="E24" s="109"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false" outlineLevel="0" collapsed="false">
      <c r="B25" s="1" t="n">
        <v>17</v>
      </c>
      <c r="C25" s="1" t="n">
        <f aca="false">IF(B25&lt;=F_N,1,0)</f>
        <v>1</v>
      </c>
      <c r="D25" s="1" t="n">
        <f aca="false">'Plan pay &amp; tax'!C251</f>
        <v>17</v>
      </c>
      <c r="E25" s="109"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false" outlineLevel="0" collapsed="false">
      <c r="B26" s="1" t="n">
        <v>18</v>
      </c>
      <c r="C26" s="1" t="n">
        <f aca="false">IF(B26&lt;=F_N,1,0)</f>
        <v>1</v>
      </c>
      <c r="D26" s="1" t="n">
        <f aca="false">'Plan pay &amp; tax'!C252</f>
        <v>18</v>
      </c>
      <c r="E26" s="109"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false" outlineLevel="0" collapsed="false">
      <c r="B27" s="1" t="n">
        <v>19</v>
      </c>
      <c r="C27" s="1" t="n">
        <f aca="false">IF(B27&lt;=F_N,1,0)</f>
        <v>1</v>
      </c>
      <c r="D27" s="1" t="n">
        <f aca="false">'Plan pay &amp; tax'!C253</f>
        <v>19</v>
      </c>
      <c r="E27" s="109"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false" outlineLevel="0" collapsed="false">
      <c r="B28" s="1" t="n">
        <v>20</v>
      </c>
      <c r="C28" s="1" t="n">
        <f aca="false">IF(B28&lt;=F_N,1,0)</f>
        <v>1</v>
      </c>
      <c r="D28" s="1" t="n">
        <f aca="false">'Plan pay &amp; tax'!C254</f>
        <v>20</v>
      </c>
      <c r="E28" s="109"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false" outlineLevel="0" collapsed="false">
      <c r="B29" s="1" t="n">
        <v>21</v>
      </c>
      <c r="C29" s="1" t="n">
        <f aca="false">IF(B29&lt;=F_N,1,0)</f>
        <v>1</v>
      </c>
      <c r="D29" s="1" t="n">
        <f aca="false">'Plan pay &amp; tax'!C255</f>
        <v>21</v>
      </c>
      <c r="E29" s="109"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false" outlineLevel="0" collapsed="false">
      <c r="B30" s="1" t="n">
        <v>22</v>
      </c>
      <c r="C30" s="1" t="n">
        <f aca="false">IF(B30&lt;=F_N,1,0)</f>
        <v>1</v>
      </c>
      <c r="D30" s="1" t="n">
        <f aca="false">'Plan pay &amp; tax'!C256</f>
        <v>22</v>
      </c>
      <c r="E30" s="109"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false" outlineLevel="0" collapsed="false">
      <c r="B31" s="1" t="n">
        <v>23</v>
      </c>
      <c r="C31" s="1" t="n">
        <f aca="false">IF(B31&lt;=F_N,1,0)</f>
        <v>1</v>
      </c>
      <c r="D31" s="1" t="n">
        <f aca="false">'Plan pay &amp; tax'!C257</f>
        <v>23</v>
      </c>
      <c r="E31" s="109"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false" outlineLevel="0" collapsed="false">
      <c r="B32" s="1" t="n">
        <v>24</v>
      </c>
      <c r="C32" s="1" t="n">
        <f aca="false">IF(B32&lt;=F_N,1,0)</f>
        <v>1</v>
      </c>
      <c r="D32" s="1" t="n">
        <f aca="false">'Plan pay &amp; tax'!C258</f>
        <v>24</v>
      </c>
      <c r="E32" s="109"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false" outlineLevel="0" collapsed="false">
      <c r="B33" s="1" t="n">
        <v>25</v>
      </c>
      <c r="C33" s="1" t="n">
        <f aca="false">IF(B33&lt;=F_N,1,0)</f>
        <v>1</v>
      </c>
      <c r="D33" s="1" t="n">
        <f aca="false">'Plan pay &amp; tax'!C259</f>
        <v>25</v>
      </c>
      <c r="E33" s="109"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false" outlineLevel="0" collapsed="false">
      <c r="B34" s="1" t="n">
        <v>26</v>
      </c>
      <c r="C34" s="1" t="n">
        <f aca="false">IF(B34&lt;=F_N,1,0)</f>
        <v>1</v>
      </c>
      <c r="D34" s="1" t="n">
        <f aca="false">'Plan pay &amp; tax'!C260</f>
        <v>26</v>
      </c>
      <c r="E34" s="109"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false" outlineLevel="0" collapsed="false">
      <c r="B35" s="1" t="n">
        <v>27</v>
      </c>
      <c r="C35" s="1" t="n">
        <f aca="false">IF(B35&lt;=F_N,1,0)</f>
        <v>1</v>
      </c>
      <c r="D35" s="1" t="n">
        <f aca="false">'Plan pay &amp; tax'!C261</f>
        <v>27</v>
      </c>
      <c r="E35" s="109"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false" outlineLevel="0" collapsed="false">
      <c r="B36" s="1" t="n">
        <v>28</v>
      </c>
      <c r="C36" s="1" t="n">
        <f aca="false">IF(B36&lt;=F_N,1,0)</f>
        <v>1</v>
      </c>
      <c r="D36" s="1" t="n">
        <f aca="false">'Plan pay &amp; tax'!C262</f>
        <v>28</v>
      </c>
      <c r="E36" s="109"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false" outlineLevel="0" collapsed="false">
      <c r="B37" s="1" t="n">
        <v>29</v>
      </c>
      <c r="C37" s="1" t="n">
        <f aca="false">IF(B37&lt;=F_N,1,0)</f>
        <v>1</v>
      </c>
      <c r="D37" s="1" t="n">
        <f aca="false">'Plan pay &amp; tax'!C263</f>
        <v>29</v>
      </c>
      <c r="E37" s="109"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false" outlineLevel="0" collapsed="false">
      <c r="B38" s="1" t="n">
        <v>30</v>
      </c>
      <c r="C38" s="1" t="n">
        <f aca="false">IF(B38&lt;=F_N,1,0)</f>
        <v>1</v>
      </c>
      <c r="D38" s="1" t="n">
        <f aca="false">'Plan pay &amp; tax'!C264</f>
        <v>30</v>
      </c>
      <c r="E38" s="109"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false" outlineLevel="0" collapsed="false">
      <c r="B39" s="1" t="n">
        <v>31</v>
      </c>
      <c r="C39" s="1" t="n">
        <f aca="false">IF(B39&lt;=F_N,1,0)</f>
        <v>1</v>
      </c>
      <c r="D39" s="1" t="n">
        <f aca="false">'Plan pay &amp; tax'!C265</f>
        <v>31</v>
      </c>
      <c r="E39" s="109"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false" outlineLevel="0" collapsed="false">
      <c r="B40" s="1" t="n">
        <v>32</v>
      </c>
      <c r="C40" s="1" t="n">
        <f aca="false">IF(B40&lt;=F_N,1,0)</f>
        <v>1</v>
      </c>
      <c r="D40" s="1" t="n">
        <f aca="false">'Plan pay &amp; tax'!C266</f>
        <v>32</v>
      </c>
      <c r="E40" s="109"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false" outlineLevel="0" collapsed="false">
      <c r="B41" s="1" t="n">
        <v>33</v>
      </c>
      <c r="C41" s="1" t="n">
        <f aca="false">IF(B41&lt;=F_N,1,0)</f>
        <v>1</v>
      </c>
      <c r="D41" s="1" t="n">
        <f aca="false">'Plan pay &amp; tax'!C267</f>
        <v>33</v>
      </c>
      <c r="E41" s="109"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false" outlineLevel="0" collapsed="false">
      <c r="B42" s="1" t="n">
        <v>34</v>
      </c>
      <c r="C42" s="1" t="n">
        <f aca="false">IF(B42&lt;=F_N,1,0)</f>
        <v>1</v>
      </c>
      <c r="D42" s="1" t="n">
        <f aca="false">'Plan pay &amp; tax'!C268</f>
        <v>34</v>
      </c>
      <c r="E42" s="109"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false" outlineLevel="0" collapsed="false">
      <c r="B43" s="1" t="n">
        <v>35</v>
      </c>
      <c r="C43" s="1" t="n">
        <f aca="false">IF(B43&lt;=F_N,1,0)</f>
        <v>1</v>
      </c>
      <c r="D43" s="1" t="n">
        <f aca="false">'Plan pay &amp; tax'!C269</f>
        <v>35</v>
      </c>
      <c r="E43" s="109"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false" outlineLevel="0" collapsed="false">
      <c r="B44" s="1" t="n">
        <v>36</v>
      </c>
      <c r="C44" s="1" t="n">
        <f aca="false">IF(B44&lt;=F_N,1,0)</f>
        <v>1</v>
      </c>
      <c r="D44" s="1" t="n">
        <f aca="false">'Plan pay &amp; tax'!C270</f>
        <v>36</v>
      </c>
      <c r="E44" s="109"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false" outlineLevel="0" collapsed="false">
      <c r="B45" s="1" t="n">
        <v>37</v>
      </c>
      <c r="C45" s="1" t="n">
        <f aca="false">IF(B45&lt;=F_N,1,0)</f>
        <v>1</v>
      </c>
      <c r="D45" s="1" t="n">
        <f aca="false">'Plan pay &amp; tax'!C271</f>
        <v>37</v>
      </c>
      <c r="E45" s="109"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false" outlineLevel="0" collapsed="false">
      <c r="B46" s="1" t="n">
        <v>38</v>
      </c>
      <c r="C46" s="1" t="n">
        <f aca="false">IF(B46&lt;=F_N,1,0)</f>
        <v>1</v>
      </c>
      <c r="D46" s="1" t="n">
        <f aca="false">'Plan pay &amp; tax'!C272</f>
        <v>38</v>
      </c>
      <c r="E46" s="109"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false" outlineLevel="0" collapsed="false">
      <c r="B47" s="1" t="n">
        <v>39</v>
      </c>
      <c r="C47" s="1" t="n">
        <f aca="false">IF(B47&lt;=F_N,1,0)</f>
        <v>1</v>
      </c>
      <c r="D47" s="1" t="n">
        <f aca="false">'Plan pay &amp; tax'!C273</f>
        <v>39</v>
      </c>
      <c r="E47" s="109"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false" outlineLevel="0" collapsed="false">
      <c r="B48" s="1" t="n">
        <v>40</v>
      </c>
      <c r="C48" s="1" t="n">
        <f aca="false">IF(B48&lt;=F_N,1,0)</f>
        <v>1</v>
      </c>
      <c r="D48" s="1" t="n">
        <f aca="false">'Plan pay &amp; tax'!C274</f>
        <v>40</v>
      </c>
      <c r="E48" s="109"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false" outlineLevel="0" collapsed="false">
      <c r="B49" s="1" t="n">
        <v>41</v>
      </c>
      <c r="C49" s="1" t="n">
        <f aca="false">IF(B49&lt;=F_N,1,0)</f>
        <v>1</v>
      </c>
      <c r="D49" s="1" t="n">
        <f aca="false">'Plan pay &amp; tax'!C275</f>
        <v>41</v>
      </c>
      <c r="E49" s="109"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false" outlineLevel="0" collapsed="false">
      <c r="B50" s="1" t="n">
        <v>42</v>
      </c>
      <c r="C50" s="1" t="n">
        <f aca="false">IF(B50&lt;=F_N,1,0)</f>
        <v>1</v>
      </c>
      <c r="D50" s="1" t="n">
        <f aca="false">'Plan pay &amp; tax'!C276</f>
        <v>42</v>
      </c>
      <c r="E50" s="109"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false" outlineLevel="0" collapsed="false">
      <c r="B51" s="1" t="n">
        <v>43</v>
      </c>
      <c r="C51" s="1" t="n">
        <f aca="false">IF(B51&lt;=F_N,1,0)</f>
        <v>1</v>
      </c>
      <c r="D51" s="1" t="n">
        <f aca="false">'Plan pay &amp; tax'!C277</f>
        <v>43</v>
      </c>
      <c r="E51" s="109"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false" outlineLevel="0" collapsed="false">
      <c r="B52" s="1" t="n">
        <v>44</v>
      </c>
      <c r="C52" s="1" t="n">
        <f aca="false">IF(B52&lt;=F_N,1,0)</f>
        <v>1</v>
      </c>
      <c r="D52" s="1" t="n">
        <f aca="false">'Plan pay &amp; tax'!C278</f>
        <v>44</v>
      </c>
      <c r="E52" s="109"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false" outlineLevel="0" collapsed="false">
      <c r="B53" s="1" t="n">
        <v>45</v>
      </c>
      <c r="C53" s="1" t="n">
        <f aca="false">IF(B53&lt;=F_N,1,0)</f>
        <v>1</v>
      </c>
      <c r="D53" s="1" t="n">
        <f aca="false">'Plan pay &amp; tax'!C279</f>
        <v>45</v>
      </c>
      <c r="E53" s="109"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false" outlineLevel="0" collapsed="false">
      <c r="B54" s="1" t="n">
        <v>46</v>
      </c>
      <c r="C54" s="1" t="n">
        <f aca="false">IF(B54&lt;=F_N,1,0)</f>
        <v>1</v>
      </c>
      <c r="D54" s="1" t="n">
        <f aca="false">'Plan pay &amp; tax'!C280</f>
        <v>46</v>
      </c>
      <c r="E54" s="109"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false" outlineLevel="0" collapsed="false">
      <c r="B55" s="1" t="n">
        <v>47</v>
      </c>
      <c r="C55" s="1" t="n">
        <f aca="false">IF(B55&lt;=F_N,1,0)</f>
        <v>1</v>
      </c>
      <c r="D55" s="1" t="n">
        <f aca="false">'Plan pay &amp; tax'!C281</f>
        <v>47</v>
      </c>
      <c r="E55" s="109"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false" outlineLevel="0" collapsed="false">
      <c r="B56" s="1" t="n">
        <v>48</v>
      </c>
      <c r="C56" s="1" t="n">
        <f aca="false">IF(B56&lt;=F_N,1,0)</f>
        <v>1</v>
      </c>
      <c r="D56" s="1" t="n">
        <f aca="false">'Plan pay &amp; tax'!C282</f>
        <v>48</v>
      </c>
      <c r="E56" s="109"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false" outlineLevel="0" collapsed="false">
      <c r="B57" s="1" t="n">
        <v>49</v>
      </c>
      <c r="C57" s="1" t="n">
        <f aca="false">IF(B57&lt;=F_N,1,0)</f>
        <v>1</v>
      </c>
      <c r="D57" s="1" t="n">
        <f aca="false">'Plan pay &amp; tax'!C283</f>
        <v>49</v>
      </c>
      <c r="E57" s="109"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false" outlineLevel="0" collapsed="false">
      <c r="B58" s="1" t="n">
        <v>50</v>
      </c>
      <c r="C58" s="1" t="n">
        <f aca="false">IF(B58&lt;=F_N,1,0)</f>
        <v>1</v>
      </c>
      <c r="D58" s="1" t="n">
        <f aca="false">'Plan pay &amp; tax'!C284</f>
        <v>50</v>
      </c>
      <c r="E58" s="109"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false" outlineLevel="0" collapsed="false">
      <c r="B59" s="1" t="n">
        <v>51</v>
      </c>
      <c r="C59" s="1" t="n">
        <f aca="false">IF(B59&lt;=F_N,1,0)</f>
        <v>1</v>
      </c>
      <c r="D59" s="1" t="n">
        <f aca="false">'Plan pay &amp; tax'!C285</f>
        <v>51</v>
      </c>
      <c r="E59" s="109"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false" outlineLevel="0" collapsed="false">
      <c r="B60" s="1" t="n">
        <v>52</v>
      </c>
      <c r="C60" s="1" t="n">
        <f aca="false">IF(B60&lt;=F_N,1,0)</f>
        <v>1</v>
      </c>
      <c r="D60" s="1" t="n">
        <f aca="false">'Plan pay &amp; tax'!C286</f>
        <v>52</v>
      </c>
      <c r="E60" s="109"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false" outlineLevel="0" collapsed="false">
      <c r="B61" s="1" t="n">
        <v>53</v>
      </c>
      <c r="C61" s="1" t="n">
        <f aca="false">IF(B61&lt;=F_N,1,0)</f>
        <v>1</v>
      </c>
      <c r="D61" s="1" t="n">
        <f aca="false">'Plan pay &amp; tax'!C287</f>
        <v>53</v>
      </c>
      <c r="E61" s="109"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false" outlineLevel="0" collapsed="false">
      <c r="B62" s="1" t="n">
        <v>54</v>
      </c>
      <c r="C62" s="1" t="n">
        <f aca="false">IF(B62&lt;=F_N,1,0)</f>
        <v>1</v>
      </c>
      <c r="D62" s="1" t="n">
        <f aca="false">'Plan pay &amp; tax'!C288</f>
        <v>54</v>
      </c>
      <c r="E62" s="109"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false" outlineLevel="0" collapsed="false">
      <c r="B63" s="1" t="n">
        <v>55</v>
      </c>
      <c r="C63" s="1" t="n">
        <f aca="false">IF(B63&lt;=F_N,1,0)</f>
        <v>1</v>
      </c>
      <c r="D63" s="1" t="n">
        <f aca="false">'Plan pay &amp; tax'!C289</f>
        <v>55</v>
      </c>
      <c r="E63" s="109"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false" outlineLevel="0" collapsed="false">
      <c r="B64" s="1" t="n">
        <v>56</v>
      </c>
      <c r="C64" s="1" t="n">
        <f aca="false">IF(B64&lt;=F_N,1,0)</f>
        <v>1</v>
      </c>
      <c r="D64" s="1" t="n">
        <f aca="false">'Plan pay &amp; tax'!C290</f>
        <v>56</v>
      </c>
      <c r="E64" s="109"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false" outlineLevel="0" collapsed="false">
      <c r="B65" s="1" t="n">
        <v>57</v>
      </c>
      <c r="C65" s="1" t="n">
        <f aca="false">IF(B65&lt;=F_N,1,0)</f>
        <v>1</v>
      </c>
      <c r="D65" s="1" t="n">
        <f aca="false">'Plan pay &amp; tax'!C291</f>
        <v>57</v>
      </c>
      <c r="E65" s="109"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false" outlineLevel="0" collapsed="false">
      <c r="B66" s="1" t="n">
        <v>58</v>
      </c>
      <c r="C66" s="1" t="n">
        <f aca="false">IF(B66&lt;=F_N,1,0)</f>
        <v>1</v>
      </c>
      <c r="D66" s="1" t="n">
        <f aca="false">'Plan pay &amp; tax'!C292</f>
        <v>58</v>
      </c>
      <c r="E66" s="109"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false" outlineLevel="0" collapsed="false">
      <c r="B67" s="1" t="n">
        <v>59</v>
      </c>
      <c r="C67" s="1" t="n">
        <f aca="false">IF(B67&lt;=F_N,1,0)</f>
        <v>1</v>
      </c>
      <c r="D67" s="1" t="n">
        <f aca="false">'Plan pay &amp; tax'!C293</f>
        <v>59</v>
      </c>
      <c r="E67" s="109"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false" outlineLevel="0" collapsed="false">
      <c r="B68" s="1" t="n">
        <v>60</v>
      </c>
      <c r="C68" s="1" t="n">
        <f aca="false">IF(B68&lt;=F_N,1,0)</f>
        <v>1</v>
      </c>
      <c r="D68" s="1" t="n">
        <f aca="false">'Plan pay &amp; tax'!C294</f>
        <v>60</v>
      </c>
      <c r="E68" s="109"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false" outlineLevel="0" collapsed="false">
      <c r="B69" s="1" t="n">
        <v>61</v>
      </c>
      <c r="C69" s="1" t="n">
        <f aca="false">IF(B69&lt;=F_N,1,0)</f>
        <v>1</v>
      </c>
      <c r="D69" s="1" t="n">
        <f aca="false">'Plan pay &amp; tax'!C295</f>
        <v>61</v>
      </c>
      <c r="E69" s="109"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false" outlineLevel="0" collapsed="false">
      <c r="B70" s="1" t="n">
        <v>62</v>
      </c>
      <c r="C70" s="1" t="n">
        <f aca="false">IF(B70&lt;=F_N,1,0)</f>
        <v>1</v>
      </c>
      <c r="D70" s="1" t="n">
        <f aca="false">'Plan pay &amp; tax'!C296</f>
        <v>62</v>
      </c>
      <c r="E70" s="109"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false" outlineLevel="0" collapsed="false">
      <c r="B71" s="1" t="n">
        <v>63</v>
      </c>
      <c r="C71" s="1" t="n">
        <f aca="false">IF(B71&lt;=F_N,1,0)</f>
        <v>1</v>
      </c>
      <c r="D71" s="1" t="n">
        <f aca="false">'Plan pay &amp; tax'!C297</f>
        <v>63</v>
      </c>
      <c r="E71" s="109"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false" outlineLevel="0" collapsed="false">
      <c r="B72" s="1" t="n">
        <v>64</v>
      </c>
      <c r="C72" s="1" t="n">
        <f aca="false">IF(B72&lt;=F_N,1,0)</f>
        <v>1</v>
      </c>
      <c r="D72" s="1" t="n">
        <f aca="false">'Plan pay &amp; tax'!C298</f>
        <v>64</v>
      </c>
      <c r="E72" s="109"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false" outlineLevel="0" collapsed="false">
      <c r="B73" s="1" t="n">
        <v>65</v>
      </c>
      <c r="C73" s="1" t="n">
        <f aca="false">IF(B73&lt;=F_N,1,0)</f>
        <v>1</v>
      </c>
      <c r="D73" s="1" t="n">
        <f aca="false">'Plan pay &amp; tax'!C299</f>
        <v>65</v>
      </c>
      <c r="E73" s="109"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false" outlineLevel="0" collapsed="false">
      <c r="B74" s="1" t="n">
        <v>66</v>
      </c>
      <c r="C74" s="1" t="n">
        <f aca="false">IF(B74&lt;=F_N,1,0)</f>
        <v>1</v>
      </c>
      <c r="D74" s="1" t="n">
        <f aca="false">'Plan pay &amp; tax'!C300</f>
        <v>66</v>
      </c>
      <c r="E74" s="109"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false" outlineLevel="0" collapsed="false">
      <c r="B75" s="1" t="n">
        <v>67</v>
      </c>
      <c r="C75" s="1" t="n">
        <f aca="false">IF(B75&lt;=F_N,1,0)</f>
        <v>1</v>
      </c>
      <c r="D75" s="1" t="n">
        <f aca="false">'Plan pay &amp; tax'!C301</f>
        <v>67</v>
      </c>
      <c r="E75" s="109"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false" outlineLevel="0" collapsed="false">
      <c r="B76" s="1" t="n">
        <v>68</v>
      </c>
      <c r="C76" s="1" t="n">
        <f aca="false">IF(B76&lt;=F_N,1,0)</f>
        <v>1</v>
      </c>
      <c r="D76" s="1" t="n">
        <f aca="false">'Plan pay &amp; tax'!C302</f>
        <v>68</v>
      </c>
      <c r="E76" s="109"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false" outlineLevel="0" collapsed="false">
      <c r="B77" s="1" t="n">
        <v>69</v>
      </c>
      <c r="C77" s="1" t="n">
        <f aca="false">IF(B77&lt;=F_N,1,0)</f>
        <v>1</v>
      </c>
      <c r="D77" s="1" t="n">
        <f aca="false">'Plan pay &amp; tax'!C303</f>
        <v>69</v>
      </c>
      <c r="E77" s="109"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false" outlineLevel="0" collapsed="false">
      <c r="B78" s="1" t="n">
        <v>70</v>
      </c>
      <c r="C78" s="1" t="n">
        <f aca="false">IF(B78&lt;=F_N,1,0)</f>
        <v>1</v>
      </c>
      <c r="D78" s="1" t="n">
        <f aca="false">'Plan pay &amp; tax'!C304</f>
        <v>70</v>
      </c>
      <c r="E78" s="109"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false" outlineLevel="0" collapsed="false">
      <c r="B79" s="1" t="n">
        <v>71</v>
      </c>
      <c r="C79" s="1" t="n">
        <f aca="false">IF(B79&lt;=F_N,1,0)</f>
        <v>1</v>
      </c>
      <c r="D79" s="1" t="n">
        <f aca="false">'Plan pay &amp; tax'!C305</f>
        <v>71</v>
      </c>
      <c r="E79" s="109"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false" outlineLevel="0" collapsed="false">
      <c r="B80" s="1" t="n">
        <v>72</v>
      </c>
      <c r="C80" s="1" t="n">
        <f aca="false">IF(B80&lt;=F_N,1,0)</f>
        <v>1</v>
      </c>
      <c r="D80" s="1" t="n">
        <f aca="false">'Plan pay &amp; tax'!C306</f>
        <v>72</v>
      </c>
      <c r="E80" s="109"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false" outlineLevel="0" collapsed="false">
      <c r="B81" s="1" t="n">
        <v>73</v>
      </c>
      <c r="C81" s="1" t="n">
        <f aca="false">IF(B81&lt;=F_N,1,0)</f>
        <v>1</v>
      </c>
      <c r="D81" s="1" t="n">
        <f aca="false">'Plan pay &amp; tax'!C307</f>
        <v>73</v>
      </c>
      <c r="E81" s="109"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false" outlineLevel="0" collapsed="false">
      <c r="B82" s="1" t="n">
        <v>74</v>
      </c>
      <c r="C82" s="1" t="n">
        <f aca="false">IF(B82&lt;=F_N,1,0)</f>
        <v>1</v>
      </c>
      <c r="D82" s="1" t="n">
        <f aca="false">'Plan pay &amp; tax'!C308</f>
        <v>74</v>
      </c>
      <c r="E82" s="109"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false" outlineLevel="0" collapsed="false">
      <c r="B83" s="1" t="n">
        <v>75</v>
      </c>
      <c r="C83" s="1" t="n">
        <f aca="false">IF(B83&lt;=F_N,1,0)</f>
        <v>1</v>
      </c>
      <c r="D83" s="1" t="n">
        <f aca="false">'Plan pay &amp; tax'!C309</f>
        <v>75</v>
      </c>
      <c r="E83" s="109"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false" outlineLevel="0" collapsed="false">
      <c r="B84" s="1" t="n">
        <v>76</v>
      </c>
      <c r="C84" s="1" t="n">
        <f aca="false">IF(B84&lt;=F_N,1,0)</f>
        <v>1</v>
      </c>
      <c r="D84" s="1" t="n">
        <f aca="false">'Plan pay &amp; tax'!C310</f>
        <v>76</v>
      </c>
      <c r="E84" s="109"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false" outlineLevel="0" collapsed="false">
      <c r="B85" s="1" t="n">
        <v>77</v>
      </c>
      <c r="C85" s="1" t="n">
        <f aca="false">IF(B85&lt;=F_N,1,0)</f>
        <v>1</v>
      </c>
      <c r="D85" s="1" t="n">
        <f aca="false">'Plan pay &amp; tax'!C311</f>
        <v>77</v>
      </c>
      <c r="E85" s="109"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false" outlineLevel="0" collapsed="false">
      <c r="B86" s="1" t="n">
        <v>78</v>
      </c>
      <c r="C86" s="1" t="n">
        <f aca="false">IF(B86&lt;=F_N,1,0)</f>
        <v>1</v>
      </c>
      <c r="D86" s="1" t="n">
        <f aca="false">'Plan pay &amp; tax'!C312</f>
        <v>78</v>
      </c>
      <c r="E86" s="109"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false" outlineLevel="0" collapsed="false">
      <c r="B87" s="1" t="n">
        <v>79</v>
      </c>
      <c r="C87" s="1" t="n">
        <f aca="false">IF(B87&lt;=F_N,1,0)</f>
        <v>1</v>
      </c>
      <c r="D87" s="1" t="n">
        <f aca="false">'Plan pay &amp; tax'!C313</f>
        <v>79</v>
      </c>
      <c r="E87" s="109"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false" outlineLevel="0" collapsed="false">
      <c r="B88" s="1" t="n">
        <v>80</v>
      </c>
      <c r="C88" s="1" t="n">
        <f aca="false">IF(B88&lt;=F_N,1,0)</f>
        <v>1</v>
      </c>
      <c r="D88" s="1" t="n">
        <f aca="false">'Plan pay &amp; tax'!C314</f>
        <v>80</v>
      </c>
      <c r="E88" s="109"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false" outlineLevel="0" collapsed="false">
      <c r="B89" s="1" t="n">
        <v>81</v>
      </c>
      <c r="C89" s="1" t="n">
        <f aca="false">IF(B89&lt;=F_N,1,0)</f>
        <v>1</v>
      </c>
      <c r="D89" s="1" t="n">
        <f aca="false">'Plan pay &amp; tax'!C315</f>
        <v>81</v>
      </c>
      <c r="E89" s="109"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false" outlineLevel="0" collapsed="false">
      <c r="B90" s="1" t="n">
        <v>82</v>
      </c>
      <c r="C90" s="1" t="n">
        <f aca="false">IF(B90&lt;=F_N,1,0)</f>
        <v>1</v>
      </c>
      <c r="D90" s="1" t="n">
        <f aca="false">'Plan pay &amp; tax'!C316</f>
        <v>82</v>
      </c>
      <c r="E90" s="109"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false" outlineLevel="0" collapsed="false">
      <c r="B91" s="1" t="n">
        <v>83</v>
      </c>
      <c r="C91" s="1" t="n">
        <f aca="false">IF(B91&lt;=F_N,1,0)</f>
        <v>1</v>
      </c>
      <c r="D91" s="1" t="n">
        <f aca="false">'Plan pay &amp; tax'!C317</f>
        <v>83</v>
      </c>
      <c r="E91" s="109"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false" outlineLevel="0" collapsed="false">
      <c r="B92" s="1" t="n">
        <v>84</v>
      </c>
      <c r="C92" s="1" t="n">
        <f aca="false">IF(B92&lt;=F_N,1,0)</f>
        <v>1</v>
      </c>
      <c r="D92" s="1" t="n">
        <f aca="false">'Plan pay &amp; tax'!C318</f>
        <v>84</v>
      </c>
      <c r="E92" s="109"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false" outlineLevel="0" collapsed="false">
      <c r="B93" s="1" t="n">
        <v>85</v>
      </c>
      <c r="C93" s="1" t="n">
        <f aca="false">IF(B93&lt;=F_N,1,0)</f>
        <v>1</v>
      </c>
      <c r="D93" s="1" t="n">
        <f aca="false">'Plan pay &amp; tax'!C319</f>
        <v>85</v>
      </c>
      <c r="E93" s="109"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false" outlineLevel="0" collapsed="false">
      <c r="B94" s="1" t="n">
        <v>86</v>
      </c>
      <c r="C94" s="1" t="n">
        <f aca="false">IF(B94&lt;=F_N,1,0)</f>
        <v>1</v>
      </c>
      <c r="D94" s="1" t="n">
        <f aca="false">'Plan pay &amp; tax'!C320</f>
        <v>86</v>
      </c>
      <c r="E94" s="109"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false" outlineLevel="0" collapsed="false">
      <c r="B95" s="1" t="n">
        <v>87</v>
      </c>
      <c r="C95" s="1" t="n">
        <f aca="false">IF(B95&lt;=F_N,1,0)</f>
        <v>1</v>
      </c>
      <c r="D95" s="1" t="n">
        <f aca="false">'Plan pay &amp; tax'!C321</f>
        <v>87</v>
      </c>
      <c r="E95" s="109"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false" outlineLevel="0" collapsed="false">
      <c r="B96" s="1" t="n">
        <v>88</v>
      </c>
      <c r="C96" s="1" t="n">
        <f aca="false">IF(B96&lt;=F_N,1,0)</f>
        <v>1</v>
      </c>
      <c r="D96" s="1" t="n">
        <f aca="false">'Plan pay &amp; tax'!C322</f>
        <v>88</v>
      </c>
      <c r="E96" s="109"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false" outlineLevel="0" collapsed="false">
      <c r="B97" s="1" t="n">
        <v>89</v>
      </c>
      <c r="C97" s="1" t="n">
        <f aca="false">IF(B97&lt;=F_N,1,0)</f>
        <v>1</v>
      </c>
      <c r="D97" s="1" t="n">
        <f aca="false">'Plan pay &amp; tax'!C323</f>
        <v>89</v>
      </c>
      <c r="E97" s="109"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35" hidden="false" customHeight="false" outlineLevel="0" collapsed="false">
      <c r="B1" s="90" t="s">
        <v>2484</v>
      </c>
    </row>
    <row r="2" customFormat="false" ht="48" hidden="false" customHeight="true" outlineLevel="0" collapsed="false">
      <c r="B2" s="91" t="s">
        <v>2485</v>
      </c>
      <c r="C2" s="91"/>
      <c r="D2" s="91"/>
      <c r="E2" s="91"/>
      <c r="F2" s="91"/>
      <c r="G2" s="91"/>
      <c r="H2" s="91"/>
      <c r="I2" s="91"/>
      <c r="J2" s="91"/>
      <c r="K2" s="91"/>
      <c r="L2" s="91"/>
    </row>
    <row r="4" customFormat="false" ht="15" hidden="false" customHeight="false" outlineLevel="0" collapsed="false">
      <c r="B4" s="111" t="s">
        <v>2486</v>
      </c>
    </row>
    <row r="5" customFormat="false" ht="45.75" hidden="false" customHeight="true" outlineLevel="0" collapsed="false">
      <c r="B5" s="98" t="s">
        <v>2487</v>
      </c>
      <c r="C5" s="98" t="s">
        <v>2488</v>
      </c>
      <c r="D5" s="98" t="s">
        <v>2489</v>
      </c>
      <c r="E5" s="98" t="s">
        <v>2490</v>
      </c>
      <c r="F5" s="98" t="s">
        <v>2491</v>
      </c>
      <c r="G5" s="98" t="s">
        <v>2492</v>
      </c>
    </row>
    <row r="6" customFormat="false" ht="15" hidden="false" customHeight="false" outlineLevel="0" collapsed="false">
      <c r="B6" s="1" t="s">
        <v>2493</v>
      </c>
      <c r="C6" s="1" t="s">
        <v>2494</v>
      </c>
      <c r="D6" s="1" t="n">
        <v>40000</v>
      </c>
      <c r="E6" s="1" t="n">
        <v>4</v>
      </c>
      <c r="F6" s="1" t="s">
        <v>2495</v>
      </c>
      <c r="G6" s="1" t="s">
        <v>2496</v>
      </c>
    </row>
    <row r="7" customFormat="false" ht="15" hidden="false" customHeight="false" outlineLevel="0" collapsed="false">
      <c r="B7" s="1" t="s">
        <v>2497</v>
      </c>
      <c r="C7" s="1" t="s">
        <v>2498</v>
      </c>
      <c r="D7" s="1" t="n">
        <v>40000</v>
      </c>
      <c r="E7" s="1" t="n">
        <v>0</v>
      </c>
      <c r="F7" s="1" t="s">
        <v>2497</v>
      </c>
      <c r="G7" s="1" t="s">
        <v>1424</v>
      </c>
    </row>
    <row r="8" customFormat="false" ht="15" hidden="false" customHeight="false" outlineLevel="0" collapsed="false">
      <c r="B8" s="1" t="s">
        <v>2499</v>
      </c>
      <c r="C8" s="1" t="s">
        <v>2500</v>
      </c>
      <c r="D8" s="1" t="n">
        <v>15000</v>
      </c>
      <c r="E8" s="1" t="n">
        <v>3</v>
      </c>
      <c r="F8" s="1" t="s">
        <v>2495</v>
      </c>
      <c r="G8" s="1" t="s">
        <v>2501</v>
      </c>
    </row>
    <row r="9" customFormat="false" ht="15" hidden="false" customHeight="false" outlineLevel="0" collapsed="false">
      <c r="B9" s="1" t="s">
        <v>2502</v>
      </c>
      <c r="C9" s="1" t="s">
        <v>2503</v>
      </c>
      <c r="D9" s="1" t="n">
        <v>30000</v>
      </c>
      <c r="E9" s="1" t="n">
        <v>10</v>
      </c>
      <c r="F9" s="1" t="s">
        <v>2495</v>
      </c>
      <c r="G9" s="1" t="s">
        <v>2504</v>
      </c>
    </row>
    <row r="10" customFormat="false" ht="15" hidden="false" customHeight="false" outlineLevel="0" collapsed="false">
      <c r="B10" s="1" t="s">
        <v>2505</v>
      </c>
      <c r="C10" s="1" t="s">
        <v>2506</v>
      </c>
      <c r="D10" s="1" t="n">
        <v>8000</v>
      </c>
      <c r="E10" s="1" t="n">
        <v>2</v>
      </c>
      <c r="F10" s="1" t="s">
        <v>2495</v>
      </c>
      <c r="G10" s="1" t="s">
        <v>2504</v>
      </c>
    </row>
    <row r="11" customFormat="false" ht="15" hidden="false" customHeight="false" outlineLevel="0" collapsed="false">
      <c r="B11" s="1" t="s">
        <v>2507</v>
      </c>
      <c r="C11" s="1" t="s">
        <v>2508</v>
      </c>
      <c r="D11" s="1" t="n">
        <v>25000</v>
      </c>
      <c r="E11" s="1" t="n">
        <v>5</v>
      </c>
      <c r="F11" s="1" t="s">
        <v>2495</v>
      </c>
      <c r="G11" s="1" t="s">
        <v>2504</v>
      </c>
    </row>
    <row r="12" customFormat="false" ht="15" hidden="false" customHeight="false" outlineLevel="0" collapsed="false">
      <c r="B12" s="1" t="s">
        <v>2509</v>
      </c>
      <c r="C12" s="1" t="s">
        <v>2510</v>
      </c>
      <c r="D12" s="1" t="n">
        <v>150000</v>
      </c>
      <c r="E12" s="1" t="n">
        <v>15</v>
      </c>
      <c r="F12" s="1" t="s">
        <v>2509</v>
      </c>
      <c r="G12" s="1" t="s">
        <v>2496</v>
      </c>
    </row>
    <row r="13" customFormat="false" ht="15" hidden="false" customHeight="false" outlineLevel="0" collapsed="false">
      <c r="B13" s="1" t="s">
        <v>2511</v>
      </c>
      <c r="C13" s="1" t="s">
        <v>2512</v>
      </c>
      <c r="D13" s="1" t="n">
        <v>15000</v>
      </c>
      <c r="E13" s="1" t="n">
        <v>2</v>
      </c>
      <c r="F13" s="1" t="s">
        <v>2513</v>
      </c>
      <c r="G13" s="1" t="s">
        <v>2504</v>
      </c>
    </row>
    <row r="14" customFormat="false" ht="15" hidden="false" customHeight="false" outlineLevel="0" collapsed="false">
      <c r="B14" s="1" t="s">
        <v>2514</v>
      </c>
      <c r="C14" s="1" t="s">
        <v>2515</v>
      </c>
      <c r="D14" s="1" t="n">
        <v>50000</v>
      </c>
      <c r="E14" s="1" t="n">
        <v>10</v>
      </c>
      <c r="F14" s="1" t="s">
        <v>2513</v>
      </c>
      <c r="G14" s="1" t="s">
        <v>2516</v>
      </c>
    </row>
    <row r="15" customFormat="false" ht="15" hidden="false" customHeight="false" outlineLevel="0" collapsed="false">
      <c r="B15" s="1" t="s">
        <v>2517</v>
      </c>
      <c r="C15" s="1" t="s">
        <v>2518</v>
      </c>
      <c r="D15" s="1" t="n">
        <v>20000</v>
      </c>
      <c r="E15" s="1" t="n">
        <v>8</v>
      </c>
      <c r="F15" s="1" t="s">
        <v>2495</v>
      </c>
      <c r="G15" s="1" t="s">
        <v>2504</v>
      </c>
    </row>
    <row r="16" customFormat="false" ht="15" hidden="false" customHeight="false" outlineLevel="0" collapsed="false">
      <c r="B16" s="1" t="s">
        <v>2519</v>
      </c>
      <c r="C16" s="1" t="s">
        <v>2520</v>
      </c>
      <c r="D16" s="1" t="n">
        <v>100000</v>
      </c>
      <c r="E16" s="1" t="n">
        <v>0</v>
      </c>
      <c r="F16" s="1" t="s">
        <v>2519</v>
      </c>
      <c r="G16" s="1" t="s">
        <v>2504</v>
      </c>
    </row>
    <row r="17" customFormat="false" ht="15" hidden="false" customHeight="false" outlineLevel="0" collapsed="false">
      <c r="B17" s="1" t="s">
        <v>2521</v>
      </c>
      <c r="C17" s="1" t="s">
        <v>2522</v>
      </c>
      <c r="D17" s="1" t="n">
        <v>25000</v>
      </c>
      <c r="E17" s="1" t="n">
        <v>3</v>
      </c>
      <c r="F17" s="1" t="s">
        <v>2495</v>
      </c>
      <c r="G17" s="1" t="s">
        <v>2504</v>
      </c>
    </row>
    <row r="18" customFormat="false" ht="15" hidden="false" customHeight="false" outlineLevel="0" collapsed="false">
      <c r="B18" s="1" t="s">
        <v>2523</v>
      </c>
      <c r="C18" s="1" t="s">
        <v>2524</v>
      </c>
      <c r="D18" s="1" t="n">
        <v>30000</v>
      </c>
      <c r="E18" s="1" t="n">
        <v>3</v>
      </c>
      <c r="F18" s="1" t="s">
        <v>2495</v>
      </c>
      <c r="G18" s="1" t="s">
        <v>2504</v>
      </c>
    </row>
    <row r="19" customFormat="false" ht="15" hidden="false" customHeight="false" outlineLevel="0" collapsed="false">
      <c r="B19" s="1" t="s">
        <v>2525</v>
      </c>
      <c r="C19" s="1" t="s">
        <v>2526</v>
      </c>
      <c r="D19" s="1" t="n">
        <v>10000</v>
      </c>
      <c r="E19" s="1" t="n">
        <v>5</v>
      </c>
      <c r="F19" s="1" t="s">
        <v>2495</v>
      </c>
      <c r="G19" s="1" t="s">
        <v>2501</v>
      </c>
    </row>
    <row r="20" customFormat="false" ht="15" hidden="false" customHeight="false" outlineLevel="0" collapsed="false">
      <c r="B20" s="1" t="s">
        <v>2527</v>
      </c>
      <c r="C20" s="1" t="s">
        <v>2528</v>
      </c>
      <c r="D20" s="1" t="n">
        <v>10000</v>
      </c>
      <c r="E20" s="1" t="n">
        <v>4</v>
      </c>
      <c r="F20" s="1" t="s">
        <v>2495</v>
      </c>
      <c r="G20" s="1" t="s">
        <v>2504</v>
      </c>
    </row>
    <row r="22" customFormat="false" ht="15" hidden="false" customHeight="false" outlineLevel="0" collapsed="false">
      <c r="B22" s="111" t="s">
        <v>2529</v>
      </c>
    </row>
    <row r="23" customFormat="false" ht="45.75" hidden="false" customHeight="true" outlineLevel="0" collapsed="false">
      <c r="B23" s="98" t="s">
        <v>289</v>
      </c>
      <c r="C23" s="98" t="s">
        <v>2530</v>
      </c>
      <c r="D23" s="98" t="s">
        <v>2491</v>
      </c>
      <c r="E23" s="98" t="s">
        <v>2531</v>
      </c>
      <c r="F23" s="98" t="s">
        <v>2532</v>
      </c>
      <c r="G23" s="98" t="s">
        <v>2533</v>
      </c>
      <c r="H23" s="98" t="s">
        <v>2534</v>
      </c>
      <c r="I23" s="98" t="s">
        <v>2535</v>
      </c>
      <c r="J23" s="98" t="s">
        <v>2536</v>
      </c>
      <c r="K23" s="98" t="s">
        <v>382</v>
      </c>
      <c r="L23" s="98" t="s">
        <v>1488</v>
      </c>
      <c r="M23" s="98" t="s">
        <v>2537</v>
      </c>
      <c r="N23" s="98" t="s">
        <v>2538</v>
      </c>
      <c r="O23" s="98" t="s">
        <v>2539</v>
      </c>
      <c r="P23" s="98" t="s">
        <v>2540</v>
      </c>
    </row>
    <row r="24" customFormat="false" ht="15" hidden="false" customHeight="false" outlineLevel="0" collapsed="false">
      <c r="B24" s="1" t="s">
        <v>1499</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false" outlineLevel="0" collapsed="false">
      <c r="B25" s="1" t="s">
        <v>1500</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false" outlineLevel="0" collapsed="false">
      <c r="B26" s="1" t="s">
        <v>1501</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false" outlineLevel="0" collapsed="false">
      <c r="B27" s="1" t="s">
        <v>1502</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false" outlineLevel="0" collapsed="false">
      <c r="B28" s="1" t="s">
        <v>1503</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false" outlineLevel="0" collapsed="false">
      <c r="B29" s="1" t="s">
        <v>1504</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false" outlineLevel="0" collapsed="false">
      <c r="B30" s="1" t="s">
        <v>1505</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false" outlineLevel="0" collapsed="false">
      <c r="B31" s="1" t="s">
        <v>1506</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false" outlineLevel="0" collapsed="false">
      <c r="B32" s="1" t="s">
        <v>1507</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false" outlineLevel="0" collapsed="false">
      <c r="B33" s="1" t="s">
        <v>1508</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false" outlineLevel="0" collapsed="false">
      <c r="B34" s="1" t="s">
        <v>1509</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false" outlineLevel="0" collapsed="false">
      <c r="B35" s="1" t="s">
        <v>1510</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false" outlineLevel="0" collapsed="false">
      <c r="B36" s="1" t="s">
        <v>1511</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false" outlineLevel="0" collapsed="false">
      <c r="B37" s="1" t="s">
        <v>1512</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false" outlineLevel="0" collapsed="false">
      <c r="B38" s="1" t="s">
        <v>1513</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false" outlineLevel="0" collapsed="false">
      <c r="B39" s="1" t="s">
        <v>1514</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false" outlineLevel="0" collapsed="false">
      <c r="B40" s="1" t="s">
        <v>1515</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false" outlineLevel="0" collapsed="false">
      <c r="B41" s="1" t="s">
        <v>1516</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false" outlineLevel="0" collapsed="false">
      <c r="B42" s="1" t="s">
        <v>1517</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false" outlineLevel="0" collapsed="false">
      <c r="B43" s="1" t="s">
        <v>1518</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false" outlineLevel="0" collapsed="false">
      <c r="B44" s="1" t="s">
        <v>1519</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false" outlineLevel="0" collapsed="false">
      <c r="B45" s="1" t="s">
        <v>1520</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false" outlineLevel="0" collapsed="false">
      <c r="B47" s="1" t="s">
        <v>2541</v>
      </c>
      <c r="D47" s="101" t="n">
        <f aca="false">IF(COUNT($M$24:$M$45)&gt;0,1,0)</f>
        <v>0</v>
      </c>
      <c r="E47" s="23"/>
    </row>
    <row r="48" customFormat="false" ht="15" hidden="false" customHeight="false" outlineLevel="0" collapsed="false">
      <c r="B48" s="1" t="s">
        <v>2542</v>
      </c>
      <c r="D48" s="101" t="n">
        <f aca="false">IF(COUNTIF(GL_Kind,"retire")&gt;0,1,0)</f>
        <v>0</v>
      </c>
      <c r="E48" s="23"/>
    </row>
    <row r="49" customFormat="false" ht="15" hidden="false" customHeight="false" outlineLevel="0" collapsed="false">
      <c r="B49" s="1" t="s">
        <v>2543</v>
      </c>
      <c r="D49" s="101" t="n">
        <f aca="false">IFERROR(MATCH("retire",GL_Kind,0),0)</f>
        <v>0</v>
      </c>
      <c r="E49" s="23"/>
    </row>
    <row r="50" customFormat="false" ht="15" hidden="false" customHeight="false" outlineLevel="0" collapsed="false">
      <c r="B50" s="1" t="s">
        <v>2544</v>
      </c>
      <c r="D50" s="101" t="n">
        <f aca="false">IF(RG_Row&gt;0,INDEX(GL_Amount,RG_Row),0)</f>
        <v>0</v>
      </c>
      <c r="E50" s="23"/>
    </row>
    <row r="52" customFormat="false" ht="15" hidden="false" customHeight="false" outlineLevel="0" collapsed="false">
      <c r="B52" s="111" t="s">
        <v>2545</v>
      </c>
    </row>
    <row r="53" customFormat="false" ht="45.75" hidden="false" customHeight="true" outlineLevel="0" collapsed="false">
      <c r="B53" s="98" t="s">
        <v>2546</v>
      </c>
      <c r="C53" s="98" t="s">
        <v>2547</v>
      </c>
      <c r="D53" s="98" t="s">
        <v>2548</v>
      </c>
      <c r="E53" s="98" t="s">
        <v>2530</v>
      </c>
      <c r="F53" s="98" t="s">
        <v>2491</v>
      </c>
      <c r="G53" s="98" t="s">
        <v>2549</v>
      </c>
      <c r="H53" s="98" t="s">
        <v>2550</v>
      </c>
      <c r="I53" s="98" t="s">
        <v>382</v>
      </c>
      <c r="J53" s="98" t="s">
        <v>2551</v>
      </c>
      <c r="K53" s="98" t="s">
        <v>2552</v>
      </c>
      <c r="L53" s="98" t="s">
        <v>2553</v>
      </c>
      <c r="M53" s="98" t="s">
        <v>2554</v>
      </c>
      <c r="N53" s="98" t="s">
        <v>2555</v>
      </c>
      <c r="O53" s="98" t="s">
        <v>2556</v>
      </c>
      <c r="P53" s="98" t="s">
        <v>2557</v>
      </c>
      <c r="Q53" s="98" t="s">
        <v>2558</v>
      </c>
      <c r="R53" s="98" t="s">
        <v>2559</v>
      </c>
      <c r="S53" s="98" t="s">
        <v>2560</v>
      </c>
      <c r="T53" s="98" t="s">
        <v>2561</v>
      </c>
      <c r="U53" s="98" t="s">
        <v>2562</v>
      </c>
      <c r="V53" s="98" t="s">
        <v>2563</v>
      </c>
      <c r="W53" s="98" t="s">
        <v>2564</v>
      </c>
      <c r="X53" s="98" t="s">
        <v>2565</v>
      </c>
    </row>
    <row r="54" customFormat="false" ht="15" hidden="false" customHeight="fals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2"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fals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2"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fals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2"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fals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2"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fals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2"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fals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2"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fals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2"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fals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2"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fals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2"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fals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2"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fals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2"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fals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2"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fals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2"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fals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2"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fals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2"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fals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2"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fals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2"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fals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2"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fals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2"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fals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2"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false" outlineLevel="0" collapsed="false">
      <c r="B75" s="1" t="s">
        <v>2566</v>
      </c>
      <c r="D75" s="101" t="n">
        <f aca="false">IF(SUM($O$54:$O$73)&gt;0,1,0)</f>
        <v>0</v>
      </c>
      <c r="E75" s="23"/>
    </row>
    <row r="76" customFormat="false" ht="15" hidden="false" customHeight="false" outlineLevel="0" collapsed="false">
      <c r="B76" s="1" t="s">
        <v>2567</v>
      </c>
      <c r="D76" s="101" t="n">
        <f aca="false">IF(HasSafety=1,0,MIN($T$73,AS_Months*F_EssM))</f>
        <v>0</v>
      </c>
      <c r="E76" s="23"/>
    </row>
    <row r="77" customFormat="false" ht="15" hidden="false" customHeight="false" outlineLevel="0" collapsed="false">
      <c r="B77" s="1" t="s">
        <v>2568</v>
      </c>
      <c r="D77" s="101" t="n">
        <f aca="false">$T$73-Init_Buf0+F_Invest</f>
        <v>0</v>
      </c>
      <c r="E77" s="23"/>
    </row>
    <row r="78" customFormat="false" ht="15" hidden="false" customHeight="false" outlineLevel="0" collapsed="false">
      <c r="B78" s="1" t="s">
        <v>2569</v>
      </c>
      <c r="D78" s="101" t="n">
        <f aca="false">$W$73</f>
        <v>0</v>
      </c>
      <c r="E78" s="23"/>
    </row>
    <row r="79" customFormat="false" ht="15" hidden="false" customHeight="false" outlineLevel="0" collapsed="false">
      <c r="B79" s="1" t="s">
        <v>2570</v>
      </c>
      <c r="D79" s="101" t="n">
        <f aca="false">(1-AS_InvShare)*AS_Cash+AS_InvShare*AS_Inv</f>
        <v>0.0164</v>
      </c>
      <c r="E79" s="23"/>
    </row>
    <row r="80" customFormat="false" ht="15" hidden="false" customHeight="false" outlineLevel="0" collapsed="false">
      <c r="B80" s="1" t="s">
        <v>2571</v>
      </c>
      <c r="D80" s="101" t="n">
        <f aca="false">SUM($G$24:$G$45)</f>
        <v>0</v>
      </c>
      <c r="E80" s="23"/>
    </row>
    <row r="81" customFormat="false" ht="15" hidden="false" customHeight="false" outlineLevel="0" collapsed="false">
      <c r="B81" s="1" t="s">
        <v>2572</v>
      </c>
      <c r="D81" s="101" t="n">
        <f aca="false">IF(Slots_Funded&gt;20,1,0)</f>
        <v>0</v>
      </c>
      <c r="E81" s="23"/>
    </row>
    <row r="82" customFormat="false" ht="15" hidden="false" customHeight="false" outlineLevel="0" collapsed="false">
      <c r="B82" s="1" t="s">
        <v>2573</v>
      </c>
      <c r="D82" s="101" t="n">
        <f aca="false">COUNTIF(GL_Key,"?*")</f>
        <v>0</v>
      </c>
      <c r="E82" s="23"/>
    </row>
    <row r="83" customFormat="false" ht="15" hidden="false" customHeight="false" outlineLevel="0" collapsed="false">
      <c r="B83" s="1" t="s">
        <v>2574</v>
      </c>
      <c r="D83" s="101"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false" outlineLevel="0" collapsed="false">
      <c r="B85" s="111" t="s">
        <v>2575</v>
      </c>
    </row>
    <row r="86" customFormat="false" ht="45.75" hidden="false" customHeight="true" outlineLevel="0" collapsed="false">
      <c r="B86" s="98" t="s">
        <v>2546</v>
      </c>
      <c r="C86" s="98" t="s">
        <v>2576</v>
      </c>
      <c r="D86" s="98" t="s">
        <v>2577</v>
      </c>
      <c r="E86" s="98" t="s">
        <v>2578</v>
      </c>
      <c r="F86" s="98" t="s">
        <v>2579</v>
      </c>
      <c r="G86" s="98" t="s">
        <v>2580</v>
      </c>
      <c r="H86" s="98" t="s">
        <v>2581</v>
      </c>
      <c r="I86" s="98" t="s">
        <v>2582</v>
      </c>
      <c r="J86" s="98" t="s">
        <v>2583</v>
      </c>
      <c r="K86" s="98" t="s">
        <v>2584</v>
      </c>
      <c r="L86" s="98" t="s">
        <v>2585</v>
      </c>
      <c r="M86" s="98" t="s">
        <v>2586</v>
      </c>
    </row>
    <row r="87" customFormat="false" ht="15" hidden="false" customHeight="fals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fals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fals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fals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fals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fals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fals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fals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fals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fals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fals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fals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fals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fals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fals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fals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fals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fals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fals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fals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false" outlineLevel="0" collapsed="false">
      <c r="B108" s="111" t="s">
        <v>2587</v>
      </c>
    </row>
    <row r="109" customFormat="false" ht="90" hidden="false" customHeight="true" outlineLevel="0" collapsed="false">
      <c r="B109" s="98" t="s">
        <v>289</v>
      </c>
      <c r="C109" s="98" t="s">
        <v>2531</v>
      </c>
      <c r="D109" s="98" t="s">
        <v>2491</v>
      </c>
      <c r="E109" s="98" t="s">
        <v>2588</v>
      </c>
      <c r="F109" s="98" t="s">
        <v>2589</v>
      </c>
      <c r="G109" s="98" t="s">
        <v>2578</v>
      </c>
      <c r="H109" s="98" t="s">
        <v>2590</v>
      </c>
      <c r="I109" s="98" t="s">
        <v>2540</v>
      </c>
      <c r="J109" s="98" t="s">
        <v>2591</v>
      </c>
      <c r="K109" s="98" t="s">
        <v>2592</v>
      </c>
      <c r="L109" s="98" t="s">
        <v>2593</v>
      </c>
      <c r="M109" s="98" t="s">
        <v>2594</v>
      </c>
      <c r="N109" s="98" t="s">
        <v>2535</v>
      </c>
      <c r="O109" s="98" t="s">
        <v>2595</v>
      </c>
      <c r="P109" s="98" t="s">
        <v>2596</v>
      </c>
      <c r="Q109" s="98" t="s">
        <v>2530</v>
      </c>
      <c r="R109" s="98" t="s">
        <v>2597</v>
      </c>
      <c r="S109" s="98" t="s">
        <v>2492</v>
      </c>
      <c r="T109" s="98" t="s">
        <v>2598</v>
      </c>
      <c r="U109" s="98" t="s">
        <v>2599</v>
      </c>
      <c r="V109" s="98" t="s">
        <v>2600</v>
      </c>
      <c r="W109" s="98" t="s">
        <v>2601</v>
      </c>
      <c r="X109" s="98" t="s">
        <v>2602</v>
      </c>
      <c r="Y109" s="98" t="s">
        <v>2603</v>
      </c>
      <c r="Z109" s="98" t="s">
        <v>2604</v>
      </c>
      <c r="AA109" s="98" t="s">
        <v>2605</v>
      </c>
      <c r="AB109" s="98" t="s">
        <v>2606</v>
      </c>
    </row>
    <row r="110" customFormat="false" ht="15" hidden="false" customHeight="fals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fals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fals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fals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fals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fals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fals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fals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fals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fals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fals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fals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fals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fals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fals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fals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fals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fals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fals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fals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fals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fals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35" hidden="false" customHeight="false" outlineLevel="0" collapsed="false">
      <c r="B1" s="90" t="s">
        <v>2607</v>
      </c>
    </row>
    <row r="2" customFormat="false" ht="48" hidden="false" customHeight="true" outlineLevel="0" collapsed="false">
      <c r="B2" s="91" t="s">
        <v>2608</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false" outlineLevel="0" collapsed="false">
      <c r="B4" s="93" t="s">
        <v>2609</v>
      </c>
      <c r="C4" s="93" t="s">
        <v>1523</v>
      </c>
    </row>
    <row r="5" customFormat="false" ht="15" hidden="false" customHeight="false" outlineLevel="0" collapsed="false">
      <c r="B5" s="1" t="s">
        <v>2610</v>
      </c>
      <c r="C5" s="101" t="n">
        <f aca="false">ROUND(IF(F_Age&lt;F_R,('Plan cashflow'!$QH$8+'Plan cashflow'!$QI$8)/12,0),0)</f>
        <v>0</v>
      </c>
    </row>
    <row r="6" customFormat="false" ht="15" hidden="false" customHeight="false" outlineLevel="0" collapsed="false">
      <c r="B6" s="1" t="s">
        <v>2611</v>
      </c>
      <c r="C6" s="101" t="n">
        <f aca="false">ROUND('Plan cashflow'!$QH$8/12,0)</f>
        <v>0</v>
      </c>
    </row>
    <row r="7" customFormat="false" ht="15" hidden="false" customHeight="false" outlineLevel="0" collapsed="false">
      <c r="B7" s="1" t="s">
        <v>2612</v>
      </c>
      <c r="C7" s="101" t="n">
        <f aca="false">'Plan cashflow'!$HS$8</f>
        <v>0</v>
      </c>
    </row>
    <row r="8" customFormat="false" ht="15" hidden="false" customHeight="false" outlineLevel="0" collapsed="false">
      <c r="B8" s="1" t="s">
        <v>2613</v>
      </c>
      <c r="C8" s="101" t="n">
        <f aca="false">SUM('Plan cashflow'!$UI$8:$UI$97)</f>
        <v>0</v>
      </c>
    </row>
    <row r="9" customFormat="false" ht="15" hidden="false" customHeight="false" outlineLevel="0" collapsed="false">
      <c r="B9" s="1" t="s">
        <v>2614</v>
      </c>
      <c r="C9" s="101" t="n">
        <f aca="false">SUM('Plan cashflow'!$TU$8:$TU$97)</f>
        <v>0</v>
      </c>
    </row>
    <row r="11" customFormat="false" ht="15" hidden="false" customHeight="false" outlineLevel="0" collapsed="false">
      <c r="B11" s="93" t="s">
        <v>2615</v>
      </c>
      <c r="C11" s="93" t="s">
        <v>1523</v>
      </c>
    </row>
    <row r="12" customFormat="false" ht="15" hidden="false" customHeight="false" outlineLevel="0" collapsed="false">
      <c r="B12" s="111" t="s">
        <v>127</v>
      </c>
      <c r="C12" s="111" t="s">
        <v>2616</v>
      </c>
      <c r="D12" s="111" t="s">
        <v>2487</v>
      </c>
      <c r="E12" s="111" t="s">
        <v>2617</v>
      </c>
      <c r="F12" s="111" t="s">
        <v>2618</v>
      </c>
      <c r="G12" s="111" t="s">
        <v>2619</v>
      </c>
    </row>
    <row r="13" customFormat="false" ht="15" hidden="false" customHeight="false" outlineLevel="0" collapsed="false">
      <c r="B13" s="1" t="s">
        <v>2620</v>
      </c>
      <c r="C13" s="101" t="n">
        <f aca="false">IF(Has_retireAge=0,1,0)</f>
        <v>1</v>
      </c>
      <c r="D13" s="1" t="s">
        <v>2621</v>
      </c>
      <c r="E13" s="1" t="s">
        <v>789</v>
      </c>
      <c r="F13" s="1" t="str">
        <f aca="false">""&amp;IF(C13=1,IF(""="","",",")&amp;D13,"")</f>
        <v>retireAge</v>
      </c>
      <c r="G13" s="1" t="str">
        <f aca="false">""&amp;IF(C13=1,IF(""="","",", ")&amp;E13,"")</f>
        <v>Retirement age</v>
      </c>
    </row>
    <row r="14" customFormat="false" ht="15" hidden="false" customHeight="false" outlineLevel="0" collapsed="false">
      <c r="B14" s="1" t="s">
        <v>2622</v>
      </c>
      <c r="C14" s="101" t="n">
        <f aca="false">IF(Has_a_planEnd=0,1,0)</f>
        <v>1</v>
      </c>
      <c r="D14" s="1" t="s">
        <v>2623</v>
      </c>
      <c r="E14" s="1" t="s">
        <v>1781</v>
      </c>
      <c r="F14" s="1" t="str">
        <f aca="false">F13&amp;IF(C14=1,IF(F13="","",",")&amp;D14,"")</f>
        <v>retireAge,planEnd</v>
      </c>
      <c r="G14" s="1" t="str">
        <f aca="false">G13&amp;IF(C14=1,IF(G13="","",", ")&amp;E14,"")</f>
        <v>Retirement age, Plan until age</v>
      </c>
    </row>
    <row r="15" customFormat="false" ht="15" hidden="false" customHeight="false" outlineLevel="0" collapsed="false">
      <c r="B15" s="1" t="s">
        <v>2624</v>
      </c>
      <c r="C15" s="101" t="n">
        <f aca="false">IF(Has_infl=0,1,0)</f>
        <v>1</v>
      </c>
      <c r="D15" s="1" t="s">
        <v>2625</v>
      </c>
      <c r="E15" s="1" t="s">
        <v>2626</v>
      </c>
      <c r="F15" s="1" t="str">
        <f aca="false">F14&amp;IF(C15=1,IF(F14="","",",")&amp;D15,"")</f>
        <v>retireAge,planEnd,infl</v>
      </c>
      <c r="G15" s="1" t="str">
        <f aca="false">G14&amp;IF(C15=1,IF(G14="","",", ")&amp;E15,"")</f>
        <v>Retirement age, Plan until age, Inflation</v>
      </c>
    </row>
    <row r="16" customFormat="false" ht="15" hidden="false" customHeight="false" outlineLevel="0" collapsed="false">
      <c r="B16" s="1" t="s">
        <v>2627</v>
      </c>
      <c r="C16" s="101" t="n">
        <f aca="false">IF(AND(F_Partner=1,In_pIncome&gt;0,Has_pRet=0),1,0)</f>
        <v>0</v>
      </c>
      <c r="D16" s="1" t="s">
        <v>2628</v>
      </c>
      <c r="E16" s="1" t="s">
        <v>2629</v>
      </c>
      <c r="F16" s="1" t="str">
        <f aca="false">F15&amp;IF(C16=1,IF(F15="","",",")&amp;D16,"")</f>
        <v>retireAge,planEnd,infl</v>
      </c>
      <c r="G16" s="1" t="str">
        <f aca="false">G15&amp;IF(C16=1,IF(G15="","",", ")&amp;E16,"")</f>
        <v>Retirement age, Plan until age, Inflation</v>
      </c>
    </row>
    <row r="17" customFormat="false" ht="15" hidden="false" customHeight="false" outlineLevel="0" collapsed="false">
      <c r="B17" s="1" t="s">
        <v>2630</v>
      </c>
      <c r="C17" s="101" t="n">
        <f aca="false">SUM($C$13:$C$16)</f>
        <v>3</v>
      </c>
    </row>
    <row r="18" customFormat="false" ht="15" hidden="false" customHeight="false" outlineLevel="0" collapsed="false">
      <c r="B18" s="1" t="s">
        <v>2631</v>
      </c>
      <c r="C18" s="101" t="str">
        <f aca="false">F16</f>
        <v>retireAge,planEnd,infl</v>
      </c>
    </row>
    <row r="19" customFormat="false" ht="15" hidden="false" customHeight="false" outlineLevel="0" collapsed="false">
      <c r="B19" s="1" t="s">
        <v>2632</v>
      </c>
      <c r="C19" s="101" t="str">
        <f aca="false">G16</f>
        <v>Retirement age, Plan until age, Inflation</v>
      </c>
    </row>
    <row r="20" customFormat="false" ht="15" hidden="false" customHeight="false" outlineLevel="0" collapsed="false">
      <c r="B20" s="1" t="s">
        <v>2633</v>
      </c>
      <c r="C20" s="101" t="str">
        <f aca="false">IF(Gate_Count=0,"","To see your results we need "&amp;Gate_Count&amp;IF(Gate_Count=1," thing"," things"))</f>
        <v>To see your results we need 3 things</v>
      </c>
    </row>
    <row r="21" customFormat="false" ht="15" hidden="false" customHeight="false" outlineLevel="0" collapsed="false">
      <c r="B21" s="1" t="s">
        <v>2634</v>
      </c>
      <c r="C21" s="101" t="str">
        <f aca="false">IF(Gate_Count=0,"",IFERROR(INDEX($B$13:$B$16,MATCH(1,$C$13:$C$16,0)),""))</f>
        <v>retirement age</v>
      </c>
    </row>
    <row r="22" customFormat="false" ht="15" hidden="false" customHeight="false" outlineLevel="0" collapsed="false">
      <c r="B22" s="1" t="s">
        <v>2635</v>
      </c>
      <c r="C22" s="101" t="str">
        <f aca="false">IF(Gate_Count=0,"","Choose your "&amp;Gate_FirstLabel&amp;" to see this")</f>
        <v>Choose your retirement age to see this</v>
      </c>
    </row>
    <row r="23" customFormat="false" ht="15" hidden="false" customHeight="false" outlineLevel="0" collapsed="false">
      <c r="B23" s="1" t="s">
        <v>2636</v>
      </c>
      <c r="C23" s="101" t="n">
        <f aca="false">IF(Gate_Count=0,1,0)</f>
        <v>0</v>
      </c>
    </row>
    <row r="24" customFormat="false" ht="15" hidden="false" customHeight="false" outlineLevel="0" collapsed="false">
      <c r="B24" s="1" t="s">
        <v>2637</v>
      </c>
      <c r="C24" s="101" t="n">
        <f aca="false">3+IF(AND(F_Partner=1,In_pIncome&gt;0),1,0)</f>
        <v>3</v>
      </c>
    </row>
    <row r="25" customFormat="false" ht="15" hidden="false" customHeight="false" outlineLevel="0" collapsed="false">
      <c r="B25" s="1" t="s">
        <v>2638</v>
      </c>
      <c r="C25" s="101" t="n">
        <f aca="false">Req_Count-(C15+C13+C14+C16)</f>
        <v>0</v>
      </c>
    </row>
    <row r="27" customFormat="false" ht="15" hidden="false" customHeight="false" outlineLevel="0" collapsed="false">
      <c r="B27" s="93" t="s">
        <v>2639</v>
      </c>
      <c r="C27" s="93" t="s">
        <v>1523</v>
      </c>
    </row>
    <row r="28" customFormat="false" ht="15" hidden="false" customHeight="false" outlineLevel="0" collapsed="false">
      <c r="B28" s="1" t="s">
        <v>2640</v>
      </c>
      <c r="C28" s="101" t="n">
        <f aca="false">IF(SUM('Plan cashflow'!$UF$8:$UF$97)&gt;0,1,0)</f>
        <v>0</v>
      </c>
    </row>
    <row r="29" customFormat="false" ht="15" hidden="false" customHeight="false" outlineLevel="0" collapsed="false">
      <c r="B29" s="1" t="s">
        <v>2641</v>
      </c>
      <c r="C29" s="101" t="str">
        <f aca="false">IF(COUNT(GR_Best)&gt;0,MAX(GR_Best),"")</f>
        <v/>
      </c>
    </row>
    <row r="30" customFormat="false" ht="15" hidden="false" customHeight="false" outlineLevel="0" collapsed="false">
      <c r="B30" s="1" t="s">
        <v>2642</v>
      </c>
      <c r="C30" s="101" t="n">
        <f aca="false">IF(Find_BestScore="",0,MATCH(Find_BestScore,GR_Best,0))</f>
        <v>0</v>
      </c>
    </row>
    <row r="31" customFormat="false" ht="15" hidden="false" customHeight="false" outlineLevel="0" collapsed="false">
      <c r="B31" s="1" t="s">
        <v>2643</v>
      </c>
      <c r="C31" s="101" t="n">
        <f aca="false">IF(COUNT(GR_Worst)&gt;0,MATCH(MIN(GR_Worst),GR_Worst,0),0)</f>
        <v>0</v>
      </c>
    </row>
    <row r="32" customFormat="false" ht="15" hidden="false" customHeight="false" outlineLevel="0" collapsed="false">
      <c r="B32" s="1" t="s">
        <v>2644</v>
      </c>
      <c r="C32" s="101" t="str">
        <f aca="false">IF(Find_WorstIdx&gt;0,INDEX(GR_Pct,Find_WorstIdx),"")</f>
        <v/>
      </c>
    </row>
    <row r="33" customFormat="false" ht="15" hidden="false" customHeight="false" outlineLevel="0" collapsed="false">
      <c r="B33" s="1" t="s">
        <v>2645</v>
      </c>
      <c r="C33" s="101" t="str">
        <f aca="false">IF(Find_WorstIdx&gt;0,INDEX(GR_Name,Find_WorstIdx),"")</f>
        <v/>
      </c>
    </row>
    <row r="34" customFormat="false" ht="15" hidden="false" customHeight="false" outlineLevel="0" collapsed="false">
      <c r="B34" s="1" t="s">
        <v>2646</v>
      </c>
      <c r="C34" s="94"/>
    </row>
    <row r="35" customFormat="false" ht="15" hidden="false" customHeight="false" outlineLevel="0" collapsed="false">
      <c r="B35" s="1" t="s">
        <v>2647</v>
      </c>
      <c r="C35" s="101" t="str">
        <f aca="false">IF(ISBLANK(Find_ExtraFor),IF(Fill_Example="Yes","none",""),Find_ExtraFor)</f>
        <v/>
      </c>
    </row>
    <row r="36" customFormat="false" ht="15" hidden="false" customHeight="false" outlineLevel="0" collapsed="false">
      <c r="B36" s="1" t="s">
        <v>2648</v>
      </c>
      <c r="C36" s="101"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37" customFormat="false" ht="15" hidden="false" customHeight="false" outlineLevel="0" collapsed="false">
      <c r="B37" s="1" t="s">
        <v>2649</v>
      </c>
      <c r="C37" s="101" t="str">
        <f aca="false">IF(Find_WorstIdx=0,"",IF(Find_WorstPct&gt;=PR_Good,"No big gaps right now",Find_WorstName&amp;" is "&amp;Find_WorstPct&amp;"% covered"))</f>
        <v/>
      </c>
    </row>
    <row r="38" customFormat="false" ht="15" hidden="false" customHeight="false" outlineLevel="0" collapsed="false">
      <c r="B38" s="1" t="s">
        <v>2650</v>
      </c>
      <c r="C38" s="101"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0" customFormat="false" ht="15" hidden="false" customHeight="false" outlineLevel="0" collapsed="false">
      <c r="B40" s="93" t="s">
        <v>2651</v>
      </c>
      <c r="C40" s="93" t="s">
        <v>1523</v>
      </c>
    </row>
    <row r="41" customFormat="false" ht="15" hidden="false" customHeight="false" outlineLevel="0" collapsed="false">
      <c r="B41" s="1" t="s">
        <v>2652</v>
      </c>
      <c r="C41" s="101" t="n">
        <f aca="false">F_R-F_Age</f>
        <v>66</v>
      </c>
    </row>
    <row r="42" customFormat="false" ht="15" hidden="false" customHeight="false" outlineLevel="0" collapsed="false">
      <c r="B42" s="1" t="s">
        <v>2653</v>
      </c>
      <c r="C42" s="101" t="n">
        <f aca="false">IF(AND(Ret_Year&gt;=0,Ret_Year&lt;=F_N),INDEX('Plan pay &amp; tax'!$S$234:$S$323,Ret_Year+1),"")</f>
        <v>0</v>
      </c>
    </row>
    <row r="43" customFormat="false" ht="15" hidden="false" customHeight="false" outlineLevel="0" collapsed="false">
      <c r="B43" s="1" t="s">
        <v>2654</v>
      </c>
      <c r="C43" s="101" t="n">
        <f aca="false">IF(AND(Ret_Year&gt;=0,Ret_Year&lt;=F_N),INDEX('Plan cashflow'!$G$8:$G$97,Ret_Year+1)/INDEX('Plan cashflow'!$E$8:$E$97,Ret_Year+1)/12,"")</f>
        <v>1037.57333333333</v>
      </c>
    </row>
    <row r="44" customFormat="false" ht="15" hidden="false" customHeight="false" outlineLevel="0" collapsed="false">
      <c r="B44" s="1" t="s">
        <v>2655</v>
      </c>
      <c r="C44" s="101" t="n">
        <f aca="false">IF(AND(Ret_Year&gt;=0,Ret_Year&lt;=F_N),INDEX('Plan pay &amp; tax'!$Y$234:$Y$323,F_V-F_Age+1),0)</f>
        <v>0</v>
      </c>
    </row>
    <row r="46" customFormat="false" ht="15" hidden="false" customHeight="false" outlineLevel="0" collapsed="false">
      <c r="B46" s="93" t="s">
        <v>2656</v>
      </c>
      <c r="C46" s="93" t="s">
        <v>1523</v>
      </c>
    </row>
    <row r="47" customFormat="false" ht="15" hidden="false" customHeight="false" outlineLevel="0" collapsed="false">
      <c r="B47" s="1" t="s">
        <v>2657</v>
      </c>
      <c r="C47" s="101" t="str">
        <f aca="false">IF(OR(AND(Has_income=0,In_work&lt;&gt;"Not working"),Has_costsM=0),"na",IF(ROUND(('Plan cashflow'!$G$8-'Plan cashflow'!$TP$8)/12,0)&lt;0,"bad",IF(ROUND(('Plan cashflow'!$G$8-'Plan cashflow'!$TP$8)/12,0)&lt;0.05*MAX(1,'Plan cashflow'!$G$8/12),"mid","ok")))</f>
        <v>na</v>
      </c>
    </row>
    <row r="48" customFormat="false" ht="15" hidden="false" customHeight="false" outlineLevel="0" collapsed="false">
      <c r="B48" s="1" t="s">
        <v>2658</v>
      </c>
      <c r="C48" s="101"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49" customFormat="false" ht="15" hidden="false" customHeight="false" outlineLevel="0" collapsed="false">
      <c r="B49" s="1" t="s">
        <v>2659</v>
      </c>
      <c r="C49" s="101" t="str">
        <f aca="false">IF(AND(Has_cash=1,Has_costsM=1,F_EssM&gt;0),IF(F_Cash/F_EssM&gt;=AS_Months,"ok",IF(F_Cash/F_EssM&gt;=3,"mid","bad")),"na")</f>
        <v>na</v>
      </c>
    </row>
    <row r="50" customFormat="false" ht="15" hidden="false" customHeight="false" outlineLevel="0" collapsed="false">
      <c r="B50" s="1" t="s">
        <v>2660</v>
      </c>
      <c r="C50" s="101" t="str">
        <f aca="false">IF(Fnd2_St="na","Add your assets to check this",IF(Fnd2_St="ok",INT(F_Cash/F_EssM*10)/10&amp;" months of essential spending · target of "&amp;AS_Months&amp;" met",INT(F_Cash/F_EssM*10)/10&amp;" of "&amp;AS_Months&amp;" months of essential spending"))</f>
        <v>Add your assets to check this</v>
      </c>
    </row>
    <row r="51" customFormat="false" ht="15" hidden="false" customHeight="false" outlineLevel="0" collapsed="false">
      <c r="B51" s="1" t="s">
        <v>2661</v>
      </c>
      <c r="C51" s="101" t="n">
        <f aca="false">IF(OR(F_CardPayM&lt;=F_CardBal*D_iC,F_CardPayM&lt;=0),1E+099,CEILING(ROUND(IF(D_iC&lt;&gt;0,-LN(1-F_CardBal*D_iC/F_CardPayM)/LN(1+D_iC),F_CardBal/F_CardPayM)*1000000,0)/1000000,1))</f>
        <v>1E+099</v>
      </c>
    </row>
    <row r="52" customFormat="false" ht="15" hidden="false" customHeight="false" outlineLevel="0" collapsed="false">
      <c r="B52" s="1" t="s">
        <v>2662</v>
      </c>
      <c r="C52" s="101" t="n">
        <f aca="false">IF(OR(F_LoanPayM&lt;=F_LoanBal*D_iL,F_LoanPayM&lt;=0),1E+099,CEILING(ROUND(IF(D_iL&lt;&gt;0,-LN(1-F_LoanBal*D_iL/F_LoanPayM)/LN(1+D_iL),F_LoanBal/F_LoanPayM)*1000000,0)/1000000,1))</f>
        <v>1E+099</v>
      </c>
    </row>
    <row r="53" customFormat="false" ht="15" hidden="false" customHeight="false" outlineLevel="0" collapsed="false">
      <c r="B53" s="1" t="s">
        <v>2663</v>
      </c>
      <c r="C53" s="101" t="n">
        <f aca="false">IF(OR(Has_cardBal=1,Has_loanBal=1,Has_debt=1),1,0)</f>
        <v>0</v>
      </c>
    </row>
    <row r="54" customFormat="false" ht="15" hidden="false" customHeight="false" outlineLevel="0" collapsed="false">
      <c r="B54" s="1" t="s">
        <v>2664</v>
      </c>
      <c r="C54" s="101" t="str">
        <f aca="false">IF(AND(L3_Debt=1,F_CardBal&gt;1),IF(L3_CardM&lt;=12,"mid","bad"),"")</f>
        <v/>
      </c>
    </row>
    <row r="55" customFormat="false" ht="15" hidden="false" customHeight="false" outlineLevel="0" collapsed="false">
      <c r="B55" s="1" t="s">
        <v>2665</v>
      </c>
      <c r="C55" s="101"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6" customFormat="false" ht="15" hidden="false" customHeight="false" outlineLevel="0" collapsed="false">
      <c r="B56" s="1" t="s">
        <v>2666</v>
      </c>
      <c r="C56" s="101" t="str">
        <f aca="false">IF(AND(L3_Debt=1,F_LoanBal&gt;1),IF(L3_LoanM&lt;=24,"mid","bad"),"")</f>
        <v/>
      </c>
    </row>
    <row r="57" customFormat="false" ht="15" hidden="false" customHeight="false" outlineLevel="0" collapsed="false">
      <c r="B57" s="1" t="s">
        <v>2667</v>
      </c>
      <c r="C57" s="101"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58" customFormat="false" ht="15" hidden="false" customHeight="false" outlineLevel="0" collapsed="false">
      <c r="B58" s="1" t="s">
        <v>2668</v>
      </c>
      <c r="C58" s="101" t="str">
        <f aca="false">IF(AND(L3_Debt=1,F_Debt&lt;=1),"ok","")</f>
        <v/>
      </c>
    </row>
    <row r="59" customFormat="false" ht="15" hidden="false" customHeight="false" outlineLevel="0" collapsed="false">
      <c r="B59" s="1" t="s">
        <v>2669</v>
      </c>
      <c r="C59" s="101" t="str">
        <f aca="false">IF(L3_NoDebtSt="","","No costly debt")</f>
        <v/>
      </c>
    </row>
    <row r="60" customFormat="false" ht="15" hidden="false" customHeight="false" outlineLevel="0" collapsed="false">
      <c r="B60" s="1" t="s">
        <v>2670</v>
      </c>
      <c r="C60" s="101" t="n">
        <f aca="false">IF(In_workCover="Yes",Cover_Work_Total,0)</f>
        <v>0</v>
      </c>
    </row>
    <row r="61" customFormat="false" ht="15" hidden="false" customHeight="false" outlineLevel="0" collapsed="false">
      <c r="B61" s="1" t="s">
        <v>2671</v>
      </c>
      <c r="C61" s="101" t="n">
        <f aca="false">IF(In_life="Yes",Cover_Life_Total,0)</f>
        <v>0</v>
      </c>
    </row>
    <row r="62" customFormat="false" ht="15" hidden="false" customHeight="false" outlineLevel="0" collapsed="false">
      <c r="B62" s="1" t="s">
        <v>2672</v>
      </c>
      <c r="C62" s="101" t="n">
        <f aca="false">IF(OR(F_Partner=1,In_deps&gt;0),1,0)</f>
        <v>0</v>
      </c>
    </row>
    <row r="63" customFormat="false" ht="15" hidden="false" customHeight="false" outlineLevel="0" collapsed="false">
      <c r="B63" s="1" t="s">
        <v>2673</v>
      </c>
      <c r="C63" s="101" t="str">
        <f aca="false">IF(L3_NeedLife=0,"",IF(Has_life=0,"na",IF(OR(In_life="Yes",L3_CoverWork&gt;0),"ok",IF(In_life="No","bad","mid"))))</f>
        <v/>
      </c>
    </row>
    <row r="64" customFormat="false" ht="15" hidden="false" customHeight="false" outlineLevel="0" collapsed="false">
      <c r="B64" s="1" t="s">
        <v>2674</v>
      </c>
      <c r="C64" s="101"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5" customFormat="false" ht="15" hidden="false" customHeight="false" outlineLevel="0" collapsed="false">
      <c r="B65" s="1" t="s">
        <v>2675</v>
      </c>
      <c r="C65" s="101" t="str">
        <f aca="false">IF(AND(In_work&lt;&gt;"",In_work&lt;&gt;"Not working"),IF(Has_ip=0,"na",IF(In_ip="Yes","ok","mid")),"")</f>
        <v/>
      </c>
    </row>
    <row r="66" customFormat="false" ht="15" hidden="false" customHeight="false" outlineLevel="0" collapsed="false">
      <c r="B66" s="1" t="s">
        <v>2676</v>
      </c>
      <c r="C66" s="101" t="str">
        <f aca="false">IF(L3_IpSt="","",IF(L3_IpSt="na","Add your protection to check income protection",IF(L3_IpSt="ok","Income protection in place"&amp;IF(AND(In_ip="Yes",IP_Listed_Total&gt;0)," ("&amp;"€"&amp;TEXT(ROUND(IP_Listed_Total,0),"#,##0")&amp;" a month)",""),"No income protection if you couldn't work")))</f>
        <v/>
      </c>
    </row>
    <row r="67" customFormat="false" ht="15" hidden="false" customHeight="false" outlineLevel="0" collapsed="false">
      <c r="B67" s="1" t="s">
        <v>2677</v>
      </c>
      <c r="C67" s="101"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68" customFormat="false" ht="15" hidden="false" customHeight="false" outlineLevel="0" collapsed="false">
      <c r="B68" s="1" t="s">
        <v>2678</v>
      </c>
      <c r="C68" s="101"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69" customFormat="false" ht="15" hidden="false" customHeight="false" outlineLevel="0" collapsed="false">
      <c r="B69" s="1" t="s">
        <v>2679</v>
      </c>
      <c r="C69" s="101"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0" customFormat="false" ht="15" hidden="false" customHeight="false" outlineLevel="0" collapsed="false">
      <c r="B70" s="1" t="s">
        <v>2680</v>
      </c>
      <c r="C70" s="101" t="n">
        <f aca="false">SUMPRODUCT((GR_Key&lt;&gt;"")*(GR_Kind&lt;&gt;"legacy"))</f>
        <v>0</v>
      </c>
    </row>
    <row r="71" customFormat="false" ht="15" hidden="false" customHeight="false" outlineLevel="0" collapsed="false">
      <c r="B71" s="1" t="s">
        <v>2681</v>
      </c>
      <c r="C71" s="101" t="n">
        <f aca="false">SUMPRODUCT((GR_Key&lt;&gt;"")*(GR_Kind&lt;&gt;"legacy")*(GR_PctN&gt;=PR_Good))</f>
        <v>0</v>
      </c>
    </row>
    <row r="72" customFormat="false" ht="15" hidden="false" customHeight="false" outlineLevel="0" collapsed="false">
      <c r="B72" s="1" t="s">
        <v>2682</v>
      </c>
      <c r="C72" s="101" t="n">
        <f aca="false">SUMPRODUCT((GR_Key&lt;&gt;"")*(GR_Kind&lt;&gt;"legacy")*(GR_PctN&lt;PR_LowPct))</f>
        <v>0</v>
      </c>
    </row>
    <row r="73" customFormat="false" ht="15" hidden="false" customHeight="false" outlineLevel="0" collapsed="false">
      <c r="B73" s="1" t="s">
        <v>2683</v>
      </c>
      <c r="C73" s="101" t="n">
        <f aca="false">IF(OR(F_PenM&gt;0,IF(RG_Exists=1,INDEX(GR_PctN,RG_Row)&gt;=PR_Good,FALSE())),1,0)</f>
        <v>0</v>
      </c>
    </row>
    <row r="74" customFormat="false" ht="15" hidden="false" customHeight="false" outlineLevel="0" collapsed="false">
      <c r="B74" s="1" t="s">
        <v>2684</v>
      </c>
      <c r="C74" s="101" t="str">
        <f aca="false">IF(L4_N=0,"na",IF(L4_Low&gt;L4_N/2,"bad",IF(AND(L4_On=L4_N,L4_PenOn=1),"ok","mid")))</f>
        <v>na</v>
      </c>
    </row>
    <row r="75" customFormat="false" ht="15" hidden="false" customHeight="false" outlineLevel="0" collapsed="false">
      <c r="B75" s="1" t="s">
        <v>2685</v>
      </c>
      <c r="C75" s="101" t="str">
        <f aca="false">IF(L4_N&gt;0,L4_On&amp;" of "&amp;L4_N&amp;" goals on track"&amp;IF(L4_PenOn=1," · pension saving under way"," · no pension saving yet"),"Add goals to check this")</f>
        <v>Add goals to check this</v>
      </c>
    </row>
    <row r="76" customFormat="false" ht="15" hidden="false" customHeight="false" outlineLevel="0" collapsed="false">
      <c r="B76" s="1" t="s">
        <v>2686</v>
      </c>
      <c r="C76" s="101" t="n">
        <f aca="false">SUMPRODUCT((GR_Key&lt;&gt;"")*((GR_Key="wealth")+(GR_Kind="legacy")&gt;0))</f>
        <v>0</v>
      </c>
    </row>
    <row r="77" customFormat="false" ht="15" hidden="false" customHeight="false" outlineLevel="0" collapsed="false">
      <c r="B77" s="1" t="s">
        <v>2687</v>
      </c>
      <c r="C77" s="101" t="n">
        <f aca="false">IFERROR(MATCH(1,INDEX((GR_Key&lt;&gt;"")*((GR_Key="wealth")+(GR_Kind="legacy")&gt;0)*(GR_PctN&gt;=PR_Good),0),0),0)</f>
        <v>0</v>
      </c>
    </row>
    <row r="78" customFormat="false" ht="15" hidden="false" customHeight="false" outlineLevel="0" collapsed="false">
      <c r="B78" s="1" t="s">
        <v>2688</v>
      </c>
      <c r="C78" s="101" t="n">
        <f aca="false">IFERROR(MATCH(1,INDEX((GR_Key&lt;&gt;"")*((GR_Key="wealth")+(GR_Kind="legacy")&gt;0),0),0),0)</f>
        <v>0</v>
      </c>
    </row>
    <row r="79" customFormat="false" ht="15" hidden="false" customHeight="false" outlineLevel="0" collapsed="false">
      <c r="B79" s="1" t="s">
        <v>2689</v>
      </c>
      <c r="C79" s="101" t="n">
        <f aca="false">IF(AND(Has_invest=1,F_Invest&gt;0),1,0)</f>
        <v>0</v>
      </c>
    </row>
    <row r="80" customFormat="false" ht="15" hidden="false" customHeight="false" outlineLevel="0" collapsed="false">
      <c r="B80" s="1" t="s">
        <v>2690</v>
      </c>
      <c r="C80" s="101" t="str">
        <f aca="false">IF(OR(L5_Inv=1,L5_OnIdx&gt;0),"ok",IF(L5_N&gt;0,"mid","na"))</f>
        <v>na</v>
      </c>
    </row>
    <row r="81" customFormat="false" ht="15" hidden="false" customHeight="false" outlineLevel="0" collapsed="false">
      <c r="B81" s="1" t="s">
        <v>2691</v>
      </c>
      <c r="C81" s="101" t="str">
        <f aca="false">IF(L5_Inv=1,"Investing "&amp;"€"&amp;TEXT(ROUND(F_Invest,0),"#,##0")&amp;IF(L5_OnIdx&gt;0," · "&amp;LOWER(INDEX(GR_Name,L5_OnIdx))&amp;" on track",""),IF(L5_OnIdx&gt;0,INDEX(GR_Name,L5_OnIdx)&amp;" on track",IF(L5_N&gt;0,INDEX(GR_Name,L5_FirstIdx)&amp;" not on track yet","Not started yet")))</f>
        <v>Not started yet</v>
      </c>
    </row>
    <row r="82" customFormat="false" ht="15" hidden="false" customHeight="false" outlineLevel="0" collapsed="false">
      <c r="B82" s="1" t="s">
        <v>2692</v>
      </c>
      <c r="C82" s="101" t="str">
        <f aca="false">IF(AND(Fnd2_St="ok",OR(Fnd1_St="bad",Fnd1_St="mid")),"held",Fnd2_St)</f>
        <v>na</v>
      </c>
    </row>
    <row r="83" customFormat="false" ht="15" hidden="false" customHeight="false" outlineLevel="0" collapsed="false">
      <c r="B83" s="1" t="s">
        <v>2693</v>
      </c>
      <c r="C83" s="101" t="str">
        <f aca="false">IF(AND(Fnd3_St="ok",OR(Fnd1_St="bad",Fnd1_St="mid",Fnd2_St="bad",Fnd2_St="mid")),"held",Fnd3_St)</f>
        <v>na</v>
      </c>
    </row>
    <row r="84" customFormat="false" ht="15" hidden="false" customHeight="false" outlineLevel="0" collapsed="false">
      <c r="B84" s="1" t="s">
        <v>2694</v>
      </c>
      <c r="C84" s="101" t="str">
        <f aca="false">IF(AND(Fnd4_St="ok",OR(Fnd1_St="bad",Fnd1_St="mid",Fnd2_St="bad",Fnd2_St="mid",Fnd3_St="bad",Fnd3_St="mid")),"held",Fnd4_St)</f>
        <v>na</v>
      </c>
    </row>
    <row r="85" customFormat="false" ht="15" hidden="false" customHeight="false" outlineLevel="0" collapsed="false">
      <c r="B85" s="1" t="s">
        <v>2695</v>
      </c>
      <c r="C85" s="101" t="str">
        <f aca="false">IF(AND(Fnd5_St="ok",OR(Fnd1_St="bad",Fnd1_St="mid",Fnd2_St="bad",Fnd2_St="mid",Fnd3_St="bad",Fnd3_St="mid",Fnd4_St="bad",Fnd4_St="mid")),"held",Fnd5_St)</f>
        <v>na</v>
      </c>
    </row>
    <row r="86" customFormat="false" ht="15" hidden="false" customHeight="false" outlineLevel="0" collapsed="false">
      <c r="B86" s="1" t="s">
        <v>2696</v>
      </c>
      <c r="C86" s="101" t="str">
        <f aca="false">Fnd1_St</f>
        <v>na</v>
      </c>
    </row>
    <row r="88" customFormat="false" ht="15" hidden="false" customHeight="false" outlineLevel="0" collapsed="false">
      <c r="B88" s="93" t="s">
        <v>2697</v>
      </c>
      <c r="C88" s="93" t="s">
        <v>1523</v>
      </c>
    </row>
    <row r="89" customFormat="false" ht="15" hidden="false" customHeight="false" outlineLevel="0" collapsed="false">
      <c r="B89" s="1" t="s">
        <v>2698</v>
      </c>
      <c r="C89" s="101" t="n">
        <f aca="false">IF(Fnd1_Fin&lt;&gt;"ok",1,IF(Fnd2_Fin&lt;&gt;"ok",2,IF(Fnd3_Fin&lt;&gt;"ok",3,IF(Fnd4_Fin&lt;&gt;"ok",4,IF(Fnd5_Fin&lt;&gt;"ok",5,0)))))</f>
        <v>1</v>
      </c>
    </row>
    <row r="90" customFormat="false" ht="15" hidden="false" customHeight="false" outlineLevel="0" collapsed="false">
      <c r="B90" s="1" t="s">
        <v>2699</v>
      </c>
      <c r="C90" s="101" t="str">
        <f aca="false">IF(L3_Rank=9,"",IF(AND(L3_CardSt&lt;&gt;"",IF(L3_CardSt="",9,IF(L3_CardSt="bad",0,IF(L3_CardSt="mid",1,IF(L3_CardSt="na",2,3))))=L3_Rank),"debtpay",IF(AND(L3_LoanSt&lt;&gt;"",IF(L3_LoanSt="",9,IF(L3_LoanSt="bad",0,IF(L3_LoanSt="mid",1,IF(L3_LoanSt="na",2,3))))=L3_Rank),"debtpay","")))</f>
        <v/>
      </c>
    </row>
    <row r="91" customFormat="false" ht="15" hidden="false" customHeight="false" outlineLevel="0" collapsed="false">
      <c r="B91" s="1" t="s">
        <v>2700</v>
      </c>
      <c r="C91" s="101"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2" customFormat="false" ht="15" hidden="false" customHeight="false" outlineLevel="0" collapsed="false">
      <c r="B92" s="1" t="s">
        <v>2701</v>
      </c>
      <c r="C92" s="101"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3" customFormat="false" ht="15" hidden="false" customHeight="false" outlineLevel="0" collapsed="false">
      <c r="B93" s="1" t="s">
        <v>2702</v>
      </c>
      <c r="C93" s="101" t="n">
        <f aca="false">SUMPRODUCT((GR_Key&lt;&gt;"")*(GR_PctN&lt;PR_Good))</f>
        <v>0</v>
      </c>
    </row>
    <row r="94" customFormat="false" ht="15" hidden="false" customHeight="false" outlineLevel="0" collapsed="false">
      <c r="B94" s="1" t="s">
        <v>2703</v>
      </c>
      <c r="C94" s="101"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6" customFormat="false" ht="15" hidden="false" customHeight="false" outlineLevel="0" collapsed="false">
      <c r="B96" s="93" t="s">
        <v>2704</v>
      </c>
      <c r="C96" s="93" t="s">
        <v>1523</v>
      </c>
    </row>
    <row r="97" customFormat="false" ht="61.5" hidden="false" customHeight="true" outlineLevel="0" collapsed="false">
      <c r="B97" s="98" t="s">
        <v>2705</v>
      </c>
      <c r="C97" s="98" t="s">
        <v>2706</v>
      </c>
      <c r="D97" s="98" t="s">
        <v>2707</v>
      </c>
      <c r="E97" s="98" t="s">
        <v>2708</v>
      </c>
      <c r="F97" s="98" t="s">
        <v>2709</v>
      </c>
      <c r="G97" s="98" t="s">
        <v>2710</v>
      </c>
      <c r="H97" s="98" t="s">
        <v>2711</v>
      </c>
      <c r="I97" s="98" t="s">
        <v>2712</v>
      </c>
      <c r="J97" s="98" t="s">
        <v>2713</v>
      </c>
      <c r="K97" s="98" t="s">
        <v>2714</v>
      </c>
      <c r="L97" s="98" t="s">
        <v>2715</v>
      </c>
      <c r="M97" s="98" t="s">
        <v>2716</v>
      </c>
      <c r="N97" s="98" t="s">
        <v>2717</v>
      </c>
      <c r="O97" s="98" t="s">
        <v>2718</v>
      </c>
      <c r="P97" s="98" t="s">
        <v>2719</v>
      </c>
      <c r="Q97" s="98" t="s">
        <v>2487</v>
      </c>
    </row>
    <row r="98" customFormat="false" ht="15" hidden="false" customHeight="false" outlineLevel="0" collapsed="false">
      <c r="B98" s="1" t="s">
        <v>2720</v>
      </c>
      <c r="C98" s="1" t="n">
        <f aca="false">IF(1,1,0)</f>
        <v>1</v>
      </c>
      <c r="D98" s="1" t="n">
        <v>0</v>
      </c>
      <c r="E98" s="1" t="n">
        <f aca="false">IF(1,1,0)</f>
        <v>1</v>
      </c>
      <c r="F98" s="1" t="n">
        <v>1</v>
      </c>
      <c r="G98" s="1" t="n">
        <f aca="false">IF(ISNUMBER(SEARCH(","&amp;"name"&amp;",",","&amp;SUBSTITUTE(In_lookKeys," ","")&amp;",")),1,0)</f>
        <v>0</v>
      </c>
      <c r="H98" s="1" t="n">
        <f aca="false">IF(ISNUMBER(SEARCH(","&amp;"name"&amp;",",","&amp;SUBSTITUTE(In_ackKeys," ","")&amp;",")),1,0)</f>
        <v>0</v>
      </c>
      <c r="I98" s="1" t="n">
        <f aca="false">C98*(1-D98)</f>
        <v>1</v>
      </c>
      <c r="J98" s="1" t="n">
        <f aca="false">I98*E98</f>
        <v>1</v>
      </c>
      <c r="K98" s="1" t="n">
        <f aca="false">C98*G98*(1-H98)</f>
        <v>0</v>
      </c>
      <c r="L98" s="1" t="n">
        <f aca="false">C98*E98*(1-F98)</f>
        <v>0</v>
      </c>
      <c r="M98" s="1" t="n">
        <f aca="false">C98*MAX(E98,G98)</f>
        <v>1</v>
      </c>
      <c r="N98" s="1" t="n">
        <v>1</v>
      </c>
      <c r="O98" s="1" t="n">
        <f aca="false">C98*IF(G98=1,1,IF(AND(D98=0,E98=0),1,0))</f>
        <v>0</v>
      </c>
      <c r="P98" s="1" t="n">
        <f aca="false">C98*E98*(1-G98)</f>
        <v>1</v>
      </c>
      <c r="Q98" s="1" t="s">
        <v>2721</v>
      </c>
    </row>
    <row r="99" customFormat="false" ht="15" hidden="false" customHeight="false" outlineLevel="0" collapsed="false">
      <c r="B99" s="1" t="s">
        <v>723</v>
      </c>
      <c r="C99" s="1" t="n">
        <f aca="false">IF(1,1,0)</f>
        <v>1</v>
      </c>
      <c r="D99" s="1" t="n">
        <v>0</v>
      </c>
      <c r="E99" s="1" t="n">
        <f aca="false">IF(Has_age,1,0)</f>
        <v>0</v>
      </c>
      <c r="F99" s="1" t="n">
        <v>1</v>
      </c>
      <c r="G99" s="1" t="n">
        <f aca="false">IF(ISNUMBER(SEARCH(","&amp;"age"&amp;",",","&amp;SUBSTITUTE(In_lookKeys," ","")&amp;",")),1,0)</f>
        <v>0</v>
      </c>
      <c r="H99" s="1" t="n">
        <f aca="false">IF(ISNUMBER(SEARCH(","&amp;"age"&amp;",",","&amp;SUBSTITUTE(In_ackKeys," ","")&amp;",")),1,0)</f>
        <v>0</v>
      </c>
      <c r="I99" s="1" t="n">
        <f aca="false">C99*(1-D99)</f>
        <v>1</v>
      </c>
      <c r="J99" s="1" t="n">
        <f aca="false">I99*E99</f>
        <v>0</v>
      </c>
      <c r="K99" s="1" t="n">
        <f aca="false">C99*G99*(1-H99)</f>
        <v>0</v>
      </c>
      <c r="L99" s="1" t="n">
        <f aca="false">C99*E99*(1-F99)</f>
        <v>0</v>
      </c>
      <c r="M99" s="1" t="n">
        <f aca="false">C99*MAX(E99,G99)</f>
        <v>0</v>
      </c>
      <c r="N99" s="1" t="n">
        <v>1</v>
      </c>
      <c r="O99" s="1" t="n">
        <f aca="false">C99*IF(G99=1,1,IF(AND(D99=0,E99=0),1,0))</f>
        <v>1</v>
      </c>
      <c r="P99" s="1" t="n">
        <f aca="false">C99*E99*(1-G99)</f>
        <v>0</v>
      </c>
      <c r="Q99" s="1" t="s">
        <v>718</v>
      </c>
    </row>
    <row r="100" customFormat="false" ht="15" hidden="false" customHeight="false" outlineLevel="0" collapsed="false">
      <c r="B100" s="1" t="s">
        <v>789</v>
      </c>
      <c r="C100" s="1" t="n">
        <f aca="false">IF(1,1,0)</f>
        <v>1</v>
      </c>
      <c r="D100" s="1" t="n">
        <v>0</v>
      </c>
      <c r="E100" s="1" t="n">
        <f aca="false">IF(Has_retireAge,1,0)</f>
        <v>0</v>
      </c>
      <c r="F100" s="1" t="n">
        <v>0</v>
      </c>
      <c r="G100" s="1" t="n">
        <f aca="false">IF(ISNUMBER(SEARCH(","&amp;"retireAge"&amp;",",","&amp;SUBSTITUTE(In_lookKeys," ","")&amp;",")),1,0)</f>
        <v>0</v>
      </c>
      <c r="H100" s="1" t="n">
        <f aca="false">IF(ISNUMBER(SEARCH(","&amp;"retireAge"&amp;",",","&amp;SUBSTITUTE(In_ackKeys," ","")&amp;",")),1,0)</f>
        <v>0</v>
      </c>
      <c r="I100" s="1" t="n">
        <f aca="false">C100*(1-D100)</f>
        <v>1</v>
      </c>
      <c r="J100" s="1" t="n">
        <f aca="false">I100*E100</f>
        <v>0</v>
      </c>
      <c r="K100" s="1" t="n">
        <f aca="false">C100*G100*(1-H100)</f>
        <v>0</v>
      </c>
      <c r="L100" s="1" t="n">
        <f aca="false">C100*E100*(1-F100)</f>
        <v>0</v>
      </c>
      <c r="M100" s="1" t="n">
        <f aca="false">C100*MAX(E100,G100)</f>
        <v>0</v>
      </c>
      <c r="N100" s="1" t="n">
        <v>1</v>
      </c>
      <c r="O100" s="1" t="n">
        <f aca="false">0</f>
        <v>0</v>
      </c>
      <c r="P100" s="1" t="n">
        <f aca="false">0</f>
        <v>0</v>
      </c>
      <c r="Q100" s="1" t="s">
        <v>2621</v>
      </c>
    </row>
    <row r="101" customFormat="false" ht="15" hidden="false" customHeight="false" outlineLevel="0" collapsed="false">
      <c r="B101" s="1" t="s">
        <v>1330</v>
      </c>
      <c r="C101" s="1" t="n">
        <f aca="false">IF(F_Partner=1,1,0)</f>
        <v>0</v>
      </c>
      <c r="D101" s="1" t="n">
        <v>0</v>
      </c>
      <c r="E101" s="1" t="n">
        <f aca="false">IF(Has_pAge,1,0)</f>
        <v>0</v>
      </c>
      <c r="F101" s="1" t="n">
        <v>0</v>
      </c>
      <c r="G101" s="1" t="n">
        <f aca="false">IF(ISNUMBER(SEARCH(","&amp;"pAge"&amp;",",","&amp;SUBSTITUTE(In_lookKeys," ","")&amp;",")),1,0)</f>
        <v>0</v>
      </c>
      <c r="H101" s="1" t="n">
        <f aca="false">IF(ISNUMBER(SEARCH(","&amp;"pAge"&amp;",",","&amp;SUBSTITUTE(In_ackKeys," ","")&amp;",")),1,0)</f>
        <v>0</v>
      </c>
      <c r="I101" s="1" t="n">
        <f aca="false">C101*(1-D101)</f>
        <v>0</v>
      </c>
      <c r="J101" s="1" t="n">
        <f aca="false">I101*E101</f>
        <v>0</v>
      </c>
      <c r="K101" s="1" t="n">
        <f aca="false">C101*G101*(1-H101)</f>
        <v>0</v>
      </c>
      <c r="L101" s="1" t="n">
        <f aca="false">C101*E101*(1-F101)</f>
        <v>0</v>
      </c>
      <c r="M101" s="1" t="n">
        <f aca="false">C101*MAX(E101,G101)</f>
        <v>0</v>
      </c>
      <c r="N101" s="1" t="n">
        <v>1</v>
      </c>
      <c r="O101" s="1" t="n">
        <f aca="false">C101*IF(G101=1,1,IF(AND(D101=0,E101=0),1,0))</f>
        <v>0</v>
      </c>
      <c r="P101" s="1" t="n">
        <f aca="false">C101*E101*(1-G101)</f>
        <v>0</v>
      </c>
      <c r="Q101" s="1" t="s">
        <v>2722</v>
      </c>
    </row>
    <row r="102" customFormat="false" ht="15" hidden="false" customHeight="false" outlineLevel="0" collapsed="false">
      <c r="B102" s="1" t="s">
        <v>2723</v>
      </c>
      <c r="C102" s="1" t="n">
        <f aca="false">IF(1,1,0)</f>
        <v>1</v>
      </c>
      <c r="D102" s="1" t="n">
        <v>0</v>
      </c>
      <c r="E102" s="1" t="n">
        <f aca="false">IF(Has_work,1,0)</f>
        <v>0</v>
      </c>
      <c r="F102" s="1" t="n">
        <v>0</v>
      </c>
      <c r="G102" s="1" t="n">
        <f aca="false">IF(ISNUMBER(SEARCH(","&amp;"work"&amp;",",","&amp;SUBSTITUTE(In_lookKeys," ","")&amp;",")),1,0)</f>
        <v>0</v>
      </c>
      <c r="H102" s="1" t="n">
        <f aca="false">IF(ISNUMBER(SEARCH(","&amp;"work"&amp;",",","&amp;SUBSTITUTE(In_ackKeys," ","")&amp;",")),1,0)</f>
        <v>0</v>
      </c>
      <c r="I102" s="1" t="n">
        <f aca="false">C102*(1-D102)</f>
        <v>1</v>
      </c>
      <c r="J102" s="1" t="n">
        <f aca="false">I102*E102</f>
        <v>0</v>
      </c>
      <c r="K102" s="1" t="n">
        <f aca="false">C102*G102*(1-H102)</f>
        <v>0</v>
      </c>
      <c r="L102" s="1" t="n">
        <f aca="false">C102*E102*(1-F102)</f>
        <v>0</v>
      </c>
      <c r="M102" s="1" t="n">
        <f aca="false">C102*MAX(E102,G102)</f>
        <v>0</v>
      </c>
      <c r="N102" s="1" t="n">
        <v>2</v>
      </c>
      <c r="O102" s="1" t="n">
        <f aca="false">C102*IF(G102=1,1,IF(AND(D102=0,E102=0),1,0))</f>
        <v>1</v>
      </c>
      <c r="P102" s="1" t="n">
        <f aca="false">C102*E102*(1-G102)</f>
        <v>0</v>
      </c>
      <c r="Q102" s="1" t="s">
        <v>2724</v>
      </c>
    </row>
    <row r="103" customFormat="false" ht="15" hidden="false" customHeight="false" outlineLevel="0" collapsed="false">
      <c r="B103" s="1" t="s">
        <v>225</v>
      </c>
      <c r="C103" s="1" t="n">
        <f aca="false">IF(1,1,0)</f>
        <v>1</v>
      </c>
      <c r="D103" s="1" t="n">
        <v>0</v>
      </c>
      <c r="E103" s="1" t="n">
        <f aca="false">IF(Has_income,1,0)</f>
        <v>0</v>
      </c>
      <c r="F103" s="1" t="n">
        <v>0</v>
      </c>
      <c r="G103" s="1" t="n">
        <f aca="false">IF(ISNUMBER(SEARCH(","&amp;"income"&amp;",",","&amp;SUBSTITUTE(In_lookKeys," ","")&amp;",")),1,0)</f>
        <v>0</v>
      </c>
      <c r="H103" s="1" t="n">
        <f aca="false">IF(ISNUMBER(SEARCH(","&amp;"income"&amp;",",","&amp;SUBSTITUTE(In_ackKeys," ","")&amp;",")),1,0)</f>
        <v>0</v>
      </c>
      <c r="I103" s="1" t="n">
        <f aca="false">C103*(1-D103)</f>
        <v>1</v>
      </c>
      <c r="J103" s="1" t="n">
        <f aca="false">I103*E103</f>
        <v>0</v>
      </c>
      <c r="K103" s="1" t="n">
        <f aca="false">C103*G103*(1-H103)</f>
        <v>0</v>
      </c>
      <c r="L103" s="1" t="n">
        <f aca="false">C103*E103*(1-F103)</f>
        <v>0</v>
      </c>
      <c r="M103" s="1" t="n">
        <f aca="false">C103*MAX(E103,G103)</f>
        <v>0</v>
      </c>
      <c r="N103" s="1" t="n">
        <v>2</v>
      </c>
      <c r="O103" s="1" t="n">
        <f aca="false">C103*IF(G103=1,1,IF(AND(D103=0,E103=0),1,0))</f>
        <v>1</v>
      </c>
      <c r="P103" s="1" t="n">
        <f aca="false">C103*E103*(1-G103)</f>
        <v>0</v>
      </c>
      <c r="Q103" s="1" t="s">
        <v>2725</v>
      </c>
    </row>
    <row r="104" customFormat="false" ht="15" hidden="false" customHeight="false" outlineLevel="0" collapsed="false">
      <c r="B104" s="1" t="s">
        <v>228</v>
      </c>
      <c r="C104" s="1" t="n">
        <f aca="false">IF(F_Partner=1,1,0)</f>
        <v>0</v>
      </c>
      <c r="D104" s="1" t="n">
        <v>0</v>
      </c>
      <c r="E104" s="1" t="n">
        <f aca="false">IF(Has_pIncome,1,0)</f>
        <v>0</v>
      </c>
      <c r="F104" s="1" t="n">
        <v>0</v>
      </c>
      <c r="G104" s="1" t="n">
        <f aca="false">IF(ISNUMBER(SEARCH(","&amp;"pIncome"&amp;",",","&amp;SUBSTITUTE(In_lookKeys," ","")&amp;",")),1,0)</f>
        <v>0</v>
      </c>
      <c r="H104" s="1" t="n">
        <f aca="false">IF(ISNUMBER(SEARCH(","&amp;"pIncome"&amp;",",","&amp;SUBSTITUTE(In_ackKeys," ","")&amp;",")),1,0)</f>
        <v>0</v>
      </c>
      <c r="I104" s="1" t="n">
        <f aca="false">C104*(1-D104)</f>
        <v>0</v>
      </c>
      <c r="J104" s="1" t="n">
        <f aca="false">I104*E104</f>
        <v>0</v>
      </c>
      <c r="K104" s="1" t="n">
        <f aca="false">C104*G104*(1-H104)</f>
        <v>0</v>
      </c>
      <c r="L104" s="1" t="n">
        <f aca="false">C104*E104*(1-F104)</f>
        <v>0</v>
      </c>
      <c r="M104" s="1" t="n">
        <f aca="false">C104*MAX(E104,G104)</f>
        <v>0</v>
      </c>
      <c r="N104" s="1" t="n">
        <v>2</v>
      </c>
      <c r="O104" s="1" t="n">
        <f aca="false">C104*IF(G104=1,1,IF(AND(D104=0,E104=0),1,0))</f>
        <v>0</v>
      </c>
      <c r="P104" s="1" t="n">
        <f aca="false">C104*E104*(1-G104)</f>
        <v>0</v>
      </c>
      <c r="Q104" s="1" t="s">
        <v>2726</v>
      </c>
    </row>
    <row r="105" customFormat="false" ht="15" hidden="false" customHeight="false" outlineLevel="0" collapsed="false">
      <c r="B105" s="1" t="s">
        <v>1809</v>
      </c>
      <c r="C105" s="1" t="n">
        <f aca="false">IF(1,1,0)</f>
        <v>1</v>
      </c>
      <c r="D105" s="1" t="n">
        <v>1</v>
      </c>
      <c r="E105" s="1" t="n">
        <f aca="false">IF(Has_otherM,1,0)</f>
        <v>0</v>
      </c>
      <c r="F105" s="1" t="n">
        <v>0</v>
      </c>
      <c r="G105" s="1" t="n">
        <f aca="false">IF(ISNUMBER(SEARCH(","&amp;"otherM"&amp;",",","&amp;SUBSTITUTE(In_lookKeys," ","")&amp;",")),1,0)</f>
        <v>0</v>
      </c>
      <c r="H105" s="1" t="n">
        <f aca="false">IF(ISNUMBER(SEARCH(","&amp;"otherM"&amp;",",","&amp;SUBSTITUTE(In_ackKeys," ","")&amp;",")),1,0)</f>
        <v>0</v>
      </c>
      <c r="I105" s="1" t="n">
        <f aca="false">C105*(1-D105)</f>
        <v>0</v>
      </c>
      <c r="J105" s="1" t="n">
        <f aca="false">I105*E105</f>
        <v>0</v>
      </c>
      <c r="K105" s="1" t="n">
        <f aca="false">C105*G105*(1-H105)</f>
        <v>0</v>
      </c>
      <c r="L105" s="1" t="n">
        <f aca="false">C105*E105*(1-F105)</f>
        <v>0</v>
      </c>
      <c r="M105" s="1" t="n">
        <f aca="false">C105*MAX(E105,G105)</f>
        <v>0</v>
      </c>
      <c r="N105" s="1" t="n">
        <v>2</v>
      </c>
      <c r="O105" s="1" t="n">
        <f aca="false">C105*IF(G105=1,1,IF(AND(D105=0,E105=0),1,0))</f>
        <v>0</v>
      </c>
      <c r="P105" s="1" t="n">
        <f aca="false">C105*E105*(1-G105)</f>
        <v>0</v>
      </c>
      <c r="Q105" s="1" t="s">
        <v>2727</v>
      </c>
    </row>
    <row r="106" customFormat="false" ht="15" hidden="false" customHeight="false" outlineLevel="0" collapsed="false">
      <c r="B106" s="1" t="s">
        <v>2728</v>
      </c>
      <c r="C106" s="1" t="n">
        <f aca="false">IF(1,1,0)</f>
        <v>1</v>
      </c>
      <c r="D106" s="1" t="n">
        <v>0</v>
      </c>
      <c r="E106" s="1" t="n">
        <f aca="false">IF(Has_costsM,1,0)</f>
        <v>0</v>
      </c>
      <c r="F106" s="1" t="n">
        <v>0</v>
      </c>
      <c r="G106" s="1" t="n">
        <f aca="false">IF(ISNUMBER(SEARCH(","&amp;"costsM"&amp;",",","&amp;SUBSTITUTE(In_lookKeys," ","")&amp;",")),1,0)</f>
        <v>0</v>
      </c>
      <c r="H106" s="1" t="n">
        <f aca="false">IF(ISNUMBER(SEARCH(","&amp;"costsM"&amp;",",","&amp;SUBSTITUTE(In_ackKeys,"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2729</v>
      </c>
    </row>
    <row r="107" customFormat="false" ht="15" hidden="false" customHeight="false" outlineLevel="0" collapsed="false">
      <c r="B107" s="1" t="s">
        <v>1336</v>
      </c>
      <c r="C107" s="1" t="n">
        <f aca="false">IF(1,1,0)</f>
        <v>1</v>
      </c>
      <c r="D107" s="1" t="n">
        <v>1</v>
      </c>
      <c r="E107" s="1" t="n">
        <f aca="false">IF(Has_oneOffY,1,0)</f>
        <v>0</v>
      </c>
      <c r="F107" s="1" t="n">
        <v>0</v>
      </c>
      <c r="G107" s="1" t="n">
        <f aca="false">IF(ISNUMBER(SEARCH(","&amp;"oneOffY"&amp;",",","&amp;SUBSTITUTE(In_lookKeys," ","")&amp;",")),1,0)</f>
        <v>0</v>
      </c>
      <c r="H107" s="1" t="n">
        <f aca="false">IF(ISNUMBER(SEARCH(","&amp;"oneOffY"&amp;",",","&amp;SUBSTITUTE(In_ackKeys,"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2730</v>
      </c>
    </row>
    <row r="108" customFormat="false" ht="15" hidden="false" customHeight="false" outlineLevel="0" collapsed="false">
      <c r="B108" s="1" t="s">
        <v>2731</v>
      </c>
      <c r="C108" s="1" t="n">
        <f aca="false">IF(1,1,0)</f>
        <v>1</v>
      </c>
      <c r="D108" s="1" t="n">
        <v>0</v>
      </c>
      <c r="E108" s="1" t="n">
        <f aca="false">IF(Has_home,1,0)</f>
        <v>0</v>
      </c>
      <c r="F108" s="1" t="n">
        <v>0</v>
      </c>
      <c r="G108" s="1" t="n">
        <f aca="false">IF(ISNUMBER(SEARCH(","&amp;"home"&amp;",",","&amp;SUBSTITUTE(In_lookKeys," ","")&amp;",")),1,0)</f>
        <v>0</v>
      </c>
      <c r="H108" s="1" t="n">
        <f aca="false">IF(ISNUMBER(SEARCH(","&amp;"home"&amp;",",","&amp;SUBSTITUTE(In_ackKeys," ","")&amp;",")),1,0)</f>
        <v>0</v>
      </c>
      <c r="I108" s="1" t="n">
        <f aca="false">C108*(1-D108)</f>
        <v>1</v>
      </c>
      <c r="J108" s="1" t="n">
        <f aca="false">I108*E108</f>
        <v>0</v>
      </c>
      <c r="K108" s="1" t="n">
        <f aca="false">C108*G108*(1-H108)</f>
        <v>0</v>
      </c>
      <c r="L108" s="1" t="n">
        <f aca="false">C108*E108*(1-F108)</f>
        <v>0</v>
      </c>
      <c r="M108" s="1" t="n">
        <f aca="false">C108*MAX(E108,G108)</f>
        <v>0</v>
      </c>
      <c r="N108" s="1" t="n">
        <v>3</v>
      </c>
      <c r="O108" s="1" t="n">
        <f aca="false">C108*IF(G108=1,1,IF(AND(D108=0,E108=0),1,0))</f>
        <v>1</v>
      </c>
      <c r="P108" s="1" t="n">
        <f aca="false">C108*E108*(1-G108)</f>
        <v>0</v>
      </c>
      <c r="Q108" s="1" t="s">
        <v>2493</v>
      </c>
    </row>
    <row r="109" customFormat="false" ht="15" hidden="false" customHeight="false" outlineLevel="0" collapsed="false">
      <c r="B109" s="1" t="s">
        <v>530</v>
      </c>
      <c r="C109" s="1" t="n">
        <f aca="false">IF(LEFT(In_home,3)="Own",1,0)</f>
        <v>0</v>
      </c>
      <c r="D109" s="1" t="n">
        <v>0</v>
      </c>
      <c r="E109" s="1" t="n">
        <f aca="false">IF(Has_homeValue,1,0)</f>
        <v>0</v>
      </c>
      <c r="F109" s="1" t="n">
        <v>0</v>
      </c>
      <c r="G109" s="1" t="n">
        <f aca="false">IF(ISNUMBER(SEARCH(","&amp;"homeValue"&amp;",",","&amp;SUBSTITUTE(In_lookKeys," ","")&amp;",")),1,0)</f>
        <v>0</v>
      </c>
      <c r="H109" s="1" t="n">
        <f aca="false">IF(ISNUMBER(SEARCH(","&amp;"homeValue"&amp;",",","&amp;SUBSTITUTE(In_ackKeys," ","")&amp;",")),1,0)</f>
        <v>0</v>
      </c>
      <c r="I109" s="1" t="n">
        <f aca="false">C109*(1-D109)</f>
        <v>0</v>
      </c>
      <c r="J109" s="1" t="n">
        <f aca="false">I109*E109</f>
        <v>0</v>
      </c>
      <c r="K109" s="1" t="n">
        <f aca="false">C109*G109*(1-H109)</f>
        <v>0</v>
      </c>
      <c r="L109" s="1" t="n">
        <f aca="false">C109*E109*(1-F109)</f>
        <v>0</v>
      </c>
      <c r="M109" s="1" t="n">
        <f aca="false">C109*MAX(E109,G109)</f>
        <v>0</v>
      </c>
      <c r="N109" s="1" t="n">
        <v>3</v>
      </c>
      <c r="O109" s="1" t="n">
        <f aca="false">C109*IF(G109=1,1,IF(AND(D109=0,E109=0),1,0))</f>
        <v>0</v>
      </c>
      <c r="P109" s="1" t="n">
        <f aca="false">C109*E109*(1-G109)</f>
        <v>0</v>
      </c>
      <c r="Q109" s="1" t="s">
        <v>2732</v>
      </c>
    </row>
    <row r="110" customFormat="false" ht="15" hidden="false" customHeight="false" outlineLevel="0" collapsed="false">
      <c r="B110" s="1" t="s">
        <v>1346</v>
      </c>
      <c r="C110" s="1" t="n">
        <f aca="false">IF(1,1,0)</f>
        <v>1</v>
      </c>
      <c r="D110" s="1" t="n">
        <v>0</v>
      </c>
      <c r="E110" s="1" t="n">
        <f aca="false">IF(Has_cash,1,0)</f>
        <v>0</v>
      </c>
      <c r="F110" s="1" t="n">
        <v>0</v>
      </c>
      <c r="G110" s="1" t="n">
        <f aca="false">IF(ISNUMBER(SEARCH(","&amp;"cash"&amp;",",","&amp;SUBSTITUTE(In_lookKeys," ","")&amp;",")),1,0)</f>
        <v>0</v>
      </c>
      <c r="H110" s="1" t="n">
        <f aca="false">IF(ISNUMBER(SEARCH(","&amp;"cash"&amp;",",","&amp;SUBSTITUTE(In_ackKeys," ","")&amp;",")),1,0)</f>
        <v>0</v>
      </c>
      <c r="I110" s="1" t="n">
        <f aca="false">C110*(1-D110)</f>
        <v>1</v>
      </c>
      <c r="J110" s="1" t="n">
        <f aca="false">I110*E110</f>
        <v>0</v>
      </c>
      <c r="K110" s="1" t="n">
        <f aca="false">C110*G110*(1-H110)</f>
        <v>0</v>
      </c>
      <c r="L110" s="1" t="n">
        <f aca="false">C110*E110*(1-F110)</f>
        <v>0</v>
      </c>
      <c r="M110" s="1" t="n">
        <f aca="false">C110*MAX(E110,G110)</f>
        <v>0</v>
      </c>
      <c r="N110" s="1" t="n">
        <v>3</v>
      </c>
      <c r="O110" s="1" t="n">
        <f aca="false">C110*IF(G110=1,1,IF(AND(D110=0,E110=0),1,0))</f>
        <v>1</v>
      </c>
      <c r="P110" s="1" t="n">
        <f aca="false">C110*E110*(1-G110)</f>
        <v>0</v>
      </c>
      <c r="Q110" s="1" t="s">
        <v>2733</v>
      </c>
    </row>
    <row r="111" customFormat="false" ht="15" hidden="false" customHeight="false" outlineLevel="0" collapsed="false">
      <c r="B111" s="1" t="s">
        <v>56</v>
      </c>
      <c r="C111" s="1" t="n">
        <f aca="false">IF(1,1,0)</f>
        <v>1</v>
      </c>
      <c r="D111" s="1" t="n">
        <v>0</v>
      </c>
      <c r="E111" s="1" t="n">
        <f aca="false">IF(Has_invest,1,0)</f>
        <v>0</v>
      </c>
      <c r="F111" s="1" t="n">
        <v>0</v>
      </c>
      <c r="G111" s="1" t="n">
        <f aca="false">IF(ISNUMBER(SEARCH(","&amp;"invest"&amp;",",","&amp;SUBSTITUTE(In_lookKeys," ","")&amp;",")),1,0)</f>
        <v>0</v>
      </c>
      <c r="H111" s="1" t="n">
        <f aca="false">IF(ISNUMBER(SEARCH(","&amp;"invest"&amp;",",","&amp;SUBSTITUTE(In_ackKeys,"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2734</v>
      </c>
    </row>
    <row r="112" customFormat="false" ht="15" hidden="false" customHeight="false" outlineLevel="0" collapsed="false">
      <c r="B112" s="1" t="s">
        <v>2735</v>
      </c>
      <c r="C112" s="1" t="n">
        <f aca="false">IF(1,1,0)</f>
        <v>1</v>
      </c>
      <c r="D112" s="1" t="n">
        <v>1</v>
      </c>
      <c r="E112" s="1" t="n">
        <f aca="false">IF(Has_propValue,1,0)</f>
        <v>0</v>
      </c>
      <c r="F112" s="1" t="n">
        <v>0</v>
      </c>
      <c r="G112" s="1" t="n">
        <f aca="false">IF(ISNUMBER(SEARCH(","&amp;"propValue"&amp;",",","&amp;SUBSTITUTE(In_lookKeys," ","")&amp;",")),1,0)</f>
        <v>0</v>
      </c>
      <c r="H112" s="1" t="n">
        <f aca="false">IF(ISNUMBER(SEARCH(","&amp;"propValue"&amp;",",","&amp;SUBSTITUTE(In_ackKeys,"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2736</v>
      </c>
    </row>
    <row r="113" customFormat="false" ht="15" hidden="false" customHeight="false" outlineLevel="0" collapsed="false">
      <c r="B113" s="1" t="s">
        <v>2737</v>
      </c>
      <c r="C113" s="1" t="n">
        <f aca="false">IF(1,1,0)</f>
        <v>1</v>
      </c>
      <c r="D113" s="1" t="n">
        <v>1</v>
      </c>
      <c r="E113" s="1" t="n">
        <f aca="false">IF(Has_rentM,1,0)</f>
        <v>0</v>
      </c>
      <c r="F113" s="1" t="n">
        <v>0</v>
      </c>
      <c r="G113" s="1" t="n">
        <f aca="false">IF(ISNUMBER(SEARCH(","&amp;"rentM"&amp;",",","&amp;SUBSTITUTE(In_lookKeys," ","")&amp;",")),1,0)</f>
        <v>0</v>
      </c>
      <c r="H113" s="1" t="n">
        <f aca="false">IF(ISNUMBER(SEARCH(","&amp;"rentM"&amp;",",","&amp;SUBSTITUTE(In_ackKeys," ","")&amp;",")),1,0)</f>
        <v>0</v>
      </c>
      <c r="I113" s="1" t="n">
        <f aca="false">C113*(1-D113)</f>
        <v>0</v>
      </c>
      <c r="J113" s="1" t="n">
        <f aca="false">I113*E113</f>
        <v>0</v>
      </c>
      <c r="K113" s="1" t="n">
        <f aca="false">C113*G113*(1-H113)</f>
        <v>0</v>
      </c>
      <c r="L113" s="1" t="n">
        <f aca="false">C113*E113*(1-F113)</f>
        <v>0</v>
      </c>
      <c r="M113" s="1" t="n">
        <f aca="false">C113*MAX(E113,G113)</f>
        <v>0</v>
      </c>
      <c r="N113" s="1" t="n">
        <v>3</v>
      </c>
      <c r="O113" s="1" t="n">
        <f aca="false">C113*IF(G113=1,1,IF(AND(D113=0,E113=0),1,0))</f>
        <v>0</v>
      </c>
      <c r="P113" s="1" t="n">
        <f aca="false">C113*E113*(1-G113)</f>
        <v>0</v>
      </c>
      <c r="Q113" s="1" t="s">
        <v>2738</v>
      </c>
    </row>
    <row r="114" customFormat="false" ht="15" hidden="false" customHeight="false" outlineLevel="0" collapsed="false">
      <c r="B114" s="1" t="s">
        <v>2739</v>
      </c>
      <c r="C114" s="1" t="n">
        <f aca="false">IF(1,1,0)</f>
        <v>1</v>
      </c>
      <c r="D114" s="1" t="n">
        <v>1</v>
      </c>
      <c r="E114" s="1" t="n">
        <f aca="false">IF(0,1,0)</f>
        <v>0</v>
      </c>
      <c r="F114" s="1" t="n">
        <v>0</v>
      </c>
      <c r="G114" s="1" t="n">
        <f aca="false">IF(ISNUMBER(SEARCH(","&amp;"mortYN"&amp;",",","&amp;SUBSTITUTE(In_lookKeys," ","")&amp;",")),1,0)</f>
        <v>0</v>
      </c>
      <c r="H114" s="1" t="n">
        <f aca="false">IF(ISNUMBER(SEARCH(","&amp;"mortYN"&amp;",",","&amp;SUBSTITUTE(In_ackKeys," ","")&amp;",")),1,0)</f>
        <v>0</v>
      </c>
      <c r="I114" s="1" t="n">
        <f aca="false">C114*(1-D114)</f>
        <v>0</v>
      </c>
      <c r="J114" s="1" t="n">
        <f aca="false">I114*E114</f>
        <v>0</v>
      </c>
      <c r="K114" s="1" t="n">
        <f aca="false">C114*G114*(1-H114)</f>
        <v>0</v>
      </c>
      <c r="L114" s="1" t="n">
        <f aca="false">C114*E114*(1-F114)</f>
        <v>0</v>
      </c>
      <c r="M114" s="1" t="n">
        <f aca="false">C114*MAX(E114,G114)</f>
        <v>0</v>
      </c>
      <c r="N114" s="1" t="n">
        <v>4</v>
      </c>
      <c r="O114" s="1" t="n">
        <f aca="false">C114*IF(G114=1,1,IF(AND(D114=0,E114=0),1,0))</f>
        <v>0</v>
      </c>
      <c r="P114" s="1" t="n">
        <f aca="false">C114*E114*(1-G114)</f>
        <v>0</v>
      </c>
      <c r="Q114" s="1" t="s">
        <v>2740</v>
      </c>
    </row>
    <row r="115" customFormat="false" ht="15" hidden="false" customHeight="false" outlineLevel="0" collapsed="false">
      <c r="B115" s="1" t="s">
        <v>1349</v>
      </c>
      <c r="C115" s="1" t="n">
        <f aca="false">IF(In_home="Own with mortgage",1,0)</f>
        <v>0</v>
      </c>
      <c r="D115" s="1" t="n">
        <v>0</v>
      </c>
      <c r="E115" s="1" t="n">
        <f aca="false">IF(Has_mortBal,1,0)</f>
        <v>0</v>
      </c>
      <c r="F115" s="1" t="n">
        <v>0</v>
      </c>
      <c r="G115" s="1" t="n">
        <f aca="false">IF(ISNUMBER(SEARCH(","&amp;"mortBal"&amp;",",","&amp;SUBSTITUTE(In_lookKeys," ","")&amp;",")),1,0)</f>
        <v>0</v>
      </c>
      <c r="H115" s="1" t="n">
        <f aca="false">IF(ISNUMBER(SEARCH(","&amp;"mortBal"&amp;",",","&amp;SUBSTITUTE(In_ackKeys," ","")&amp;",")),1,0)</f>
        <v>0</v>
      </c>
      <c r="I115" s="1" t="n">
        <f aca="false">C115*(1-D115)</f>
        <v>0</v>
      </c>
      <c r="J115" s="1" t="n">
        <f aca="false">I115*E115</f>
        <v>0</v>
      </c>
      <c r="K115" s="1" t="n">
        <f aca="false">C115*G115*(1-H115)</f>
        <v>0</v>
      </c>
      <c r="L115" s="1" t="n">
        <f aca="false">C115*E115*(1-F115)</f>
        <v>0</v>
      </c>
      <c r="M115" s="1" t="n">
        <f aca="false">C115*MAX(E115,G115)</f>
        <v>0</v>
      </c>
      <c r="N115" s="1" t="n">
        <v>4</v>
      </c>
      <c r="O115" s="1" t="n">
        <f aca="false">C115*IF(G115=1,1,IF(AND(D115=0,E115=0),1,0))</f>
        <v>0</v>
      </c>
      <c r="P115" s="1" t="n">
        <f aca="false">C115*E115*(1-G115)</f>
        <v>0</v>
      </c>
      <c r="Q115" s="1" t="s">
        <v>2741</v>
      </c>
    </row>
    <row r="116" customFormat="false" ht="15" hidden="false" customHeight="false" outlineLevel="0" collapsed="false">
      <c r="B116" s="1" t="s">
        <v>319</v>
      </c>
      <c r="C116" s="1" t="n">
        <f aca="false">IF(In_home="Own with mortgage",1,0)</f>
        <v>0</v>
      </c>
      <c r="D116" s="1" t="n">
        <v>0</v>
      </c>
      <c r="E116" s="1" t="n">
        <f aca="false">IF(Has_mortPayM,1,0)</f>
        <v>0</v>
      </c>
      <c r="F116" s="1" t="n">
        <v>0</v>
      </c>
      <c r="G116" s="1" t="n">
        <f aca="false">IF(OR(ISNUMBER(SEARCH(","&amp;"mortPayM"&amp;",",","&amp;SUBSTITUTE(In_lookKeys," ","")&amp;",")),F_MortPayLow=1),1,0)</f>
        <v>0</v>
      </c>
      <c r="H116" s="1" t="n">
        <f aca="false">IF(ISNUMBER(SEARCH(","&amp;"mortPayM"&amp;",",","&amp;SUBSTITUTE(In_ackKeys," ","")&amp;",")),1,0)</f>
        <v>0</v>
      </c>
      <c r="I116" s="1" t="n">
        <f aca="false">C116*(1-D116)</f>
        <v>0</v>
      </c>
      <c r="J116" s="1" t="n">
        <f aca="false">I116*E116</f>
        <v>0</v>
      </c>
      <c r="K116" s="1" t="n">
        <f aca="false">C116*G116*(1-H116)</f>
        <v>0</v>
      </c>
      <c r="L116" s="1" t="n">
        <f aca="false">C116*E116*(1-F116)</f>
        <v>0</v>
      </c>
      <c r="M116" s="1" t="n">
        <f aca="false">C116*MAX(E116,G116)</f>
        <v>0</v>
      </c>
      <c r="N116" s="1" t="n">
        <v>4</v>
      </c>
      <c r="O116" s="1" t="n">
        <f aca="false">C116*IF(G116=1,1,IF(AND(D116=0,E116=0),1,0))</f>
        <v>0</v>
      </c>
      <c r="P116" s="1" t="n">
        <f aca="false">C116*E116*(1-G116)</f>
        <v>0</v>
      </c>
      <c r="Q116" s="1" t="s">
        <v>2742</v>
      </c>
    </row>
    <row r="117" customFormat="false" ht="15" hidden="false" customHeight="false" outlineLevel="0" collapsed="false">
      <c r="B117" s="1" t="s">
        <v>419</v>
      </c>
      <c r="C117" s="1" t="n">
        <f aca="false">IF(In_home="Own with mortgage",1,0)</f>
        <v>0</v>
      </c>
      <c r="D117" s="1" t="n">
        <v>0</v>
      </c>
      <c r="E117" s="1" t="n">
        <f aca="false">IF(Has_mortYears,1,0)</f>
        <v>0</v>
      </c>
      <c r="F117" s="1" t="n">
        <v>0</v>
      </c>
      <c r="G117" s="1" t="n">
        <f aca="false">IF(ISNUMBER(SEARCH(","&amp;"mortYears"&amp;",",","&amp;SUBSTITUTE(In_lookKeys," ","")&amp;",")),1,0)</f>
        <v>0</v>
      </c>
      <c r="H117" s="1" t="n">
        <f aca="false">IF(ISNUMBER(SEARCH(","&amp;"mortYears"&amp;",",","&amp;SUBSTITUTE(In_ackKeys,"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2743</v>
      </c>
    </row>
    <row r="118" customFormat="false" ht="15" hidden="false" customHeight="false" outlineLevel="0" collapsed="false">
      <c r="B118" s="1" t="s">
        <v>315</v>
      </c>
      <c r="C118" s="1" t="n">
        <f aca="false">IF(In_home="Own with mortgage",1,0)</f>
        <v>0</v>
      </c>
      <c r="D118" s="1" t="n">
        <v>0</v>
      </c>
      <c r="E118" s="1" t="n">
        <f aca="false">IF(OR(In_mortRate&gt;0,Has_a_mortRate=1),1,0)</f>
        <v>0</v>
      </c>
      <c r="F118" s="1" t="n">
        <v>0</v>
      </c>
      <c r="G118" s="1" t="n">
        <f aca="false">IF(ISNUMBER(SEARCH(","&amp;"mortRate"&amp;",",","&amp;SUBSTITUTE(In_lookKeys," ","")&amp;",")),1,0)</f>
        <v>0</v>
      </c>
      <c r="H118" s="1" t="n">
        <f aca="false">IF(ISNUMBER(SEARCH(","&amp;"mortRate"&amp;",",","&amp;SUBSTITUTE(In_ackKeys,"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2744</v>
      </c>
    </row>
    <row r="119" customFormat="false" ht="15" hidden="false" customHeight="false" outlineLevel="0" collapsed="false">
      <c r="B119" s="1" t="s">
        <v>2745</v>
      </c>
      <c r="C119" s="1" t="n">
        <f aca="false">IF(1,1,0)</f>
        <v>1</v>
      </c>
      <c r="D119" s="1" t="n">
        <v>0</v>
      </c>
      <c r="E119" s="1" t="n">
        <f aca="false">IF(Has_cardBal,1,0)</f>
        <v>0</v>
      </c>
      <c r="F119" s="1" t="n">
        <v>0</v>
      </c>
      <c r="G119" s="1" t="n">
        <f aca="false">IF(ISNUMBER(SEARCH(","&amp;"cardBal"&amp;",",","&amp;SUBSTITUTE(In_lookKeys," ","")&amp;",")),1,0)</f>
        <v>0</v>
      </c>
      <c r="H119" s="1" t="n">
        <f aca="false">IF(ISNUMBER(SEARCH(","&amp;"cardBal"&amp;",",","&amp;SUBSTITUTE(In_ackKeys," ","")&amp;",")),1,0)</f>
        <v>0</v>
      </c>
      <c r="I119" s="1" t="n">
        <f aca="false">C119*(1-D119)</f>
        <v>1</v>
      </c>
      <c r="J119" s="1" t="n">
        <f aca="false">I119*E119</f>
        <v>0</v>
      </c>
      <c r="K119" s="1" t="n">
        <f aca="false">C119*G119*(1-H119)</f>
        <v>0</v>
      </c>
      <c r="L119" s="1" t="n">
        <f aca="false">C119*E119*(1-F119)</f>
        <v>0</v>
      </c>
      <c r="M119" s="1" t="n">
        <f aca="false">C119*MAX(E119,G119)</f>
        <v>0</v>
      </c>
      <c r="N119" s="1" t="n">
        <v>4</v>
      </c>
      <c r="O119" s="1" t="n">
        <f aca="false">C119*IF(G119=1,1,IF(AND(D119=0,E119=0),1,0))</f>
        <v>1</v>
      </c>
      <c r="P119" s="1" t="n">
        <f aca="false">C119*E119*(1-G119)</f>
        <v>0</v>
      </c>
      <c r="Q119" s="1" t="s">
        <v>2746</v>
      </c>
    </row>
    <row r="120" customFormat="false" ht="15" hidden="false" customHeight="false" outlineLevel="0" collapsed="false">
      <c r="B120" s="1" t="s">
        <v>1359</v>
      </c>
      <c r="C120" s="1" t="n">
        <f aca="false">IF(1,1,0)</f>
        <v>1</v>
      </c>
      <c r="D120" s="1" t="n">
        <v>0</v>
      </c>
      <c r="E120" s="1" t="n">
        <f aca="false">IF(Has_cardPayM,1,0)</f>
        <v>0</v>
      </c>
      <c r="F120" s="1" t="n">
        <v>0</v>
      </c>
      <c r="G120" s="1" t="n">
        <f aca="false">IF(OR(ISNUMBER(SEARCH(","&amp;"cardPayM"&amp;",",","&amp;SUBSTITUTE(In_lookKeys," ","")&amp;",")),AND(In_cardBal&gt;0,In_cardPayM&gt;0,IF(In_cardRate&gt;0,In_cardRate,IF(Has_a_cardRate=1,In_a_cardRate,0))&gt;0,In_cardPayM&lt;In_cardBal*(IF(In_cardRate&gt;0,In_cardRate,IF(Has_a_cardRate=1,In_a_cardRate,0))/12+0.01))),1,0)</f>
        <v>0</v>
      </c>
      <c r="H120" s="1" t="n">
        <f aca="false">IF(ISNUMBER(SEARCH(","&amp;"cardPayM"&amp;",",","&amp;SUBSTITUTE(In_ackKeys," ","")&amp;",")),1,0)</f>
        <v>0</v>
      </c>
      <c r="I120" s="1" t="n">
        <f aca="false">C120*(1-D120)</f>
        <v>1</v>
      </c>
      <c r="J120" s="1" t="n">
        <f aca="false">I120*E120</f>
        <v>0</v>
      </c>
      <c r="K120" s="1" t="n">
        <f aca="false">C120*G120*(1-H120)</f>
        <v>0</v>
      </c>
      <c r="L120" s="1" t="n">
        <f aca="false">C120*E120*(1-F120)</f>
        <v>0</v>
      </c>
      <c r="M120" s="1" t="n">
        <f aca="false">C120*MAX(E120,G120)</f>
        <v>0</v>
      </c>
      <c r="N120" s="1" t="n">
        <v>4</v>
      </c>
      <c r="O120" s="1" t="n">
        <f aca="false">C120*IF(G120=1,1,IF(AND(D120=0,E120=0),1,0))</f>
        <v>1</v>
      </c>
      <c r="P120" s="1" t="n">
        <f aca="false">C120*E120*(1-G120)</f>
        <v>0</v>
      </c>
      <c r="Q120" s="1" t="s">
        <v>2747</v>
      </c>
    </row>
    <row r="121" customFormat="false" ht="15" hidden="false" customHeight="false" outlineLevel="0" collapsed="false">
      <c r="B121" s="1" t="s">
        <v>2748</v>
      </c>
      <c r="C121" s="1" t="n">
        <f aca="false">IF(In_cardBal&gt;0,1,0)</f>
        <v>0</v>
      </c>
      <c r="D121" s="1" t="n">
        <v>0</v>
      </c>
      <c r="E121" s="1" t="n">
        <f aca="false">IF(OR(In_cardRate&gt;0,Has_a_cardRate=1),1,0)</f>
        <v>0</v>
      </c>
      <c r="F121" s="1" t="n">
        <v>0</v>
      </c>
      <c r="G121" s="1" t="n">
        <f aca="false">IF(ISNUMBER(SEARCH(","&amp;"cardRate"&amp;",",","&amp;SUBSTITUTE(In_lookKeys," ","")&amp;",")),1,0)</f>
        <v>0</v>
      </c>
      <c r="H121" s="1" t="n">
        <f aca="false">IF(ISNUMBER(SEARCH(","&amp;"cardRate"&amp;",",","&amp;SUBSTITUTE(In_ackKeys,"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2749</v>
      </c>
    </row>
    <row r="122" customFormat="false" ht="15" hidden="false" customHeight="false" outlineLevel="0" collapsed="false">
      <c r="B122" s="1" t="s">
        <v>1363</v>
      </c>
      <c r="C122" s="1" t="n">
        <f aca="false">IF(1,1,0)</f>
        <v>1</v>
      </c>
      <c r="D122" s="1" t="n">
        <v>0</v>
      </c>
      <c r="E122" s="1" t="n">
        <f aca="false">IF(Has_loanBal,1,0)</f>
        <v>0</v>
      </c>
      <c r="F122" s="1" t="n">
        <v>0</v>
      </c>
      <c r="G122" s="1" t="n">
        <f aca="false">IF(ISNUMBER(SEARCH(","&amp;"loanBal"&amp;",",","&amp;SUBSTITUTE(In_lookKeys," ","")&amp;",")),1,0)</f>
        <v>0</v>
      </c>
      <c r="H122" s="1" t="n">
        <f aca="false">IF(ISNUMBER(SEARCH(","&amp;"loanBal"&amp;",",","&amp;SUBSTITUTE(In_ackKeys,"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2750</v>
      </c>
    </row>
    <row r="123" customFormat="false" ht="15" hidden="false" customHeight="false" outlineLevel="0" collapsed="false">
      <c r="B123" s="1" t="s">
        <v>1365</v>
      </c>
      <c r="C123" s="1" t="n">
        <f aca="false">IF(1,1,0)</f>
        <v>1</v>
      </c>
      <c r="D123" s="1" t="n">
        <v>0</v>
      </c>
      <c r="E123" s="1" t="n">
        <f aca="false">IF(Has_loanPayM,1,0)</f>
        <v>0</v>
      </c>
      <c r="F123" s="1" t="n">
        <v>0</v>
      </c>
      <c r="G123" s="1" t="n">
        <f aca="false">IF(OR(ISNUMBER(SEARCH(","&amp;"loanPayM"&amp;",",","&amp;SUBSTITUTE(In_lookKeys," ","")&amp;",")),AND(In_loanBal&gt;0,In_loanPayM&gt;0,IF(In_loanRate&gt;0,In_loanRate,IF(Has_a_loanRate=1,In_a_loanRate,0))&gt;0,In_loanPayM&lt;In_loanBal*(IF(In_loanRate&gt;0,In_loanRate,IF(Has_a_loanRate=1,In_a_loanRate,0))/12+0.01))),1,0)</f>
        <v>0</v>
      </c>
      <c r="H123" s="1" t="n">
        <f aca="false">IF(ISNUMBER(SEARCH(","&amp;"loanPayM"&amp;",",","&amp;SUBSTITUTE(In_ackKeys,"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2751</v>
      </c>
    </row>
    <row r="124" customFormat="false" ht="15" hidden="false" customHeight="false" outlineLevel="0" collapsed="false">
      <c r="B124" s="1" t="s">
        <v>2752</v>
      </c>
      <c r="C124" s="1" t="n">
        <f aca="false">IF(In_loanBal+In_debt&gt;0,1,0)</f>
        <v>0</v>
      </c>
      <c r="D124" s="1" t="n">
        <v>0</v>
      </c>
      <c r="E124" s="1" t="n">
        <f aca="false">IF(OR(In_loanRate&gt;0,Has_a_loanRate=1),1,0)</f>
        <v>0</v>
      </c>
      <c r="F124" s="1" t="n">
        <v>0</v>
      </c>
      <c r="G124" s="1" t="n">
        <f aca="false">IF(ISNUMBER(SEARCH(","&amp;"loanRate"&amp;",",","&amp;SUBSTITUTE(In_lookKeys," ","")&amp;",")),1,0)</f>
        <v>0</v>
      </c>
      <c r="H124" s="1" t="n">
        <f aca="false">IF(ISNUMBER(SEARCH(","&amp;"loanRate"&amp;",",","&amp;SUBSTITUTE(In_ackKeys,"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2753</v>
      </c>
    </row>
    <row r="125" customFormat="false" ht="15" hidden="false" customHeight="false" outlineLevel="0" collapsed="false">
      <c r="B125" s="1" t="s">
        <v>2754</v>
      </c>
      <c r="C125" s="1" t="n">
        <f aca="false">IF(Mort2_Bal&gt;0,1,0)</f>
        <v>0</v>
      </c>
      <c r="D125" s="1" t="n">
        <v>0</v>
      </c>
      <c r="E125" s="1" t="n">
        <f aca="false">IF(Mort2_NeedsTerm=0,1,0)</f>
        <v>1</v>
      </c>
      <c r="F125" s="1" t="n">
        <v>0</v>
      </c>
      <c r="G125" s="1" t="n">
        <f aca="false">IF(ISNUMBER(SEARCH(","&amp;"mort2"&amp;",",","&amp;SUBSTITUTE(In_lookKeys," ","")&amp;",")),1,0)</f>
        <v>0</v>
      </c>
      <c r="H125" s="1" t="n">
        <f aca="false">IF(ISNUMBER(SEARCH(","&amp;"mort2"&amp;",",","&amp;SUBSTITUTE(In_ackKeys," ","")&amp;",")),1,0)</f>
        <v>0</v>
      </c>
      <c r="I125" s="1" t="n">
        <f aca="false">C125*(1-D125)</f>
        <v>0</v>
      </c>
      <c r="J125" s="1" t="n">
        <f aca="false">I125*E125</f>
        <v>0</v>
      </c>
      <c r="K125" s="1" t="n">
        <f aca="false">C125*G125*(1-H125)</f>
        <v>0</v>
      </c>
      <c r="L125" s="1" t="n">
        <f aca="false">C125*E125*(1-F125)</f>
        <v>0</v>
      </c>
      <c r="M125" s="1" t="n">
        <f aca="false">C125*MAX(E125,G125)</f>
        <v>0</v>
      </c>
      <c r="N125" s="1" t="n">
        <v>4</v>
      </c>
      <c r="O125" s="1" t="n">
        <f aca="false">C125*IF(G125=1,1,IF(AND(D125=0,E125=0),1,0))</f>
        <v>0</v>
      </c>
      <c r="P125" s="1" t="n">
        <f aca="false">C125*E125*(1-G125)</f>
        <v>0</v>
      </c>
      <c r="Q125" s="1" t="s">
        <v>2755</v>
      </c>
    </row>
    <row r="126" customFormat="false" ht="15" hidden="false" customHeight="false" outlineLevel="0" collapsed="false">
      <c r="B126" s="1" t="s">
        <v>2756</v>
      </c>
      <c r="C126" s="1" t="n">
        <f aca="false">IF(1,1,0)</f>
        <v>1</v>
      </c>
      <c r="D126" s="1" t="n">
        <v>0</v>
      </c>
      <c r="E126" s="1" t="n">
        <f aca="false">IF(Has_life,1,0)</f>
        <v>0</v>
      </c>
      <c r="F126" s="1" t="n">
        <v>0</v>
      </c>
      <c r="G126" s="1" t="n">
        <f aca="false">IF(ISNUMBER(SEARCH(","&amp;"life"&amp;",",","&amp;SUBSTITUTE(In_lookKeys," ","")&amp;",")),1,0)</f>
        <v>0</v>
      </c>
      <c r="H126" s="1" t="n">
        <f aca="false">IF(ISNUMBER(SEARCH(","&amp;"life"&amp;",",","&amp;SUBSTITUTE(In_ackKeys," ","")&amp;",")),1,0)</f>
        <v>0</v>
      </c>
      <c r="I126" s="1" t="n">
        <f aca="false">C126*(1-D126)</f>
        <v>1</v>
      </c>
      <c r="J126" s="1" t="n">
        <f aca="false">I126*E126</f>
        <v>0</v>
      </c>
      <c r="K126" s="1" t="n">
        <f aca="false">C126*G126*(1-H126)</f>
        <v>0</v>
      </c>
      <c r="L126" s="1" t="n">
        <f aca="false">C126*E126*(1-F126)</f>
        <v>0</v>
      </c>
      <c r="M126" s="1" t="n">
        <f aca="false">C126*MAX(E126,G126)</f>
        <v>0</v>
      </c>
      <c r="N126" s="1" t="n">
        <v>5</v>
      </c>
      <c r="O126" s="1" t="n">
        <f aca="false">C126*IF(G126=1,1,IF(AND(D126=0,E126=0),1,0))</f>
        <v>1</v>
      </c>
      <c r="P126" s="1" t="n">
        <f aca="false">C126*E126*(1-G126)</f>
        <v>0</v>
      </c>
      <c r="Q126" s="1" t="s">
        <v>2757</v>
      </c>
    </row>
    <row r="127" customFormat="false" ht="15" hidden="false" customHeight="false" outlineLevel="0" collapsed="false">
      <c r="B127" s="1" t="s">
        <v>2758</v>
      </c>
      <c r="C127" s="1" t="n">
        <f aca="false">IF(1,1,0)</f>
        <v>1</v>
      </c>
      <c r="D127" s="1" t="n">
        <v>0</v>
      </c>
      <c r="E127" s="1" t="n">
        <f aca="false">IF(Has_ip,1,0)</f>
        <v>0</v>
      </c>
      <c r="F127" s="1" t="n">
        <v>0</v>
      </c>
      <c r="G127" s="1" t="n">
        <f aca="false">IF(ISNUMBER(SEARCH(","&amp;"ip"&amp;",",","&amp;SUBSTITUTE(In_lookKeys," ","")&amp;",")),1,0)</f>
        <v>0</v>
      </c>
      <c r="H127" s="1" t="n">
        <f aca="false">IF(ISNUMBER(SEARCH(","&amp;"ip"&amp;",",","&amp;SUBSTITUTE(In_ackKeys," ","")&amp;",")),1,0)</f>
        <v>0</v>
      </c>
      <c r="I127" s="1" t="n">
        <f aca="false">C127*(1-D127)</f>
        <v>1</v>
      </c>
      <c r="J127" s="1" t="n">
        <f aca="false">I127*E127</f>
        <v>0</v>
      </c>
      <c r="K127" s="1" t="n">
        <f aca="false">C127*G127*(1-H127)</f>
        <v>0</v>
      </c>
      <c r="L127" s="1" t="n">
        <f aca="false">C127*E127*(1-F127)</f>
        <v>0</v>
      </c>
      <c r="M127" s="1" t="n">
        <f aca="false">C127*MAX(E127,G127)</f>
        <v>0</v>
      </c>
      <c r="N127" s="1" t="n">
        <v>5</v>
      </c>
      <c r="O127" s="1" t="n">
        <f aca="false">C127*IF(G127=1,1,IF(AND(D127=0,E127=0),1,0))</f>
        <v>1</v>
      </c>
      <c r="P127" s="1" t="n">
        <f aca="false">C127*E127*(1-G127)</f>
        <v>0</v>
      </c>
      <c r="Q127" s="1" t="s">
        <v>2759</v>
      </c>
    </row>
    <row r="128" customFormat="false" ht="15" hidden="false" customHeight="false" outlineLevel="0" collapsed="false">
      <c r="B128" s="1" t="s">
        <v>2760</v>
      </c>
      <c r="C128" s="1" t="n">
        <f aca="false">IF(1,1,0)</f>
        <v>1</v>
      </c>
      <c r="D128" s="1" t="n">
        <v>0</v>
      </c>
      <c r="E128" s="1" t="n">
        <f aca="false">IF(Has_ci,1,0)</f>
        <v>0</v>
      </c>
      <c r="F128" s="1" t="n">
        <v>0</v>
      </c>
      <c r="G128" s="1" t="n">
        <f aca="false">IF(ISNUMBER(SEARCH(","&amp;"ci"&amp;",",","&amp;SUBSTITUTE(In_lookKeys," ","")&amp;",")),1,0)</f>
        <v>0</v>
      </c>
      <c r="H128" s="1" t="n">
        <f aca="false">IF(ISNUMBER(SEARCH(","&amp;"ci"&amp;",",","&amp;SUBSTITUTE(In_ackKeys," ","")&amp;",")),1,0)</f>
        <v>0</v>
      </c>
      <c r="I128" s="1" t="n">
        <f aca="false">C128*(1-D128)</f>
        <v>1</v>
      </c>
      <c r="J128" s="1" t="n">
        <f aca="false">I128*E128</f>
        <v>0</v>
      </c>
      <c r="K128" s="1" t="n">
        <f aca="false">C128*G128*(1-H128)</f>
        <v>0</v>
      </c>
      <c r="L128" s="1" t="n">
        <f aca="false">C128*E128*(1-F128)</f>
        <v>0</v>
      </c>
      <c r="M128" s="1" t="n">
        <f aca="false">C128*MAX(E128,G128)</f>
        <v>0</v>
      </c>
      <c r="N128" s="1" t="n">
        <v>5</v>
      </c>
      <c r="O128" s="1" t="n">
        <f aca="false">C128*IF(G128=1,1,IF(AND(D128=0,E128=0),1,0))</f>
        <v>1</v>
      </c>
      <c r="P128" s="1" t="n">
        <f aca="false">C128*E128*(1-G128)</f>
        <v>0</v>
      </c>
      <c r="Q128" s="1" t="s">
        <v>2761</v>
      </c>
    </row>
    <row r="129" customFormat="false" ht="15" hidden="false" customHeight="false" outlineLevel="0" collapsed="false">
      <c r="B129" s="1" t="s">
        <v>2762</v>
      </c>
      <c r="C129" s="1" t="n">
        <f aca="false">IF(1,1,0)</f>
        <v>1</v>
      </c>
      <c r="D129" s="1" t="n">
        <v>0</v>
      </c>
      <c r="E129" s="1" t="n">
        <f aca="false">IF(Has_workCover,1,0)</f>
        <v>0</v>
      </c>
      <c r="F129" s="1" t="n">
        <v>0</v>
      </c>
      <c r="G129" s="1" t="n">
        <f aca="false">IF(ISNUMBER(SEARCH(","&amp;"workCover"&amp;",",","&amp;SUBSTITUTE(In_lookKeys," ","")&amp;",")),1,0)</f>
        <v>0</v>
      </c>
      <c r="H129" s="1" t="n">
        <f aca="false">IF(ISNUMBER(SEARCH(","&amp;"workCover"&amp;",",","&amp;SUBSTITUTE(In_ackKeys,"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2763</v>
      </c>
    </row>
    <row r="130" customFormat="false" ht="15" hidden="false" customHeight="false" outlineLevel="0" collapsed="false">
      <c r="B130" s="1" t="s">
        <v>2764</v>
      </c>
      <c r="C130" s="1" t="n">
        <f aca="false">IF(1,1,0)</f>
        <v>1</v>
      </c>
      <c r="D130" s="1" t="n">
        <v>0</v>
      </c>
      <c r="E130" s="1" t="n">
        <f aca="false">IF(Has_health,1,0)</f>
        <v>0</v>
      </c>
      <c r="F130" s="1" t="n">
        <v>0</v>
      </c>
      <c r="G130" s="1" t="n">
        <f aca="false">IF(ISNUMBER(SEARCH(","&amp;"health"&amp;",",","&amp;SUBSTITUTE(In_lookKeys," ","")&amp;",")),1,0)</f>
        <v>0</v>
      </c>
      <c r="H130" s="1" t="n">
        <f aca="false">IF(ISNUMBER(SEARCH(","&amp;"health"&amp;",",","&amp;SUBSTITUTE(In_ackKeys,"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2525</v>
      </c>
    </row>
    <row r="131" customFormat="false" ht="15" hidden="false" customHeight="false" outlineLevel="0" collapsed="false">
      <c r="B131" s="1" t="s">
        <v>727</v>
      </c>
      <c r="C131" s="1" t="n">
        <f aca="false">IF(1,1,0)</f>
        <v>1</v>
      </c>
      <c r="D131" s="1" t="n">
        <v>0</v>
      </c>
      <c r="E131" s="1" t="n">
        <f aca="false">IF(Has_pension,1,0)</f>
        <v>0</v>
      </c>
      <c r="F131" s="1" t="n">
        <v>0</v>
      </c>
      <c r="G131" s="1" t="n">
        <f aca="false">IF(ISNUMBER(SEARCH(","&amp;"pension"&amp;",",","&amp;SUBSTITUTE(In_lookKeys," ","")&amp;",")),1,0)</f>
        <v>0</v>
      </c>
      <c r="H131" s="1" t="n">
        <f aca="false">IF(ISNUMBER(SEARCH(","&amp;"pension"&amp;",",","&amp;SUBSTITUTE(In_ackKeys," ","")&amp;",")),1,0)</f>
        <v>0</v>
      </c>
      <c r="I131" s="1" t="n">
        <f aca="false">C131*(1-D131)</f>
        <v>1</v>
      </c>
      <c r="J131" s="1" t="n">
        <f aca="false">I131*E131</f>
        <v>0</v>
      </c>
      <c r="K131" s="1" t="n">
        <f aca="false">C131*G131*(1-H131)</f>
        <v>0</v>
      </c>
      <c r="L131" s="1" t="n">
        <f aca="false">C131*E131*(1-F131)</f>
        <v>0</v>
      </c>
      <c r="M131" s="1" t="n">
        <f aca="false">C131*MAX(E131,G131)</f>
        <v>0</v>
      </c>
      <c r="N131" s="1" t="n">
        <v>6</v>
      </c>
      <c r="O131" s="1" t="n">
        <f aca="false">C131*IF(G131=1,1,IF(AND(D131=0,E131=0),1,0))</f>
        <v>1</v>
      </c>
      <c r="P131" s="1" t="n">
        <f aca="false">C131*E131*(1-G131)</f>
        <v>0</v>
      </c>
      <c r="Q131" s="1" t="s">
        <v>1424</v>
      </c>
    </row>
    <row r="132" customFormat="false" ht="15" hidden="false" customHeight="false" outlineLevel="0" collapsed="false">
      <c r="B132" s="1" t="s">
        <v>2765</v>
      </c>
      <c r="C132" s="1" t="n">
        <f aca="false">IF(1,1,0)</f>
        <v>1</v>
      </c>
      <c r="D132" s="1" t="n">
        <v>0</v>
      </c>
      <c r="E132" s="1" t="n">
        <f aca="false">IF(Has_pensionM,1,0)</f>
        <v>0</v>
      </c>
      <c r="F132" s="1" t="n">
        <v>0</v>
      </c>
      <c r="G132" s="1" t="n">
        <f aca="false">IF(ISNUMBER(SEARCH(","&amp;"pensionM"&amp;",",","&amp;SUBSTITUTE(In_lookKeys," ","")&amp;",")),1,0)</f>
        <v>0</v>
      </c>
      <c r="H132" s="1" t="n">
        <f aca="false">IF(ISNUMBER(SEARCH(","&amp;"pensionM"&amp;",",","&amp;SUBSTITUTE(In_ackKeys," ","")&amp;",")),1,0)</f>
        <v>0</v>
      </c>
      <c r="I132" s="1" t="n">
        <f aca="false">C132*(1-D132)</f>
        <v>1</v>
      </c>
      <c r="J132" s="1" t="n">
        <f aca="false">I132*E132</f>
        <v>0</v>
      </c>
      <c r="K132" s="1" t="n">
        <f aca="false">C132*G132*(1-H132)</f>
        <v>0</v>
      </c>
      <c r="L132" s="1" t="n">
        <f aca="false">C132*E132*(1-F132)</f>
        <v>0</v>
      </c>
      <c r="M132" s="1" t="n">
        <f aca="false">C132*MAX(E132,G132)</f>
        <v>0</v>
      </c>
      <c r="N132" s="1" t="n">
        <v>6</v>
      </c>
      <c r="O132" s="1" t="n">
        <f aca="false">C132*IF(G132=1,1,IF(AND(D132=0,E132=0),1,0))</f>
        <v>1</v>
      </c>
      <c r="P132" s="1" t="n">
        <f aca="false">C132*E132*(1-G132)</f>
        <v>0</v>
      </c>
      <c r="Q132" s="1" t="s">
        <v>2766</v>
      </c>
    </row>
    <row r="133" customFormat="false" ht="15" hidden="false" customHeight="false" outlineLevel="0" collapsed="false">
      <c r="B133" s="1" t="s">
        <v>1844</v>
      </c>
      <c r="C133" s="1" t="n">
        <f aca="false">IF(AND(In_pensionM&gt;0,In_work&lt;&gt;"Not working"),1,0)</f>
        <v>0</v>
      </c>
      <c r="D133" s="1" t="n">
        <v>1</v>
      </c>
      <c r="E133" s="1" t="n">
        <f aca="false">IF(Has_pensionOwnM,1,0)</f>
        <v>0</v>
      </c>
      <c r="F133" s="1" t="n">
        <v>0</v>
      </c>
      <c r="G133" s="1" t="n">
        <f aca="false">IF(ISNUMBER(SEARCH(","&amp;"pensionOwnM"&amp;",",","&amp;SUBSTITUTE(In_lookKeys," ","")&amp;",")),1,0)</f>
        <v>0</v>
      </c>
      <c r="H133" s="1" t="n">
        <f aca="false">IF(ISNUMBER(SEARCH(","&amp;"pensionOwnM"&amp;",",","&amp;SUBSTITUTE(In_ackKeys," ","")&amp;",")),1,0)</f>
        <v>0</v>
      </c>
      <c r="I133" s="1" t="n">
        <f aca="false">C133*(1-D133)</f>
        <v>0</v>
      </c>
      <c r="J133" s="1" t="n">
        <f aca="false">I133*E133</f>
        <v>0</v>
      </c>
      <c r="K133" s="1" t="n">
        <f aca="false">C133*G133*(1-H133)</f>
        <v>0</v>
      </c>
      <c r="L133" s="1" t="n">
        <f aca="false">C133*E133*(1-F133)</f>
        <v>0</v>
      </c>
      <c r="M133" s="1" t="n">
        <f aca="false">C133*MAX(E133,G133)</f>
        <v>0</v>
      </c>
      <c r="N133" s="1" t="n">
        <v>6</v>
      </c>
      <c r="O133" s="1" t="n">
        <f aca="false">C133*IF(G133=1,1,IF(AND(D133=0,E133=0),1,0))</f>
        <v>0</v>
      </c>
      <c r="P133" s="1" t="n">
        <f aca="false">C133*E133*(1-G133)</f>
        <v>0</v>
      </c>
      <c r="Q133" s="1" t="s">
        <v>2767</v>
      </c>
    </row>
    <row r="134" customFormat="false" ht="15" hidden="false" customHeight="false" outlineLevel="0" collapsed="false">
      <c r="B134" s="1" t="s">
        <v>2768</v>
      </c>
      <c r="C134" s="1" t="n">
        <f aca="false">IF(AND(In_work="Employed",In_age&gt;=PR_AEageMin,In_age&lt;=PR_AEageMax,In_income&gt;PR_AEearnMin,NOT(In_pensionM&gt;0)),1,0)</f>
        <v>0</v>
      </c>
      <c r="D134" s="1" t="n">
        <v>1</v>
      </c>
      <c r="E134" s="1" t="n">
        <f aca="false">IF(Has_ae,1,0)</f>
        <v>0</v>
      </c>
      <c r="F134" s="1" t="n">
        <v>0</v>
      </c>
      <c r="G134" s="1" t="n">
        <f aca="false">IF(ISNUMBER(SEARCH(","&amp;"ae"&amp;",",","&amp;SUBSTITUTE(In_lookKeys," ","")&amp;",")),1,0)</f>
        <v>0</v>
      </c>
      <c r="H134" s="1" t="n">
        <f aca="false">IF(ISNUMBER(SEARCH(","&amp;"ae"&amp;",",","&amp;SUBSTITUTE(In_ackKeys," ","")&amp;",")),1,0)</f>
        <v>0</v>
      </c>
      <c r="I134" s="1" t="n">
        <f aca="false">C134*(1-D134)</f>
        <v>0</v>
      </c>
      <c r="J134" s="1" t="n">
        <f aca="false">I134*E134</f>
        <v>0</v>
      </c>
      <c r="K134" s="1" t="n">
        <f aca="false">C134*G134*(1-H134)</f>
        <v>0</v>
      </c>
      <c r="L134" s="1" t="n">
        <f aca="false">C134*E134*(1-F134)</f>
        <v>0</v>
      </c>
      <c r="M134" s="1" t="n">
        <f aca="false">C134*MAX(E134,G134)</f>
        <v>0</v>
      </c>
      <c r="N134" s="1" t="n">
        <v>6</v>
      </c>
      <c r="O134" s="1" t="n">
        <f aca="false">C134*IF(G134=1,1,IF(AND(D134=0,E134=0),1,0))</f>
        <v>0</v>
      </c>
      <c r="P134" s="1" t="n">
        <f aca="false">C134*E134*(1-G134)</f>
        <v>0</v>
      </c>
      <c r="Q134" s="1" t="s">
        <v>2769</v>
      </c>
    </row>
    <row r="135" customFormat="false" ht="15" hidden="false" customHeight="false" outlineLevel="0" collapsed="false">
      <c r="B135" s="1" t="s">
        <v>2770</v>
      </c>
      <c r="C135" s="1" t="n">
        <f aca="false">IF(1,1,0)</f>
        <v>1</v>
      </c>
      <c r="D135" s="1" t="n">
        <v>0</v>
      </c>
      <c r="E135" s="1" t="n">
        <f aca="false">IF(Has_sp,1,0)</f>
        <v>0</v>
      </c>
      <c r="F135" s="1" t="n">
        <v>0</v>
      </c>
      <c r="G135" s="1" t="n">
        <f aca="false">IF(ISNUMBER(SEARCH(","&amp;"sp"&amp;",",","&amp;SUBSTITUTE(In_lookKeys," ","")&amp;",")),1,0)</f>
        <v>0</v>
      </c>
      <c r="H135" s="1" t="n">
        <f aca="false">IF(ISNUMBER(SEARCH(","&amp;"sp"&amp;",",","&amp;SUBSTITUTE(In_ackKeys,"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2771</v>
      </c>
    </row>
    <row r="136" customFormat="false" ht="15" hidden="false" customHeight="false" outlineLevel="0" collapsed="false">
      <c r="B136" s="1" t="s">
        <v>1894</v>
      </c>
      <c r="C136" s="1" t="n">
        <f aca="false">IF(F_Partner=1,1,0)</f>
        <v>0</v>
      </c>
      <c r="D136" s="1" t="n">
        <v>1</v>
      </c>
      <c r="E136" s="1" t="n">
        <f aca="false">IF(Has_pSp,1,0)</f>
        <v>0</v>
      </c>
      <c r="F136" s="1" t="n">
        <v>0</v>
      </c>
      <c r="G136" s="1" t="n">
        <f aca="false">IF(ISNUMBER(SEARCH(","&amp;"pSp"&amp;",",","&amp;SUBSTITUTE(In_lookKeys," ","")&amp;",")),1,0)</f>
        <v>0</v>
      </c>
      <c r="H136" s="1" t="n">
        <f aca="false">IF(ISNUMBER(SEARCH(","&amp;"pSp"&amp;",",","&amp;SUBSTITUTE(In_ackKeys,"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2772</v>
      </c>
    </row>
    <row r="137" customFormat="false" ht="15" hidden="false" customHeight="false" outlineLevel="0" collapsed="false">
      <c r="B137" s="1" t="s">
        <v>2773</v>
      </c>
      <c r="C137" s="101" t="n">
        <f aca="false">SUM($O$98:$O$136)</f>
        <v>19</v>
      </c>
    </row>
    <row r="138" customFormat="false" ht="15" hidden="false" customHeight="false" outlineLevel="0" collapsed="false">
      <c r="B138" s="1" t="s">
        <v>2774</v>
      </c>
      <c r="C138" s="101" t="n">
        <f aca="false">SUMPRODUCT($K$98:$K$136*($Q$98:$Q$136&lt;&gt;"retireAge"))</f>
        <v>0</v>
      </c>
    </row>
    <row r="139" customFormat="false" ht="15" hidden="false" customHeight="false" outlineLevel="0" collapsed="false">
      <c r="B139" s="1" t="s">
        <v>2775</v>
      </c>
      <c r="C139" s="101" t="n">
        <f aca="false">SUM($P$98:$P$136)</f>
        <v>1</v>
      </c>
    </row>
    <row r="140" customFormat="false" ht="15" hidden="false" customHeight="false" outlineLevel="0" collapsed="false">
      <c r="B140" s="1" t="s">
        <v>2776</v>
      </c>
      <c r="C140" s="101" t="str">
        <f aca="false">IF(SUMIFS($K$98:$K$136,$N$98:$N$136,1)&gt;0,"look",IF(OR(SUMIFS($J$98:$J$136,$N$98:$N$136,1)=SUMIFS($I$98:$I$136,$N$98:$N$136,1),In_saved1="Yes"),"done",IF(SUMIFS($L$98:$L$136,$N$98:$N$136,1)&gt;0,"part","none")))</f>
        <v>none</v>
      </c>
    </row>
    <row r="141" customFormat="false" ht="15" hidden="false" customHeight="false" outlineLevel="0" collapsed="false">
      <c r="B141" s="1" t="s">
        <v>2777</v>
      </c>
      <c r="C141" s="101" t="str">
        <f aca="false">IF(SUMIFS($K$98:$K$136,$N$98:$N$136,2)&gt;0,"look",IF(OR(SUMIFS($J$98:$J$136,$N$98:$N$136,2)=SUMIFS($I$98:$I$136,$N$98:$N$136,2),In_saved2="Yes"),"done",IF(SUMIFS($L$98:$L$136,$N$98:$N$136,2)&gt;0,"part","none")))</f>
        <v>none</v>
      </c>
    </row>
    <row r="142" customFormat="false" ht="15" hidden="false" customHeight="false" outlineLevel="0" collapsed="false">
      <c r="B142" s="1" t="s">
        <v>2778</v>
      </c>
      <c r="C142" s="101" t="str">
        <f aca="false">IF(SUMIFS($K$98:$K$136,$N$98:$N$136,3)&gt;0,"look",IF(OR(SUMIFS($J$98:$J$136,$N$98:$N$136,3)=SUMIFS($I$98:$I$136,$N$98:$N$136,3),In_saved3="Yes"),"done",IF(SUMIFS($L$98:$L$136,$N$98:$N$136,3)&gt;0,"part","none")))</f>
        <v>none</v>
      </c>
    </row>
    <row r="143" customFormat="false" ht="15" hidden="false" customHeight="false" outlineLevel="0" collapsed="false">
      <c r="B143" s="1" t="s">
        <v>2779</v>
      </c>
      <c r="C143" s="101" t="str">
        <f aca="false">IF(SUMIFS($K$98:$K$136,$N$98:$N$136,4)&gt;0,"look",IF(OR(SUMIFS($J$98:$J$136,$N$98:$N$136,4)=SUMIFS($I$98:$I$136,$N$98:$N$136,4),In_saved4="Yes"),"done",IF(SUMIFS($L$98:$L$136,$N$98:$N$136,4)&gt;0,"part","none")))</f>
        <v>none</v>
      </c>
    </row>
    <row r="144" customFormat="false" ht="15" hidden="false" customHeight="false" outlineLevel="0" collapsed="false">
      <c r="B144" s="1" t="s">
        <v>2780</v>
      </c>
      <c r="C144" s="101" t="str">
        <f aca="false">IF(SUMIFS($K$98:$K$136,$N$98:$N$136,5)&gt;0,"look",IF(OR(SUMIFS($J$98:$J$136,$N$98:$N$136,5)=SUMIFS($I$98:$I$136,$N$98:$N$136,5),In_saved5="Yes"),"done",IF(SUMIFS($L$98:$L$136,$N$98:$N$136,5)&gt;0,"part","none")))</f>
        <v>none</v>
      </c>
    </row>
    <row r="145" customFormat="false" ht="15" hidden="false" customHeight="false" outlineLevel="0" collapsed="false">
      <c r="B145" s="1" t="s">
        <v>2781</v>
      </c>
      <c r="C145" s="101" t="str">
        <f aca="false">IF(SUMIFS($K$98:$K$136,$N$98:$N$136,6)&gt;0,"look",IF(OR(SUMIFS($J$98:$J$136,$N$98:$N$136,6)=SUMIFS($I$98:$I$136,$N$98:$N$136,6),In_saved6="Yes"),"done",IF(SUMIFS($L$98:$L$136,$N$98:$N$136,6)&gt;0,"part","none")))</f>
        <v>none</v>
      </c>
    </row>
    <row r="146" customFormat="false" ht="15" hidden="false" customHeight="false" outlineLevel="0" collapsed="false">
      <c r="B146" s="1" t="s">
        <v>2782</v>
      </c>
      <c r="C146" s="101" t="n">
        <f aca="false">IF(Fin1_St="done",1,0)+IF(Fin2_St="done",1,0)+IF(Fin3_St="done",1,0)+IF(Fin4_St="done",1,0)+IF(Fin5_St="done",1,0)+IF(Fin6_St="done",1,0)</f>
        <v>0</v>
      </c>
    </row>
    <row r="147" customFormat="false" ht="15" hidden="false" customHeight="false" outlineLevel="0" collapsed="false">
      <c r="B147" s="1" t="s">
        <v>2783</v>
      </c>
      <c r="C147" s="101" t="n">
        <f aca="false">IF(AND(OR(Fin1_St="done",Fin1_St="look"),OR(Fin2_St="done",Fin2_St="look"),OR(Fin3_St="done",Fin3_St="look",Fin6_St="done",Fin6_St="look")),1,0)</f>
        <v>0</v>
      </c>
    </row>
    <row r="148" customFormat="false" ht="15" hidden="false" customHeight="false" outlineLevel="0" collapsed="false">
      <c r="B148" s="1" t="s">
        <v>2784</v>
      </c>
      <c r="C148" s="101" t="n">
        <f aca="false">SUM($I$98:$I$136)-SUM($J$98:$J$136)</f>
        <v>20</v>
      </c>
    </row>
    <row r="149" customFormat="false" ht="15" hidden="false" customHeight="false" outlineLevel="0" collapsed="false">
      <c r="B149" s="1" t="s">
        <v>2785</v>
      </c>
      <c r="C149" s="101" t="n">
        <f aca="false">IF(AND(SUMIFS($C$98:$C$136,$N$98:$N$136,1)&gt;0,SUMIFS($M$98:$M$136,$N$98:$N$136,1)=0),1,0)+IF(AND(SUMIFS($C$98:$C$136,$N$98:$N$136,2)&gt;0,SUMIFS($M$98:$M$136,$N$98:$N$136,2)=0),1,0)+IF(AND(SUMIFS($C$98:$C$136,$N$98:$N$136,3)&gt;0,SUMIFS($M$98:$M$136,$N$98:$N$136,3)=0),1,0)+IF(AND(SUMIFS($C$98:$C$136,$N$98:$N$136,4)&gt;0,SUMIFS($M$98:$M$136,$N$98:$N$136,4)=0),1,0)+IF(AND(SUMIFS($C$98:$C$136,$N$98:$N$136,5)&gt;0,SUMIFS($M$98:$M$136,$N$98:$N$136,5)=0),1,0)+IF(AND(SUMIFS($C$98:$C$136,$N$98:$N$136,6)&gt;0,SUMIFS($M$98:$M$136,$N$98:$N$136,6)=0),1,0)</f>
        <v>5</v>
      </c>
    </row>
    <row r="150" customFormat="false" ht="15" hidden="false" customHeight="false" outlineLevel="0" collapsed="false">
      <c r="B150" s="1" t="s">
        <v>2786</v>
      </c>
      <c r="C150" s="101" t="n">
        <f aca="false">IF(OR(Fin_Skipped&gt;0,Fin_Quality&gt;2),1,0)</f>
        <v>1</v>
      </c>
    </row>
    <row r="151" customFormat="false" ht="15" hidden="false" customHeight="false" outlineLevel="0" collapsed="false">
      <c r="B151" s="1" t="s">
        <v>2787</v>
      </c>
      <c r="C151" s="101" t="n">
        <f aca="false">IF(AND(Home_Rough=1,Missing_Count=0),1,0)</f>
        <v>0</v>
      </c>
    </row>
    <row r="153" customFormat="false" ht="15" hidden="false" customHeight="false" outlineLevel="0" collapsed="false">
      <c r="B153" s="93" t="s">
        <v>2788</v>
      </c>
      <c r="C153" s="93" t="s">
        <v>1523</v>
      </c>
    </row>
    <row r="154" customFormat="false" ht="15" hidden="false" customHeight="false" outlineLevel="0" collapsed="false">
      <c r="B154" s="1" t="s">
        <v>2789</v>
      </c>
      <c r="C154" s="101" t="n">
        <f aca="false">SUMPRODUCT((GR_Key&lt;&gt;"")*1)</f>
        <v>0</v>
      </c>
    </row>
    <row r="155" customFormat="false" ht="15" hidden="false" customHeight="false" outlineLevel="0" collapsed="false">
      <c r="B155" s="1" t="s">
        <v>2790</v>
      </c>
      <c r="C155" s="101" t="n">
        <f aca="false">IF(Home_N&gt;0,ROUND(SUM(GR_PctN)/Home_N,0),0)</f>
        <v>0</v>
      </c>
    </row>
    <row r="156" customFormat="false" ht="15" hidden="false" customHeight="false" outlineLevel="0" collapsed="false">
      <c r="B156" s="1" t="s">
        <v>2791</v>
      </c>
      <c r="C156" s="101" t="n">
        <f aca="false">SUMPRODUCT((GR_Key&lt;&gt;"")*(GR_PctN&gt;=PR_Good))</f>
        <v>0</v>
      </c>
    </row>
    <row r="157" customFormat="false" ht="15" hidden="false" customHeight="false" outlineLevel="0" collapsed="false">
      <c r="B157" s="1" t="s">
        <v>2792</v>
      </c>
      <c r="C157" s="101" t="str">
        <f aca="false">IF(Home_Avg&gt;=PR_Good,"good",IF(Home_Avg&gt;=PR_Nudge,"nudge","alert"))</f>
        <v>alert</v>
      </c>
    </row>
    <row r="158" customFormat="false" ht="15" hidden="false" customHeight="false" outlineLevel="0" collapsed="false">
      <c r="B158" s="1" t="s">
        <v>2793</v>
      </c>
      <c r="C158" s="101" t="str">
        <f aca="false">IF(SUMPRODUCT((GR_Spec="mortgage")*1)&gt;0,"borrow,deposit,","")&amp;IF(SUMPRODUCT((GR_Spec="pension")*1)&gt;0,"retirement,contrib,","")&amp;"goalplanner,emergency,surplus,lifecover,compound"</f>
        <v>goalplanner,emergency,surplus,lifecover,compound</v>
      </c>
    </row>
    <row r="159" customFormat="false" ht="15" hidden="false" customHeight="false" outlineLevel="0" collapsed="false">
      <c r="B159" s="1" t="s">
        <v>2794</v>
      </c>
      <c r="C159" s="101" t="str">
        <f aca="false">IF(LEN(Tools_All)-LEN(SUBSTITUTE(Tools_All,",",""))&gt;=6,LEFT(Tools_All,FIND("|",SUBSTITUTE(Tools_All,",","|",6))-1),Tools_All)</f>
        <v>goalplanner,emergency,surplus,lifecover,compound</v>
      </c>
    </row>
    <row r="160" customFormat="false" ht="15" hidden="false" customHeight="false" outlineLevel="0" collapsed="false">
      <c r="B160" s="1" t="s">
        <v>2795</v>
      </c>
      <c r="C160" s="101" t="n">
        <f aca="false">IF(Home_N&gt;0,MATCH(MIN(GR_PctB),GR_PctB,0),0)</f>
        <v>0</v>
      </c>
    </row>
    <row r="161" customFormat="false" ht="15" hidden="false" customHeight="false" outlineLevel="0" collapsed="false">
      <c r="B161" s="1" t="s">
        <v>2796</v>
      </c>
      <c r="C161" s="101" t="str">
        <f aca="false">IF(Expert_Idx=0,"planner",INDEX(GR_Spec,Expert_Idx))</f>
        <v>planner</v>
      </c>
    </row>
    <row r="162" customFormat="false" ht="15" hidden="false" customHeight="false" outlineLevel="0" collapsed="false">
      <c r="B162" s="1" t="s">
        <v>2797</v>
      </c>
      <c r="C162" s="101" t="str">
        <f aca="false">IF(Expert_Key="mortgage","Mortgage expert",IF(Expert_Key="pension","Pension &amp; retirement expert",IF(Expert_Key="protection","Protection expert",IF(Expert_Key="investment","Investment expert","Financial planner"))))</f>
        <v>Financial planner</v>
      </c>
    </row>
    <row r="163" customFormat="false" ht="15" hidden="false" customHeight="false" outlineLevel="0" collapsed="false">
      <c r="B163" s="1" t="s">
        <v>2798</v>
      </c>
      <c r="C163" s="101" t="n">
        <f aca="false">ROUND(IF('Plan cashflow'!$HT$8=1,IF('Plan cashflow'!$F$8=1,MIN(MAX(0,'Plan cashflow'!$HY$8),'Plan cashflow'!$HR$8),'Plan cashflow'!$HR$8),0)/12,0)</f>
        <v>0</v>
      </c>
    </row>
    <row r="164" customFormat="false" ht="15" hidden="false" customHeight="false" outlineLevel="0" collapsed="false">
      <c r="B164" s="1" t="s">
        <v>2799</v>
      </c>
      <c r="C164" s="101" t="n">
        <f aca="false">INT(AS_SaveShare*Save_SurplusM/25)*25</f>
        <v>0</v>
      </c>
    </row>
    <row r="165" customFormat="false" ht="15" hidden="false" customHeight="false" outlineLevel="0" collapsed="false">
      <c r="B165" s="1" t="s">
        <v>2800</v>
      </c>
      <c r="C165" s="101" t="n">
        <f aca="false">IF(AND(Nudge_X&gt;=Save_SaveM_Base+PR_NudgeStep,Nudge_X&gt;=IF(Has_saveM=1,In_saveM,Save_SaveM_Base)+PR_NudgeStep),1,0)</f>
        <v>0</v>
      </c>
    </row>
    <row r="166" customFormat="false" ht="15" hidden="false" customHeight="false" outlineLevel="0" collapsed="false">
      <c r="B166" s="1" t="s">
        <v>2801</v>
      </c>
      <c r="C166" s="101" t="n">
        <f aca="false">MAX(0,Save_SaveM_Base+WI_M)</f>
        <v>0</v>
      </c>
    </row>
    <row r="167" customFormat="false" ht="15" hidden="false" customHeight="false" outlineLevel="0" collapsed="false">
      <c r="B167" s="1" t="s">
        <v>2802</v>
      </c>
      <c r="C167" s="101" t="n">
        <f aca="false">IF(AND(WI_M&lt;&gt;0,Wi_Total&gt;MAX(0,Save_SurplusM)+PR_MinShort),1,0)</f>
        <v>0</v>
      </c>
    </row>
    <row r="169" customFormat="false" ht="15" hidden="false" customHeight="false" outlineLevel="0" collapsed="false">
      <c r="B169" s="93" t="s">
        <v>2803</v>
      </c>
      <c r="C169" s="93" t="s">
        <v>1523</v>
      </c>
    </row>
    <row r="170" customFormat="false" ht="15" hidden="false" customHeight="false" outlineLevel="0" collapsed="false">
      <c r="B170" s="1" t="s">
        <v>2804</v>
      </c>
      <c r="C170" s="101" t="n">
        <f aca="false">SUM('Plan cashflow'!$TY$8:$TY$97)</f>
        <v>0</v>
      </c>
    </row>
    <row r="171" customFormat="false" ht="15" hidden="false" customHeight="false" outlineLevel="0" collapsed="false">
      <c r="B171" s="1" t="s">
        <v>2805</v>
      </c>
      <c r="C171" s="101" t="n">
        <f aca="false">SUM('Plan cashflow'!$TZ$8:$TZ$97)</f>
        <v>0</v>
      </c>
    </row>
    <row r="172" customFormat="false" ht="15" hidden="false" customHeight="false" outlineLevel="0" collapsed="false">
      <c r="B172" s="1" t="s">
        <v>2806</v>
      </c>
      <c r="C172" s="101" t="n">
        <f aca="false">IFERROR(MATCH(1,'Plan cashflow'!$TY$8:$TY$97,0),0)</f>
        <v>0</v>
      </c>
    </row>
    <row r="173" customFormat="false" ht="15" hidden="false" customHeight="false" outlineLevel="0" collapsed="false">
      <c r="B173" s="1" t="s">
        <v>2807</v>
      </c>
      <c r="C173" s="101" t="str">
        <f aca="false">IF(Chart_FirstShortIdx&gt;0,F_Age+Chart_FirstShortIdx-1,"")</f>
        <v/>
      </c>
    </row>
    <row r="174" customFormat="false" ht="15" hidden="false" customHeight="false" outlineLevel="0" collapsed="false">
      <c r="B174" s="1" t="s">
        <v>2808</v>
      </c>
      <c r="C174" s="101" t="str">
        <f aca="false">IF(Chart_FirstShortIdx&gt;0,INDEX('Plan cashflow'!$TX$8:$TX$97,Chart_FirstShortIdx),"")</f>
        <v/>
      </c>
    </row>
    <row r="175" customFormat="false" ht="15" hidden="false" customHeight="false" outlineLevel="0" collapsed="false">
      <c r="B175" s="1" t="s">
        <v>2809</v>
      </c>
      <c r="C175" s="101" t="n">
        <f aca="false">SUMPRODUCT('Plan cashflow'!$TY$8:$TY$97*'Plan cashflow'!$TX$8:$TX$97)</f>
        <v>0</v>
      </c>
    </row>
    <row r="176" customFormat="false" ht="15" hidden="false" customHeight="false" outlineLevel="0" collapsed="false">
      <c r="B176" s="1" t="s">
        <v>2810</v>
      </c>
      <c r="C176" s="101" t="n">
        <f aca="false">SUM('Plan cashflow'!$UA$8:$UA$97)</f>
        <v>0</v>
      </c>
    </row>
    <row r="177" customFormat="false" ht="15" hidden="false" customHeight="false" outlineLevel="0" collapsed="false">
      <c r="B177" s="1" t="s">
        <v>2811</v>
      </c>
      <c r="C177" s="101" t="str">
        <f aca="false">IFERROR(F_Age+MATCH(1,'Plan cashflow'!$UA$8:$UA$97,0)-1,"")</f>
        <v/>
      </c>
    </row>
    <row r="178" customFormat="false" ht="15" hidden="false" customHeight="false" outlineLevel="0" collapsed="false">
      <c r="B178" s="1" t="s">
        <v>2812</v>
      </c>
      <c r="C178" s="101" t="str">
        <f aca="false">IFERROR(F_Age+MATCH(1,'Plan cashflow'!$UI$8:$UI$97,0)-1,"")</f>
        <v/>
      </c>
    </row>
    <row r="179" customFormat="false" ht="15" hidden="false" customHeight="false" outlineLevel="0" collapsed="false">
      <c r="B179" s="1" t="s">
        <v>2813</v>
      </c>
      <c r="C179" s="101" t="n">
        <f aca="false">SUM('Plan cashflow'!$UI$8:$UI$97)</f>
        <v>0</v>
      </c>
    </row>
    <row r="180" customFormat="false" ht="15" hidden="false" customHeight="false" outlineLevel="0" collapsed="false">
      <c r="B180" s="111" t="s">
        <v>2814</v>
      </c>
      <c r="C180" s="111" t="s">
        <v>2815</v>
      </c>
      <c r="D180" s="111" t="s">
        <v>2816</v>
      </c>
      <c r="E180" s="111" t="s">
        <v>2817</v>
      </c>
      <c r="F180" s="111" t="s">
        <v>609</v>
      </c>
      <c r="G180" s="111" t="s">
        <v>2818</v>
      </c>
      <c r="H180" s="111" t="s">
        <v>2819</v>
      </c>
      <c r="I180" s="111" t="s">
        <v>2820</v>
      </c>
      <c r="J180" s="111" t="s">
        <v>2821</v>
      </c>
      <c r="K180" s="111" t="s">
        <v>2822</v>
      </c>
    </row>
    <row r="181" customFormat="false" ht="15" hidden="false" customHeight="false" outlineLevel="0" collapsed="false">
      <c r="B181" s="1" t="n">
        <v>1</v>
      </c>
      <c r="C181" s="1" t="n">
        <f aca="false">IF(COUNTIFS('Plan cashflow'!$UE$8:$UE$97,1,'Plan cashflow'!$C$8:$C$97,1)=0,"",INDEX('Plan cashflow'!$UD$8:$UD$97,MATCH(1,'Plan cashflow'!$UE$8:$UE$97,0)))</f>
        <v>0</v>
      </c>
      <c r="D181" s="1" t="n">
        <f aca="false">IF(COUNTIFS('Plan cashflow'!$UE$8:$UE$97,1,'Plan cashflow'!$C$8:$C$97,1)=0,"",F_Age+MATCH(1,'Plan cashflow'!$UE$8:$UE$97,0)-1)</f>
        <v>0</v>
      </c>
      <c r="E181" s="1" t="n">
        <f aca="false">IF(COUNTIFS('Plan cashflow'!$UE$8:$UE$97,1,'Plan cashflow'!$C$8:$C$97,1)=0,"",D181+COUNTIFS('Plan cashflow'!$UE$8:$UE$97,1,'Plan cashflow'!$C$8:$C$97,1)-1)</f>
        <v>9</v>
      </c>
      <c r="F181" s="1" t="n">
        <f aca="false">COUNTIFS('Plan cashflow'!$UE$8:$UE$97,1,'Plan cashflow'!$C$8:$C$97,1)</f>
        <v>10</v>
      </c>
      <c r="G181" s="1" t="n">
        <f aca="false">COUNTIFS('Plan cashflow'!$UE$8:$UE$97,1,'Plan cashflow'!$UI$8:$UI$97,1)</f>
        <v>0</v>
      </c>
      <c r="H181" s="1" t="n">
        <f aca="false">COUNTIFS('Plan cashflow'!$UE$8:$UE$97,1,'Plan cashflow'!$UB$8:$UB$97,1)</f>
        <v>0</v>
      </c>
      <c r="I181" s="1" t="n">
        <f aca="false">IF(G181&gt;0,SUMIFS('Plan cashflow'!$TO$8:$TO$97,'Plan cashflow'!$UE$8:$UE$97,1,'Plan cashflow'!$UI$8:$UI$97,1)/G181,0)</f>
        <v>0</v>
      </c>
      <c r="J181" s="1" t="str">
        <f aca="false">IF(F181=0,"",IF(G181&gt;0,"storm",IF(H181&gt;F181/3,"showers",IF(H181&gt;0,"partly","sun"))))</f>
        <v>sun</v>
      </c>
      <c r="K181" s="1" t="str">
        <f aca="false">IF(F181=0,"",IF(G181&gt;0,"Short by about "&amp;"€"&amp;TEXT(ROUND(I181,0),"#,##0")&amp;" a year in "&amp;G181&amp;" of these years.",IF(COUNTIFS('Plan cashflow'!$UE$8:$UE$97,1,'Plan cashflow'!$C$8:$C$97,1,'Plan pay &amp; tax'!$G$234:$G$323,0)=F181,"Living on your pensions and savings, and they hold up.",IF(H181&gt;0,"Some years dip into savings. That's what they're for.","Income comfortably covers life."))))</f>
        <v>Income comfortably covers life.</v>
      </c>
    </row>
    <row r="182" customFormat="false" ht="15" hidden="false" customHeight="false" outlineLevel="0" collapsed="false">
      <c r="B182" s="1" t="n">
        <v>2</v>
      </c>
      <c r="C182" s="1" t="n">
        <f aca="false">IF(COUNTIFS('Plan cashflow'!$UE$8:$UE$97,2,'Plan cashflow'!$C$8:$C$97,1)=0,"",INDEX('Plan cashflow'!$UD$8:$UD$97,MATCH(2,'Plan cashflow'!$UE$8:$UE$97,0)))</f>
        <v>10</v>
      </c>
      <c r="D182" s="1" t="n">
        <f aca="false">IF(COUNTIFS('Plan cashflow'!$UE$8:$UE$97,2,'Plan cashflow'!$C$8:$C$97,1)=0,"",F_Age+MATCH(2,'Plan cashflow'!$UE$8:$UE$97,0)-1)</f>
        <v>10</v>
      </c>
      <c r="E182" s="1" t="n">
        <f aca="false">IF(COUNTIFS('Plan cashflow'!$UE$8:$UE$97,2,'Plan cashflow'!$C$8:$C$97,1)=0,"",D182+COUNTIFS('Plan cashflow'!$UE$8:$UE$97,2,'Plan cashflow'!$C$8:$C$97,1)-1)</f>
        <v>19</v>
      </c>
      <c r="F182" s="1" t="n">
        <f aca="false">COUNTIFS('Plan cashflow'!$UE$8:$UE$97,2,'Plan cashflow'!$C$8:$C$97,1)</f>
        <v>10</v>
      </c>
      <c r="G182" s="1" t="n">
        <f aca="false">COUNTIFS('Plan cashflow'!$UE$8:$UE$97,2,'Plan cashflow'!$UI$8:$UI$97,1)</f>
        <v>0</v>
      </c>
      <c r="H182" s="1" t="n">
        <f aca="false">COUNTIFS('Plan cashflow'!$UE$8:$UE$97,2,'Plan cashflow'!$UB$8:$UB$97,1)</f>
        <v>0</v>
      </c>
      <c r="I182" s="1" t="n">
        <f aca="false">IF(G182&gt;0,SUMIFS('Plan cashflow'!$TO$8:$TO$97,'Plan cashflow'!$UE$8:$UE$97,2,'Plan cashflow'!$UI$8:$UI$97,1)/G182,0)</f>
        <v>0</v>
      </c>
      <c r="J182" s="1" t="str">
        <f aca="false">IF(F182=0,"",IF(G182&gt;0,"storm",IF(H182&gt;F182/3,"showers",IF(H182&gt;0,"partly","sun"))))</f>
        <v>sun</v>
      </c>
      <c r="K182" s="1" t="str">
        <f aca="false">IF(F182=0,"",IF(G182&gt;0,"Short by about "&amp;"€"&amp;TEXT(ROUND(I182,0),"#,##0")&amp;" a year in "&amp;G182&amp;" of these years.",IF(COUNTIFS('Plan cashflow'!$UE$8:$UE$97,2,'Plan cashflow'!$C$8:$C$97,1,'Plan pay &amp; tax'!$G$234:$G$323,0)=F182,"Living on your pensions and savings, and they hold up.",IF(H182&gt;0,"Some years dip into savings. That's what they're for.","Income comfortably covers life."))))</f>
        <v>Income comfortably covers life.</v>
      </c>
    </row>
    <row r="183" customFormat="false" ht="15" hidden="false" customHeight="false" outlineLevel="0" collapsed="false">
      <c r="B183" s="1" t="n">
        <v>3</v>
      </c>
      <c r="C183" s="1" t="n">
        <f aca="false">IF(COUNTIFS('Plan cashflow'!$UE$8:$UE$97,3,'Plan cashflow'!$C$8:$C$97,1)=0,"",INDEX('Plan cashflow'!$UD$8:$UD$97,MATCH(3,'Plan cashflow'!$UE$8:$UE$97,0)))</f>
        <v>20</v>
      </c>
      <c r="D183" s="1" t="n">
        <f aca="false">IF(COUNTIFS('Plan cashflow'!$UE$8:$UE$97,3,'Plan cashflow'!$C$8:$C$97,1)=0,"",F_Age+MATCH(3,'Plan cashflow'!$UE$8:$UE$97,0)-1)</f>
        <v>20</v>
      </c>
      <c r="E183" s="1" t="n">
        <f aca="false">IF(COUNTIFS('Plan cashflow'!$UE$8:$UE$97,3,'Plan cashflow'!$C$8:$C$97,1)=0,"",D183+COUNTIFS('Plan cashflow'!$UE$8:$UE$97,3,'Plan cashflow'!$C$8:$C$97,1)-1)</f>
        <v>29</v>
      </c>
      <c r="F183" s="1" t="n">
        <f aca="false">COUNTIFS('Plan cashflow'!$UE$8:$UE$97,3,'Plan cashflow'!$C$8:$C$97,1)</f>
        <v>10</v>
      </c>
      <c r="G183" s="1" t="n">
        <f aca="false">COUNTIFS('Plan cashflow'!$UE$8:$UE$97,3,'Plan cashflow'!$UI$8:$UI$97,1)</f>
        <v>0</v>
      </c>
      <c r="H183" s="1" t="n">
        <f aca="false">COUNTIFS('Plan cashflow'!$UE$8:$UE$97,3,'Plan cashflow'!$UB$8:$UB$97,1)</f>
        <v>0</v>
      </c>
      <c r="I183" s="1" t="n">
        <f aca="false">IF(G183&gt;0,SUMIFS('Plan cashflow'!$TO$8:$TO$97,'Plan cashflow'!$UE$8:$UE$97,3,'Plan cashflow'!$UI$8:$UI$97,1)/G183,0)</f>
        <v>0</v>
      </c>
      <c r="J183" s="1" t="str">
        <f aca="false">IF(F183=0,"",IF(G183&gt;0,"storm",IF(H183&gt;F183/3,"showers",IF(H183&gt;0,"partly","sun"))))</f>
        <v>sun</v>
      </c>
      <c r="K183" s="1" t="str">
        <f aca="false">IF(F183=0,"",IF(G183&gt;0,"Short by about "&amp;"€"&amp;TEXT(ROUND(I183,0),"#,##0")&amp;" a year in "&amp;G183&amp;" of these years.",IF(COUNTIFS('Plan cashflow'!$UE$8:$UE$97,3,'Plan cashflow'!$C$8:$C$97,1,'Plan pay &amp; tax'!$G$234:$G$323,0)=F183,"Living on your pensions and savings, and they hold up.",IF(H183&gt;0,"Some years dip into savings. That's what they're for.","Income comfortably covers life."))))</f>
        <v>Income comfortably covers life.</v>
      </c>
    </row>
    <row r="184" customFormat="false" ht="15" hidden="false" customHeight="false" outlineLevel="0" collapsed="false">
      <c r="B184" s="1" t="n">
        <v>4</v>
      </c>
      <c r="C184" s="1" t="n">
        <f aca="false">IF(COUNTIFS('Plan cashflow'!$UE$8:$UE$97,4,'Plan cashflow'!$C$8:$C$97,1)=0,"",INDEX('Plan cashflow'!$UD$8:$UD$97,MATCH(4,'Plan cashflow'!$UE$8:$UE$97,0)))</f>
        <v>30</v>
      </c>
      <c r="D184" s="1" t="n">
        <f aca="false">IF(COUNTIFS('Plan cashflow'!$UE$8:$UE$97,4,'Plan cashflow'!$C$8:$C$97,1)=0,"",F_Age+MATCH(4,'Plan cashflow'!$UE$8:$UE$97,0)-1)</f>
        <v>30</v>
      </c>
      <c r="E184" s="1" t="n">
        <f aca="false">IF(COUNTIFS('Plan cashflow'!$UE$8:$UE$97,4,'Plan cashflow'!$C$8:$C$97,1)=0,"",D184+COUNTIFS('Plan cashflow'!$UE$8:$UE$97,4,'Plan cashflow'!$C$8:$C$97,1)-1)</f>
        <v>39</v>
      </c>
      <c r="F184" s="1" t="n">
        <f aca="false">COUNTIFS('Plan cashflow'!$UE$8:$UE$97,4,'Plan cashflow'!$C$8:$C$97,1)</f>
        <v>10</v>
      </c>
      <c r="G184" s="1" t="n">
        <f aca="false">COUNTIFS('Plan cashflow'!$UE$8:$UE$97,4,'Plan cashflow'!$UI$8:$UI$97,1)</f>
        <v>0</v>
      </c>
      <c r="H184" s="1" t="n">
        <f aca="false">COUNTIFS('Plan cashflow'!$UE$8:$UE$97,4,'Plan cashflow'!$UB$8:$UB$97,1)</f>
        <v>0</v>
      </c>
      <c r="I184" s="1" t="n">
        <f aca="false">IF(G184&gt;0,SUMIFS('Plan cashflow'!$TO$8:$TO$97,'Plan cashflow'!$UE$8:$UE$97,4,'Plan cashflow'!$UI$8:$UI$97,1)/G184,0)</f>
        <v>0</v>
      </c>
      <c r="J184" s="1" t="str">
        <f aca="false">IF(F184=0,"",IF(G184&gt;0,"storm",IF(H184&gt;F184/3,"showers",IF(H184&gt;0,"partly","sun"))))</f>
        <v>sun</v>
      </c>
      <c r="K184" s="1" t="str">
        <f aca="false">IF(F184=0,"",IF(G184&gt;0,"Short by about "&amp;"€"&amp;TEXT(ROUND(I184,0),"#,##0")&amp;" a year in "&amp;G184&amp;" of these years.",IF(COUNTIFS('Plan cashflow'!$UE$8:$UE$97,4,'Plan cashflow'!$C$8:$C$97,1,'Plan pay &amp; tax'!$G$234:$G$323,0)=F184,"Living on your pensions and savings, and they hold up.",IF(H184&gt;0,"Some years dip into savings. That's what they're for.","Income comfortably covers life."))))</f>
        <v>Income comfortably covers life.</v>
      </c>
    </row>
    <row r="185" customFormat="false" ht="15" hidden="false" customHeight="false" outlineLevel="0" collapsed="false">
      <c r="B185" s="1" t="n">
        <v>5</v>
      </c>
      <c r="C185" s="1" t="n">
        <f aca="false">IF(COUNTIFS('Plan cashflow'!$UE$8:$UE$97,5,'Plan cashflow'!$C$8:$C$97,1)=0,"",INDEX('Plan cashflow'!$UD$8:$UD$97,MATCH(5,'Plan cashflow'!$UE$8:$UE$97,0)))</f>
        <v>40</v>
      </c>
      <c r="D185" s="1" t="n">
        <f aca="false">IF(COUNTIFS('Plan cashflow'!$UE$8:$UE$97,5,'Plan cashflow'!$C$8:$C$97,1)=0,"",F_Age+MATCH(5,'Plan cashflow'!$UE$8:$UE$97,0)-1)</f>
        <v>40</v>
      </c>
      <c r="E185" s="1" t="n">
        <f aca="false">IF(COUNTIFS('Plan cashflow'!$UE$8:$UE$97,5,'Plan cashflow'!$C$8:$C$97,1)=0,"",D185+COUNTIFS('Plan cashflow'!$UE$8:$UE$97,5,'Plan cashflow'!$C$8:$C$97,1)-1)</f>
        <v>49</v>
      </c>
      <c r="F185" s="1" t="n">
        <f aca="false">COUNTIFS('Plan cashflow'!$UE$8:$UE$97,5,'Plan cashflow'!$C$8:$C$97,1)</f>
        <v>10</v>
      </c>
      <c r="G185" s="1" t="n">
        <f aca="false">COUNTIFS('Plan cashflow'!$UE$8:$UE$97,5,'Plan cashflow'!$UI$8:$UI$97,1)</f>
        <v>0</v>
      </c>
      <c r="H185" s="1" t="n">
        <f aca="false">COUNTIFS('Plan cashflow'!$UE$8:$UE$97,5,'Plan cashflow'!$UB$8:$UB$97,1)</f>
        <v>0</v>
      </c>
      <c r="I185" s="1" t="n">
        <f aca="false">IF(G185&gt;0,SUMIFS('Plan cashflow'!$TO$8:$TO$97,'Plan cashflow'!$UE$8:$UE$97,5,'Plan cashflow'!$UI$8:$UI$97,1)/G185,0)</f>
        <v>0</v>
      </c>
      <c r="J185" s="1" t="str">
        <f aca="false">IF(F185=0,"",IF(G185&gt;0,"storm",IF(H185&gt;F185/3,"showers",IF(H185&gt;0,"partly","sun"))))</f>
        <v>sun</v>
      </c>
      <c r="K185" s="1" t="str">
        <f aca="false">IF(F185=0,"",IF(G185&gt;0,"Short by about "&amp;"€"&amp;TEXT(ROUND(I185,0),"#,##0")&amp;" a year in "&amp;G185&amp;" of these years.",IF(COUNTIFS('Plan cashflow'!$UE$8:$UE$97,5,'Plan cashflow'!$C$8:$C$97,1,'Plan pay &amp; tax'!$G$234:$G$323,0)=F185,"Living on your pensions and savings, and they hold up.",IF(H185&gt;0,"Some years dip into savings. That's what they're for.","Income comfortably covers life."))))</f>
        <v>Income comfortably covers life.</v>
      </c>
    </row>
    <row r="186" customFormat="false" ht="15" hidden="false" customHeight="false" outlineLevel="0" collapsed="false">
      <c r="B186" s="1" t="n">
        <v>6</v>
      </c>
      <c r="C186" s="1" t="n">
        <f aca="false">IF(COUNTIFS('Plan cashflow'!$UE$8:$UE$97,6,'Plan cashflow'!$C$8:$C$97,1)=0,"",INDEX('Plan cashflow'!$UD$8:$UD$97,MATCH(6,'Plan cashflow'!$UE$8:$UE$97,0)))</f>
        <v>50</v>
      </c>
      <c r="D186" s="1" t="n">
        <f aca="false">IF(COUNTIFS('Plan cashflow'!$UE$8:$UE$97,6,'Plan cashflow'!$C$8:$C$97,1)=0,"",F_Age+MATCH(6,'Plan cashflow'!$UE$8:$UE$97,0)-1)</f>
        <v>50</v>
      </c>
      <c r="E186" s="1" t="n">
        <f aca="false">IF(COUNTIFS('Plan cashflow'!$UE$8:$UE$97,6,'Plan cashflow'!$C$8:$C$97,1)=0,"",D186+COUNTIFS('Plan cashflow'!$UE$8:$UE$97,6,'Plan cashflow'!$C$8:$C$97,1)-1)</f>
        <v>59</v>
      </c>
      <c r="F186" s="1" t="n">
        <f aca="false">COUNTIFS('Plan cashflow'!$UE$8:$UE$97,6,'Plan cashflow'!$C$8:$C$97,1)</f>
        <v>10</v>
      </c>
      <c r="G186" s="1" t="n">
        <f aca="false">COUNTIFS('Plan cashflow'!$UE$8:$UE$97,6,'Plan cashflow'!$UI$8:$UI$97,1)</f>
        <v>0</v>
      </c>
      <c r="H186" s="1" t="n">
        <f aca="false">COUNTIFS('Plan cashflow'!$UE$8:$UE$97,6,'Plan cashflow'!$UB$8:$UB$97,1)</f>
        <v>0</v>
      </c>
      <c r="I186" s="1" t="n">
        <f aca="false">IF(G186&gt;0,SUMIFS('Plan cashflow'!$TO$8:$TO$97,'Plan cashflow'!$UE$8:$UE$97,6,'Plan cashflow'!$UI$8:$UI$97,1)/G186,0)</f>
        <v>0</v>
      </c>
      <c r="J186" s="1" t="str">
        <f aca="false">IF(F186=0,"",IF(G186&gt;0,"storm",IF(H186&gt;F186/3,"showers",IF(H186&gt;0,"partly","sun"))))</f>
        <v>sun</v>
      </c>
      <c r="K186" s="1" t="str">
        <f aca="false">IF(F186=0,"",IF(G186&gt;0,"Short by about "&amp;"€"&amp;TEXT(ROUND(I186,0),"#,##0")&amp;" a year in "&amp;G186&amp;" of these years.",IF(COUNTIFS('Plan cashflow'!$UE$8:$UE$97,6,'Plan cashflow'!$C$8:$C$97,1,'Plan pay &amp; tax'!$G$234:$G$323,0)=F186,"Living on your pensions and savings, and they hold up.",IF(H186&gt;0,"Some years dip into savings. That's what they're for.","Income comfortably covers life."))))</f>
        <v>Income comfortably covers life.</v>
      </c>
    </row>
    <row r="187" customFormat="false" ht="15" hidden="false" customHeight="false" outlineLevel="0" collapsed="false">
      <c r="B187" s="1" t="n">
        <v>7</v>
      </c>
      <c r="C187" s="1" t="n">
        <f aca="false">IF(COUNTIFS('Plan cashflow'!$UE$8:$UE$97,7,'Plan cashflow'!$C$8:$C$97,1)=0,"",INDEX('Plan cashflow'!$UD$8:$UD$97,MATCH(7,'Plan cashflow'!$UE$8:$UE$97,0)))</f>
        <v>60</v>
      </c>
      <c r="D187" s="1" t="n">
        <f aca="false">IF(COUNTIFS('Plan cashflow'!$UE$8:$UE$97,7,'Plan cashflow'!$C$8:$C$97,1)=0,"",F_Age+MATCH(7,'Plan cashflow'!$UE$8:$UE$97,0)-1)</f>
        <v>60</v>
      </c>
      <c r="E187" s="1" t="n">
        <f aca="false">IF(COUNTIFS('Plan cashflow'!$UE$8:$UE$97,7,'Plan cashflow'!$C$8:$C$97,1)=0,"",D187+COUNTIFS('Plan cashflow'!$UE$8:$UE$97,7,'Plan cashflow'!$C$8:$C$97,1)-1)</f>
        <v>69</v>
      </c>
      <c r="F187" s="1" t="n">
        <f aca="false">COUNTIFS('Plan cashflow'!$UE$8:$UE$97,7,'Plan cashflow'!$C$8:$C$97,1)</f>
        <v>10</v>
      </c>
      <c r="G187" s="1" t="n">
        <f aca="false">COUNTIFS('Plan cashflow'!$UE$8:$UE$97,7,'Plan cashflow'!$UI$8:$UI$97,1)</f>
        <v>0</v>
      </c>
      <c r="H187" s="1" t="n">
        <f aca="false">COUNTIFS('Plan cashflow'!$UE$8:$UE$97,7,'Plan cashflow'!$UB$8:$UB$97,1)</f>
        <v>0</v>
      </c>
      <c r="I187" s="1" t="n">
        <f aca="false">IF(G187&gt;0,SUMIFS('Plan cashflow'!$TO$8:$TO$97,'Plan cashflow'!$UE$8:$UE$97,7,'Plan cashflow'!$UI$8:$UI$97,1)/G187,0)</f>
        <v>0</v>
      </c>
      <c r="J187" s="1" t="str">
        <f aca="false">IF(F187=0,"",IF(G187&gt;0,"storm",IF(H187&gt;F187/3,"showers",IF(H187&gt;0,"partly","sun"))))</f>
        <v>sun</v>
      </c>
      <c r="K187" s="1" t="str">
        <f aca="false">IF(F187=0,"",IF(G187&gt;0,"Short by about "&amp;"€"&amp;TEXT(ROUND(I187,0),"#,##0")&amp;" a year in "&amp;G187&amp;" of these years.",IF(COUNTIFS('Plan cashflow'!$UE$8:$UE$97,7,'Plan cashflow'!$C$8:$C$97,1,'Plan pay &amp; tax'!$G$234:$G$323,0)=F187,"Living on your pensions and savings, and they hold up.",IF(H187&gt;0,"Some years dip into savings. That's what they're for.","Income comfortably covers life."))))</f>
        <v>Income comfortably covers life.</v>
      </c>
    </row>
    <row r="188" customFormat="false" ht="15" hidden="false" customHeight="false" outlineLevel="0" collapsed="false">
      <c r="B188" s="1" t="n">
        <v>8</v>
      </c>
      <c r="C188" s="1" t="n">
        <f aca="false">IF(COUNTIFS('Plan cashflow'!$UE$8:$UE$97,8,'Plan cashflow'!$C$8:$C$97,1)=0,"",INDEX('Plan cashflow'!$UD$8:$UD$97,MATCH(8,'Plan cashflow'!$UE$8:$UE$97,0)))</f>
        <v>70</v>
      </c>
      <c r="D188" s="1" t="n">
        <f aca="false">IF(COUNTIFS('Plan cashflow'!$UE$8:$UE$97,8,'Plan cashflow'!$C$8:$C$97,1)=0,"",F_Age+MATCH(8,'Plan cashflow'!$UE$8:$UE$97,0)-1)</f>
        <v>70</v>
      </c>
      <c r="E188" s="1" t="n">
        <f aca="false">IF(COUNTIFS('Plan cashflow'!$UE$8:$UE$97,8,'Plan cashflow'!$C$8:$C$97,1)=0,"",D188+COUNTIFS('Plan cashflow'!$UE$8:$UE$97,8,'Plan cashflow'!$C$8:$C$97,1)-1)</f>
        <v>79</v>
      </c>
      <c r="F188" s="1" t="n">
        <f aca="false">COUNTIFS('Plan cashflow'!$UE$8:$UE$97,8,'Plan cashflow'!$C$8:$C$97,1)</f>
        <v>10</v>
      </c>
      <c r="G188" s="1" t="n">
        <f aca="false">COUNTIFS('Plan cashflow'!$UE$8:$UE$97,8,'Plan cashflow'!$UI$8:$UI$97,1)</f>
        <v>0</v>
      </c>
      <c r="H188" s="1" t="n">
        <f aca="false">COUNTIFS('Plan cashflow'!$UE$8:$UE$97,8,'Plan cashflow'!$UB$8:$UB$97,1)</f>
        <v>0</v>
      </c>
      <c r="I188" s="1" t="n">
        <f aca="false">IF(G188&gt;0,SUMIFS('Plan cashflow'!$TO$8:$TO$97,'Plan cashflow'!$UE$8:$UE$97,8,'Plan cashflow'!$UI$8:$UI$97,1)/G188,0)</f>
        <v>0</v>
      </c>
      <c r="J188" s="1" t="str">
        <f aca="false">IF(F188=0,"",IF(G188&gt;0,"storm",IF(H188&gt;F188/3,"showers",IF(H188&gt;0,"partly","sun"))))</f>
        <v>sun</v>
      </c>
      <c r="K188" s="1" t="str">
        <f aca="false">IF(F188=0,"",IF(G188&gt;0,"Short by about "&amp;"€"&amp;TEXT(ROUND(I188,0),"#,##0")&amp;" a year in "&amp;G188&amp;" of these years.",IF(COUNTIFS('Plan cashflow'!$UE$8:$UE$97,8,'Plan cashflow'!$C$8:$C$97,1,'Plan pay &amp; tax'!$G$234:$G$323,0)=F188,"Living on your pensions and savings, and they hold up.",IF(H188&gt;0,"Some years dip into savings. That's what they're for.","Income comfortably covers life."))))</f>
        <v>Living on your pensions and savings, and they hold up.</v>
      </c>
    </row>
    <row r="189" customFormat="false" ht="15" hidden="false" customHeight="false" outlineLevel="0" collapsed="false">
      <c r="B189" s="1" t="n">
        <v>9</v>
      </c>
      <c r="C189" s="1" t="n">
        <f aca="false">IF(COUNTIFS('Plan cashflow'!$UE$8:$UE$97,9,'Plan cashflow'!$C$8:$C$97,1)=0,"",INDEX('Plan cashflow'!$UD$8:$UD$97,MATCH(9,'Plan cashflow'!$UE$8:$UE$97,0)))</f>
        <v>80</v>
      </c>
      <c r="D189" s="1" t="n">
        <f aca="false">IF(COUNTIFS('Plan cashflow'!$UE$8:$UE$97,9,'Plan cashflow'!$C$8:$C$97,1)=0,"",F_Age+MATCH(9,'Plan cashflow'!$UE$8:$UE$97,0)-1)</f>
        <v>80</v>
      </c>
      <c r="E189" s="1" t="n">
        <f aca="false">IF(COUNTIFS('Plan cashflow'!$UE$8:$UE$97,9,'Plan cashflow'!$C$8:$C$97,1)=0,"",D189+COUNTIFS('Plan cashflow'!$UE$8:$UE$97,9,'Plan cashflow'!$C$8:$C$97,1)-1)</f>
        <v>89</v>
      </c>
      <c r="F189" s="1" t="n">
        <f aca="false">COUNTIFS('Plan cashflow'!$UE$8:$UE$97,9,'Plan cashflow'!$C$8:$C$97,1)</f>
        <v>10</v>
      </c>
      <c r="G189" s="1" t="n">
        <f aca="false">COUNTIFS('Plan cashflow'!$UE$8:$UE$97,9,'Plan cashflow'!$UI$8:$UI$97,1)</f>
        <v>0</v>
      </c>
      <c r="H189" s="1" t="n">
        <f aca="false">COUNTIFS('Plan cashflow'!$UE$8:$UE$97,9,'Plan cashflow'!$UB$8:$UB$97,1)</f>
        <v>0</v>
      </c>
      <c r="I189" s="1" t="n">
        <f aca="false">IF(G189&gt;0,SUMIFS('Plan cashflow'!$TO$8:$TO$97,'Plan cashflow'!$UE$8:$UE$97,9,'Plan cashflow'!$UI$8:$UI$97,1)/G189,0)</f>
        <v>0</v>
      </c>
      <c r="J189" s="1" t="str">
        <f aca="false">IF(F189=0,"",IF(G189&gt;0,"storm",IF(H189&gt;F189/3,"showers",IF(H189&gt;0,"partly","sun"))))</f>
        <v>sun</v>
      </c>
      <c r="K189" s="1" t="str">
        <f aca="false">IF(F189=0,"",IF(G189&gt;0,"Short by about "&amp;"€"&amp;TEXT(ROUND(I189,0),"#,##0")&amp;" a year in "&amp;G189&amp;" of these years.",IF(COUNTIFS('Plan cashflow'!$UE$8:$UE$97,9,'Plan cashflow'!$C$8:$C$97,1,'Plan pay &amp; tax'!$G$234:$G$323,0)=F189,"Living on your pensions and savings, and they hold up.",IF(H189&gt;0,"Some years dip into savings. That's what they're for.","Income comfortably covers life."))))</f>
        <v>Living on your pensions and savings, and they hold up.</v>
      </c>
    </row>
    <row r="190" customFormat="false" ht="15" hidden="false" customHeight="false" outlineLevel="0" collapsed="false">
      <c r="B190" s="1" t="n">
        <v>10</v>
      </c>
      <c r="C190" s="1" t="str">
        <f aca="false">IF(COUNTIFS('Plan cashflow'!$UE$8:$UE$97,10,'Plan cashflow'!$C$8:$C$97,1)=0,"",INDEX('Plan cashflow'!$UD$8:$UD$97,MATCH(10,'Plan cashflow'!$UE$8:$UE$97,0)))</f>
        <v/>
      </c>
      <c r="D190" s="1" t="str">
        <f aca="false">IF(COUNTIFS('Plan cashflow'!$UE$8:$UE$97,10,'Plan cashflow'!$C$8:$C$97,1)=0,"",F_Age+MATCH(10,'Plan cashflow'!$UE$8:$UE$97,0)-1)</f>
        <v/>
      </c>
      <c r="E190" s="1" t="str">
        <f aca="false">IF(COUNTIFS('Plan cashflow'!$UE$8:$UE$97,10,'Plan cashflow'!$C$8:$C$97,1)=0,"",D190+COUNTIFS('Plan cashflow'!$UE$8:$UE$97,10,'Plan cashflow'!$C$8:$C$97,1)-1)</f>
        <v/>
      </c>
      <c r="F190" s="1" t="n">
        <f aca="false">COUNTIFS('Plan cashflow'!$UE$8:$UE$97,10,'Plan cashflow'!$C$8:$C$97,1)</f>
        <v>0</v>
      </c>
      <c r="G190" s="1" t="n">
        <f aca="false">COUNTIFS('Plan cashflow'!$UE$8:$UE$97,10,'Plan cashflow'!$UI$8:$UI$97,1)</f>
        <v>0</v>
      </c>
      <c r="H190" s="1" t="n">
        <f aca="false">COUNTIFS('Plan cashflow'!$UE$8:$UE$97,10,'Plan cashflow'!$UB$8:$UB$97,1)</f>
        <v>0</v>
      </c>
      <c r="I190" s="1" t="n">
        <f aca="false">IF(G190&gt;0,SUMIFS('Plan cashflow'!$TO$8:$TO$97,'Plan cashflow'!$UE$8:$UE$97,10,'Plan cashflow'!$UI$8:$UI$97,1)/G190,0)</f>
        <v>0</v>
      </c>
      <c r="J190" s="1" t="str">
        <f aca="false">IF(F190=0,"",IF(G190&gt;0,"storm",IF(H190&gt;F190/3,"showers",IF(H190&gt;0,"partly","sun"))))</f>
        <v/>
      </c>
      <c r="K190" s="1" t="str">
        <f aca="false">IF(F190=0,"",IF(G190&gt;0,"Short by about "&amp;"€"&amp;TEXT(ROUND(I190,0),"#,##0")&amp;" a year in "&amp;G190&amp;" of these years.",IF(COUNTIFS('Plan cashflow'!$UE$8:$UE$97,10,'Plan cashflow'!$C$8:$C$97,1,'Plan pay &amp; tax'!$G$234:$G$323,0)=F190,"Living on your pensions and savings, and they hold up.",IF(H190&gt;0,"Some years dip into savings. That's what they're for.","Income comfortably covers life."))))</f>
        <v/>
      </c>
    </row>
    <row r="192" customFormat="false" ht="15" hidden="false" customHeight="false" outlineLevel="0" collapsed="false">
      <c r="B192" s="93" t="s">
        <v>2823</v>
      </c>
      <c r="C192" s="93" t="s">
        <v>1523</v>
      </c>
    </row>
    <row r="193" customFormat="false" ht="15" hidden="false" customHeight="false" outlineLevel="0" collapsed="false">
      <c r="B193" s="1" t="s">
        <v>2824</v>
      </c>
      <c r="C193" s="101" t="n">
        <f aca="false">IF(COUNT(GR_NextKey)&gt;0,MATCH(MIN(GR_NextKey),GR_NextKey,0),0)</f>
        <v>0</v>
      </c>
    </row>
    <row r="194" customFormat="false" ht="15" hidden="false" customHeight="false" outlineLevel="0" collapsed="false">
      <c r="B194" s="1" t="s">
        <v>2825</v>
      </c>
      <c r="C194" s="101" t="str">
        <f aca="false">IF(Next_WIdx&gt;0,INDEX(GR_PctN,Next_WIdx),"")</f>
        <v/>
      </c>
    </row>
    <row r="195" customFormat="false" ht="15" hidden="false" customHeight="false" outlineLevel="0" collapsed="false">
      <c r="B195" s="1" t="s">
        <v>2826</v>
      </c>
      <c r="C195" s="101" t="str">
        <f aca="false">IF(Next_WIdx&gt;0,INDEX(GR_Name,Next_WIdx),"")</f>
        <v/>
      </c>
    </row>
    <row r="196" customFormat="false" ht="15" hidden="false" customHeight="false" outlineLevel="0" collapsed="false">
      <c r="B196" s="1" t="s">
        <v>2827</v>
      </c>
      <c r="C196" s="101" t="n">
        <f aca="false">IF(OR(Prof_UmCount&lt;13,In_rechecked&lt;&gt;"Yes"),1,0)</f>
        <v>1</v>
      </c>
    </row>
    <row r="197" customFormat="false" ht="15" hidden="false" customHeight="false" outlineLevel="0" collapsed="false">
      <c r="B197" s="1" t="s">
        <v>2828</v>
      </c>
      <c r="C197" s="101" t="n">
        <f aca="false">IF(Look_Count&gt;0,1,IF(AND(Fnd_NextN&gt;0,Fnd_NextN&lt;=4),2,IF(AND(In_booked="Yes",Prof_NeedsProfile=1),3,IF(AND(Next_WIdx&gt;0,N(Next_WPct)&lt;PR_Good,In_prefSet&lt;&gt;"Yes"),4,IF(Prof_UmCount&lt;13,5,IF(In_booked&lt;&gt;"Yes",6,7))))))</f>
        <v>2</v>
      </c>
    </row>
    <row r="198" customFormat="false" ht="15" hidden="false" customHeight="false" outlineLevel="0" collapsed="false">
      <c r="B198" s="1" t="s">
        <v>2700</v>
      </c>
      <c r="C198" s="101"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199" customFormat="false" ht="15" hidden="false" customHeight="false" outlineLevel="0" collapsed="false">
      <c r="B199" s="1" t="s">
        <v>2701</v>
      </c>
      <c r="C199" s="101"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00" customFormat="false" ht="15" hidden="false" customHeight="false" outlineLevel="0" collapsed="false">
      <c r="B200" s="1" t="s">
        <v>2829</v>
      </c>
      <c r="C200" s="101" t="str">
        <f aca="false">CHOOSE(Next_N,"Check it","See why","Check my profile","Try it","Start","Book a meeting","See my meeting")</f>
        <v>See why</v>
      </c>
    </row>
    <row r="202" customFormat="false" ht="15" hidden="false" customHeight="false" outlineLevel="0" collapsed="false">
      <c r="B202" s="93" t="s">
        <v>2830</v>
      </c>
      <c r="C202" s="93" t="s">
        <v>1523</v>
      </c>
    </row>
    <row r="203" customFormat="false" ht="15" hidden="false" customHeight="false" outlineLevel="0" collapsed="false">
      <c r="B203" s="1" t="s">
        <v>2831</v>
      </c>
      <c r="C203" s="101" t="str">
        <f aca="false">IF(AND(WI_M=0,WI_L=0),"Move the sliders to see what changes.",IF(COUNTIF(GR_WiTxt,"?*")=0,"No change to your goals. Everything that could be covered already is.",_xlfn.TEXTJOIN(CHAR(10),TRUE(),GR_WiTxt)))</f>
        <v>Move the sliders to see what changes.</v>
      </c>
    </row>
    <row r="205" customFormat="false" ht="15" hidden="false" customHeight="false" outlineLevel="0" collapsed="false">
      <c r="B205" s="93" t="s">
        <v>2832</v>
      </c>
      <c r="C205" s="93" t="s">
        <v>1523</v>
      </c>
    </row>
    <row r="206" customFormat="false" ht="15" hidden="false" customHeight="false" outlineLevel="0" collapsed="false">
      <c r="B206" s="1" t="s">
        <v>2833</v>
      </c>
      <c r="C206" s="101" t="n">
        <f aca="false">IFERROR(MATCH(1,INDEX((GR_Spec="mortgage")*(GR_Kind&lt;&gt;"retire")*(GR_Key&lt;&gt;""),0),0),0)</f>
        <v>0</v>
      </c>
    </row>
    <row r="207" customFormat="false" ht="15" hidden="false" customHeight="false" outlineLevel="0" collapsed="false">
      <c r="B207" s="1" t="s">
        <v>2834</v>
      </c>
      <c r="C207" s="101" t="str">
        <f aca="false">IF(Vid_mortgage_Idx&gt;0,INDEX(GR_PctN,Vid_mortgage_Idx),"")</f>
        <v/>
      </c>
    </row>
    <row r="208" customFormat="false" ht="15" hidden="false" customHeight="false" outlineLevel="0" collapsed="false">
      <c r="B208" s="1" t="s">
        <v>2835</v>
      </c>
      <c r="C208" s="101" t="n">
        <f aca="false">IF(IFERROR(MATCH(1,INDEX((GR_Spec="pension")*(GR_Kind&lt;&gt;"retire")*(GR_Key&lt;&gt;""),0),0),0)&gt;0,IFERROR(MATCH(1,INDEX((GR_Spec="pension")*(GR_Kind&lt;&gt;"retire")*(GR_Key&lt;&gt;""),0),0),0),IF(RG_Exists=1,RG_Row,0))</f>
        <v>0</v>
      </c>
    </row>
    <row r="209" customFormat="false" ht="15" hidden="false" customHeight="false" outlineLevel="0" collapsed="false">
      <c r="B209" s="1" t="s">
        <v>2836</v>
      </c>
      <c r="C209" s="101" t="str">
        <f aca="false">IF(Vid_pension_Idx&gt;0,INDEX(GR_PctN,Vid_pension_Idx),"")</f>
        <v/>
      </c>
    </row>
    <row r="210" customFormat="false" ht="15" hidden="false" customHeight="false" outlineLevel="0" collapsed="false">
      <c r="B210" s="1" t="s">
        <v>2837</v>
      </c>
      <c r="C210" s="101" t="n">
        <f aca="false">IFERROR(MATCH(1,INDEX((GR_Spec="protection")*(GR_Kind&lt;&gt;"retire")*(GR_Key&lt;&gt;""),0),0),0)</f>
        <v>0</v>
      </c>
    </row>
    <row r="211" customFormat="false" ht="15" hidden="false" customHeight="false" outlineLevel="0" collapsed="false">
      <c r="B211" s="1" t="s">
        <v>2838</v>
      </c>
      <c r="C211" s="101" t="str">
        <f aca="false">IF(Vid_protection_Idx&gt;0,INDEX(GR_PctN,Vid_protection_Idx),"")</f>
        <v/>
      </c>
    </row>
    <row r="212" customFormat="false" ht="15" hidden="false" customHeight="false" outlineLevel="0" collapsed="false">
      <c r="B212" s="1" t="s">
        <v>2839</v>
      </c>
      <c r="C212" s="101" t="n">
        <f aca="false">IFERROR(MATCH(1,INDEX((GR_Spec="investment")*(GR_Kind&lt;&gt;"retire")*(GR_Key&lt;&gt;""),0),0),0)</f>
        <v>0</v>
      </c>
    </row>
    <row r="213" customFormat="false" ht="15" hidden="false" customHeight="false" outlineLevel="0" collapsed="false">
      <c r="B213" s="1" t="s">
        <v>2840</v>
      </c>
      <c r="C213" s="101" t="str">
        <f aca="false">IF(Vid_investment_Idx&gt;0,INDEX(GR_PctN,Vid_investment_Idx),"")</f>
        <v/>
      </c>
    </row>
    <row r="214" customFormat="false" ht="15" hidden="false" customHeight="false" outlineLevel="0" collapsed="false">
      <c r="B214" s="1" t="s">
        <v>2841</v>
      </c>
      <c r="C214" s="101" t="n">
        <f aca="false">IFERROR(MATCH(1,INDEX((GR_Spec="planner")*(GR_Kind&lt;&gt;"retire")*(GR_Key&lt;&gt;""),0),0),0)</f>
        <v>0</v>
      </c>
    </row>
    <row r="215" customFormat="false" ht="15" hidden="false" customHeight="false" outlineLevel="0" collapsed="false">
      <c r="B215" s="1" t="s">
        <v>2842</v>
      </c>
      <c r="C215" s="101" t="str">
        <f aca="false">IF(Vid_planner_Idx&gt;0,INDEX(GR_PctN,Vid_planner_Idx),"")</f>
        <v/>
      </c>
    </row>
    <row r="216" customFormat="false" ht="15" hidden="false" customHeight="false" outlineLevel="0" collapsed="false">
      <c r="B216" s="1" t="s">
        <v>2843</v>
      </c>
      <c r="C216" s="101" t="n">
        <f aca="false">COUNTIF(README!$E$32:$E$59,"Home &amp; Mortgage")</f>
        <v>7</v>
      </c>
    </row>
    <row r="217" customFormat="false" ht="15" hidden="false" customHeight="false" outlineLevel="0" collapsed="false">
      <c r="B217" s="1" t="s">
        <v>2844</v>
      </c>
      <c r="C217" s="101" t="n">
        <f aca="false">COUNTIF(README!$E$32:$E$59,"Savings &amp; Goals")</f>
        <v>3</v>
      </c>
    </row>
    <row r="218" customFormat="false" ht="15" hidden="false" customHeight="false" outlineLevel="0" collapsed="false">
      <c r="B218" s="1" t="s">
        <v>2845</v>
      </c>
      <c r="C218" s="101" t="n">
        <f aca="false">COUNTIF(README!$E$32:$E$59,"Pensions &amp; Retirement")</f>
        <v>5</v>
      </c>
    </row>
    <row r="219" customFormat="false" ht="15" hidden="false" customHeight="false" outlineLevel="0" collapsed="false">
      <c r="B219" s="1" t="s">
        <v>2846</v>
      </c>
      <c r="C219" s="101" t="n">
        <f aca="false">COUNTIF(README!$E$32:$E$59,"Investments")</f>
        <v>5</v>
      </c>
    </row>
    <row r="220" customFormat="false" ht="15" hidden="false" customHeight="false" outlineLevel="0" collapsed="false">
      <c r="B220" s="1" t="s">
        <v>2847</v>
      </c>
      <c r="C220" s="101" t="n">
        <f aca="false">COUNTIF(README!$E$32:$E$59,"Protection")</f>
        <v>3</v>
      </c>
    </row>
    <row r="221" customFormat="false" ht="15" hidden="false" customHeight="false" outlineLevel="0" collapsed="false">
      <c r="B221" s="1" t="s">
        <v>2848</v>
      </c>
      <c r="C221" s="101"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35" hidden="false" customHeight="false" outlineLevel="0" collapsed="false">
      <c r="B1" s="90" t="s">
        <v>2849</v>
      </c>
    </row>
    <row r="2" customFormat="false" ht="51.75" hidden="false" customHeight="true" outlineLevel="0" collapsed="false">
      <c r="B2" s="91" t="s">
        <v>2850</v>
      </c>
      <c r="C2" s="91"/>
      <c r="D2" s="91"/>
      <c r="E2" s="91"/>
      <c r="F2" s="91"/>
      <c r="G2" s="91"/>
      <c r="H2" s="91"/>
    </row>
    <row r="4" customFormat="false" ht="15" hidden="false" customHeight="false" outlineLevel="0" collapsed="false">
      <c r="B4" s="93" t="s">
        <v>2851</v>
      </c>
      <c r="C4" s="93" t="s">
        <v>2852</v>
      </c>
    </row>
    <row r="5" customFormat="false" ht="15" hidden="false" customHeight="false" outlineLevel="0" collapsed="false">
      <c r="B5" s="1" t="s">
        <v>2853</v>
      </c>
      <c r="C5" s="94"/>
      <c r="D5" s="95" t="n">
        <f aca="false">IF(ISBLANK(C5),0,IF(AND(ISNUMBER(C5),C5&gt;=1,C5&lt;=4,C5=INT(C5)),C5,0))</f>
        <v>0</v>
      </c>
    </row>
    <row r="6" customFormat="false" ht="15" hidden="false" customHeight="false" outlineLevel="0" collapsed="false">
      <c r="B6" s="1" t="s">
        <v>2854</v>
      </c>
      <c r="C6" s="94"/>
      <c r="D6" s="95" t="n">
        <f aca="false">IF(ISBLANK(C6),0,IF(AND(ISNUMBER(C6),C6&gt;=1,C6&lt;=4,C6=INT(C6)),C6,0))</f>
        <v>0</v>
      </c>
    </row>
    <row r="7" customFormat="false" ht="15" hidden="false" customHeight="false" outlineLevel="0" collapsed="false">
      <c r="B7" s="1" t="s">
        <v>2855</v>
      </c>
      <c r="C7" s="113" t="s">
        <v>2856</v>
      </c>
      <c r="D7" s="95" t="n">
        <f aca="false">IF(Has_q6=1,In_q6+1,0)</f>
        <v>0</v>
      </c>
    </row>
    <row r="8" customFormat="false" ht="15" hidden="false" customHeight="false" outlineLevel="0" collapsed="false">
      <c r="B8" s="1" t="s">
        <v>2857</v>
      </c>
      <c r="C8" s="94"/>
      <c r="D8" s="95" t="n">
        <f aca="false">IF(ISBLANK(C8),0,IF(AND(ISNUMBER(C8),C8&gt;=1,C8&lt;=4,C8=INT(C8)),C8,0))</f>
        <v>0</v>
      </c>
    </row>
    <row r="9" customFormat="false" ht="15" hidden="false" customHeight="false" outlineLevel="0" collapsed="false">
      <c r="B9" s="1" t="s">
        <v>2858</v>
      </c>
      <c r="C9" s="94"/>
      <c r="D9" s="95" t="n">
        <f aca="false">IF(ISBLANK(C9),0,IF(AND(ISNUMBER(C9),C9&gt;=1,C9&lt;=4,C9=INT(C9)),C9,0))</f>
        <v>0</v>
      </c>
    </row>
    <row r="10" customFormat="false" ht="15" hidden="false" customHeight="false" outlineLevel="0" collapsed="false">
      <c r="B10" s="1" t="s">
        <v>2859</v>
      </c>
      <c r="C10" s="94"/>
      <c r="D10" s="95" t="n">
        <f aca="false">IF(ISBLANK(C10),0,IF(AND(ISNUMBER(C10),C10&gt;=1,C10&lt;=4,C10=INT(C10)),C10,0))</f>
        <v>0</v>
      </c>
    </row>
    <row r="11" customFormat="false" ht="15" hidden="false" customHeight="false" outlineLevel="0" collapsed="false">
      <c r="B11" s="1" t="s">
        <v>2860</v>
      </c>
      <c r="C11" s="94"/>
      <c r="D11" s="95" t="n">
        <f aca="false">IF(ISBLANK(C11),0,IF(AND(ISNUMBER(C11),C11&gt;=1,C11&lt;=4,C11=INT(C11)),C11,0))</f>
        <v>0</v>
      </c>
    </row>
    <row r="12" customFormat="false" ht="15" hidden="false" customHeight="false" outlineLevel="0" collapsed="false">
      <c r="B12" s="1" t="s">
        <v>2861</v>
      </c>
      <c r="C12" s="94"/>
      <c r="D12" s="95" t="n">
        <f aca="false">IF(ISBLANK(C12),0,IF(AND(ISNUMBER(C12),C12&gt;=1,C12&lt;=4,C12=INT(C12)),C12,0))</f>
        <v>0</v>
      </c>
    </row>
    <row r="13" customFormat="false" ht="15" hidden="false" customHeight="false" outlineLevel="0" collapsed="false">
      <c r="B13" s="1" t="s">
        <v>2862</v>
      </c>
      <c r="C13" s="94"/>
      <c r="D13" s="95" t="n">
        <f aca="false">IF(ISBLANK(C13),0,IF(AND(ISNUMBER(C13),C13&gt;=1,C13&lt;=4,C13=INT(C13)),C13,0))</f>
        <v>0</v>
      </c>
    </row>
    <row r="14" customFormat="false" ht="15" hidden="false" customHeight="false" outlineLevel="0" collapsed="false">
      <c r="B14" s="1" t="s">
        <v>2863</v>
      </c>
      <c r="C14" s="94"/>
      <c r="D14" s="95" t="n">
        <f aca="false">IF(ISBLANK(C14),0,IF(AND(ISNUMBER(C14),C14&gt;=1,C14&lt;=4,C14=INT(C14)),C14,0))</f>
        <v>0</v>
      </c>
    </row>
    <row r="15" customFormat="false" ht="15" hidden="false" customHeight="false" outlineLevel="0" collapsed="false">
      <c r="B15" s="1" t="s">
        <v>2864</v>
      </c>
      <c r="C15" s="94"/>
      <c r="D15" s="95" t="n">
        <f aca="false">IF(ISBLANK(C15),0,IF(AND(ISNUMBER(C15),C15&gt;=1,C15&lt;=4,C15=INT(C15)),C15,0))</f>
        <v>0</v>
      </c>
    </row>
    <row r="16" customFormat="false" ht="15" hidden="false" customHeight="false" outlineLevel="0" collapsed="false">
      <c r="B16" s="1" t="s">
        <v>2865</v>
      </c>
      <c r="C16" s="94"/>
      <c r="D16" s="95" t="n">
        <f aca="false">IF(ISBLANK(C16),0,IF(AND(ISNUMBER(C16),C16&gt;=1,C16&lt;=4,C16=INT(C16)),C16,0))</f>
        <v>0</v>
      </c>
    </row>
    <row r="17" customFormat="false" ht="15" hidden="false" customHeight="false" outlineLevel="0" collapsed="false">
      <c r="B17" s="1" t="s">
        <v>2866</v>
      </c>
      <c r="C17" s="94"/>
      <c r="D17" s="95" t="n">
        <f aca="false">IF(ISBLANK(C17),0,IF(AND(ISNUMBER(C17),C17&gt;=1,C17&lt;=4,C17=INT(C17)),C17,0))</f>
        <v>0</v>
      </c>
    </row>
    <row r="18" customFormat="false" ht="15" hidden="false" customHeight="false" outlineLevel="0" collapsed="false">
      <c r="B18" s="1" t="s">
        <v>2867</v>
      </c>
      <c r="C18" s="94"/>
      <c r="D18" s="95" t="n">
        <f aca="false">IF(ISBLANK(C18),0,IF(AND(ISNUMBER(C18),C18&gt;=0,C18&lt;=7,C18=INT(C18)),C18,0))</f>
        <v>0</v>
      </c>
    </row>
    <row r="19" customFormat="false" ht="15" hidden="false" customHeight="false" outlineLevel="0" collapsed="false">
      <c r="B19" s="1" t="s">
        <v>2868</v>
      </c>
      <c r="C19" s="94"/>
      <c r="D19" s="95" t="n">
        <f aca="false">IF(C19="Yes",1,0)</f>
        <v>0</v>
      </c>
    </row>
    <row r="20" customFormat="false" ht="15" hidden="false" customHeight="false" outlineLevel="0" collapsed="false">
      <c r="B20" s="1" t="s">
        <v>2869</v>
      </c>
      <c r="C20" s="94"/>
      <c r="D20" s="95" t="n">
        <f aca="false">IF(C20="Yes",1,0)</f>
        <v>0</v>
      </c>
    </row>
    <row r="22" customFormat="false" ht="15" hidden="false" customHeight="false" outlineLevel="0" collapsed="false">
      <c r="B22" s="93" t="s">
        <v>2870</v>
      </c>
      <c r="C22" s="93" t="s">
        <v>2871</v>
      </c>
      <c r="D22" s="93" t="s">
        <v>2872</v>
      </c>
      <c r="E22" s="93" t="s">
        <v>2873</v>
      </c>
      <c r="F22" s="93" t="s">
        <v>2874</v>
      </c>
      <c r="G22" s="93" t="s">
        <v>2875</v>
      </c>
      <c r="H22" s="93" t="s">
        <v>2876</v>
      </c>
      <c r="I22" s="114"/>
      <c r="J22" s="114"/>
      <c r="K22" s="114"/>
    </row>
    <row r="23" customFormat="false" ht="15" hidden="false" customHeight="false" outlineLevel="0" collapsed="false">
      <c r="B23" s="1" t="s">
        <v>2877</v>
      </c>
      <c r="D23" s="1" t="n">
        <v>2</v>
      </c>
      <c r="E23" s="1" t="n">
        <v>0</v>
      </c>
      <c r="F23" s="1" t="n">
        <v>0</v>
      </c>
      <c r="G23" s="1" t="n">
        <v>0</v>
      </c>
      <c r="H23" s="1" t="s">
        <v>2878</v>
      </c>
    </row>
    <row r="24" customFormat="false" ht="15" hidden="false" customHeight="false" outlineLevel="0" collapsed="false">
      <c r="B24" s="1" t="s">
        <v>2879</v>
      </c>
      <c r="D24" s="1" t="n">
        <v>0</v>
      </c>
      <c r="E24" s="1" t="n">
        <v>2</v>
      </c>
      <c r="F24" s="1" t="n">
        <v>0</v>
      </c>
      <c r="G24" s="1" t="n">
        <v>0</v>
      </c>
      <c r="H24" s="1" t="s">
        <v>2880</v>
      </c>
    </row>
    <row r="25" customFormat="false" ht="15" hidden="false" customHeight="false" outlineLevel="0" collapsed="false">
      <c r="B25" s="1" t="s">
        <v>2881</v>
      </c>
      <c r="D25" s="1" t="n">
        <v>0</v>
      </c>
      <c r="E25" s="1" t="n">
        <v>0</v>
      </c>
      <c r="F25" s="1" t="n">
        <v>2</v>
      </c>
      <c r="G25" s="1" t="n">
        <v>0</v>
      </c>
      <c r="H25" s="1" t="s">
        <v>2882</v>
      </c>
    </row>
    <row r="26" customFormat="false" ht="15" hidden="false" customHeight="false" outlineLevel="0" collapsed="false">
      <c r="B26" s="1" t="s">
        <v>2883</v>
      </c>
      <c r="D26" s="1" t="n">
        <v>0</v>
      </c>
      <c r="E26" s="1" t="n">
        <v>0</v>
      </c>
      <c r="F26" s="1" t="n">
        <v>0</v>
      </c>
      <c r="G26" s="1" t="n">
        <v>2</v>
      </c>
      <c r="H26" s="1" t="s">
        <v>2884</v>
      </c>
    </row>
    <row r="27" customFormat="false" ht="15" hidden="false" customHeight="false" outlineLevel="0" collapsed="false">
      <c r="B27" s="1" t="s">
        <v>2885</v>
      </c>
      <c r="D27" s="1" t="n">
        <v>0</v>
      </c>
      <c r="E27" s="1" t="n">
        <v>0</v>
      </c>
      <c r="F27" s="1" t="n">
        <v>1</v>
      </c>
      <c r="G27" s="1" t="n">
        <v>0</v>
      </c>
      <c r="H27" s="1" t="s">
        <v>2886</v>
      </c>
    </row>
    <row r="28" customFormat="false" ht="15" hidden="false" customHeight="false" outlineLevel="0" collapsed="false">
      <c r="B28" s="1" t="s">
        <v>2887</v>
      </c>
      <c r="D28" s="1" t="n">
        <v>1</v>
      </c>
      <c r="E28" s="1" t="n">
        <v>0</v>
      </c>
      <c r="F28" s="1" t="n">
        <v>0</v>
      </c>
      <c r="G28" s="1" t="n">
        <v>0</v>
      </c>
      <c r="H28" s="1" t="s">
        <v>2888</v>
      </c>
    </row>
    <row r="29" customFormat="false" ht="15" hidden="false" customHeight="false" outlineLevel="0" collapsed="false">
      <c r="B29" s="1" t="s">
        <v>2889</v>
      </c>
      <c r="D29" s="1" t="n">
        <v>0</v>
      </c>
      <c r="E29" s="1" t="n">
        <v>1</v>
      </c>
      <c r="F29" s="1" t="n">
        <v>0</v>
      </c>
      <c r="G29" s="1" t="n">
        <v>0</v>
      </c>
      <c r="H29" s="1" t="s">
        <v>2890</v>
      </c>
    </row>
    <row r="30" customFormat="false" ht="15" hidden="false" customHeight="false" outlineLevel="0" collapsed="false">
      <c r="B30" s="1" t="s">
        <v>2891</v>
      </c>
      <c r="D30" s="1" t="n">
        <v>0</v>
      </c>
      <c r="E30" s="1" t="n">
        <v>0.5</v>
      </c>
      <c r="F30" s="1" t="n">
        <v>0</v>
      </c>
      <c r="G30" s="1" t="n">
        <v>0.5</v>
      </c>
      <c r="H30" s="1" t="s">
        <v>2892</v>
      </c>
    </row>
    <row r="31" customFormat="false" ht="15" hidden="false" customHeight="false" outlineLevel="0" collapsed="false">
      <c r="B31" s="1" t="s">
        <v>2893</v>
      </c>
      <c r="C31" s="1" t="n">
        <v>1</v>
      </c>
      <c r="D31" s="1" t="n">
        <v>0</v>
      </c>
      <c r="E31" s="1" t="n">
        <v>0</v>
      </c>
      <c r="F31" s="1" t="n">
        <v>0</v>
      </c>
      <c r="G31" s="1" t="n">
        <v>0</v>
      </c>
      <c r="H31" s="1" t="s">
        <v>2894</v>
      </c>
    </row>
    <row r="32" customFormat="false" ht="15" hidden="false" customHeight="false" outlineLevel="0" collapsed="false">
      <c r="B32" s="1" t="s">
        <v>2895</v>
      </c>
      <c r="C32" s="1" t="n">
        <v>2</v>
      </c>
      <c r="D32" s="1" t="n">
        <v>0</v>
      </c>
      <c r="E32" s="1" t="n">
        <v>0</v>
      </c>
      <c r="F32" s="1" t="n">
        <v>0</v>
      </c>
      <c r="G32" s="1" t="n">
        <v>0</v>
      </c>
      <c r="H32" s="1" t="s">
        <v>2896</v>
      </c>
    </row>
    <row r="33" customFormat="false" ht="15" hidden="false" customHeight="false" outlineLevel="0" collapsed="false">
      <c r="B33" s="1" t="s">
        <v>2897</v>
      </c>
      <c r="C33" s="1" t="n">
        <v>3</v>
      </c>
      <c r="D33" s="1" t="n">
        <v>0</v>
      </c>
      <c r="E33" s="1" t="n">
        <v>0</v>
      </c>
      <c r="F33" s="1" t="n">
        <v>0</v>
      </c>
      <c r="G33" s="1" t="n">
        <v>0</v>
      </c>
      <c r="H33" s="1" t="s">
        <v>2898</v>
      </c>
    </row>
    <row r="34" customFormat="false" ht="15" hidden="false" customHeight="false" outlineLevel="0" collapsed="false">
      <c r="B34" s="1" t="s">
        <v>2899</v>
      </c>
      <c r="C34" s="1" t="n">
        <v>4</v>
      </c>
      <c r="D34" s="1" t="n">
        <v>0</v>
      </c>
      <c r="E34" s="1" t="n">
        <v>0</v>
      </c>
      <c r="F34" s="1" t="n">
        <v>0</v>
      </c>
      <c r="G34" s="1" t="n">
        <v>0</v>
      </c>
      <c r="H34" s="1" t="s">
        <v>2900</v>
      </c>
    </row>
    <row r="35" customFormat="false" ht="15" hidden="false" customHeight="false" outlineLevel="0" collapsed="false">
      <c r="B35" s="1" t="s">
        <v>2901</v>
      </c>
      <c r="C35" s="1" t="n">
        <v>2</v>
      </c>
      <c r="D35" s="1" t="n">
        <v>0</v>
      </c>
      <c r="E35" s="1" t="n">
        <v>0</v>
      </c>
      <c r="F35" s="1" t="n">
        <v>0</v>
      </c>
      <c r="G35" s="1" t="n">
        <v>0</v>
      </c>
      <c r="H35" s="1" t="s">
        <v>2902</v>
      </c>
    </row>
    <row r="36" customFormat="false" ht="15" hidden="false" customHeight="false" outlineLevel="0" collapsed="false">
      <c r="B36" s="1" t="s">
        <v>2903</v>
      </c>
      <c r="C36" s="1" t="n">
        <v>4</v>
      </c>
      <c r="D36" s="1" t="n">
        <v>0.5</v>
      </c>
      <c r="E36" s="1" t="n">
        <v>0</v>
      </c>
      <c r="F36" s="1" t="n">
        <v>0</v>
      </c>
      <c r="G36" s="1" t="n">
        <v>0</v>
      </c>
      <c r="H36" s="1" t="s">
        <v>2512</v>
      </c>
    </row>
    <row r="37" customFormat="false" ht="15" hidden="false" customHeight="false" outlineLevel="0" collapsed="false">
      <c r="B37" s="1" t="s">
        <v>2904</v>
      </c>
      <c r="C37" s="1" t="n">
        <v>2</v>
      </c>
      <c r="D37" s="1" t="n">
        <v>0</v>
      </c>
      <c r="E37" s="1" t="n">
        <v>0</v>
      </c>
      <c r="F37" s="1" t="n">
        <v>0</v>
      </c>
      <c r="G37" s="1" t="n">
        <v>0</v>
      </c>
      <c r="H37" s="1" t="s">
        <v>2905</v>
      </c>
    </row>
    <row r="38" customFormat="false" ht="15" hidden="false" customHeight="false" outlineLevel="0" collapsed="false">
      <c r="B38" s="1" t="s">
        <v>2906</v>
      </c>
      <c r="C38" s="1" t="n">
        <v>1</v>
      </c>
      <c r="D38" s="1" t="n">
        <v>0</v>
      </c>
      <c r="E38" s="1" t="n">
        <v>0</v>
      </c>
      <c r="F38" s="1" t="n">
        <v>0</v>
      </c>
      <c r="G38" s="1" t="n">
        <v>0</v>
      </c>
      <c r="H38" s="1" t="s">
        <v>2907</v>
      </c>
    </row>
    <row r="39" customFormat="false" ht="15" hidden="false" customHeight="false" outlineLevel="0" collapsed="false">
      <c r="B39" s="1" t="s">
        <v>2908</v>
      </c>
      <c r="C39" s="1" t="n">
        <v>1</v>
      </c>
      <c r="D39" s="1" t="n">
        <v>0</v>
      </c>
      <c r="E39" s="1" t="n">
        <v>0</v>
      </c>
      <c r="F39" s="1" t="n">
        <v>0</v>
      </c>
      <c r="G39" s="1" t="n">
        <v>0.5</v>
      </c>
      <c r="H39" s="1" t="s">
        <v>2909</v>
      </c>
    </row>
    <row r="40" customFormat="false" ht="15" hidden="false" customHeight="false" outlineLevel="0" collapsed="false">
      <c r="B40" s="1" t="s">
        <v>2910</v>
      </c>
      <c r="C40" s="1" t="n">
        <v>1</v>
      </c>
      <c r="D40" s="1" t="n">
        <v>0</v>
      </c>
      <c r="E40" s="1" t="n">
        <v>0.5</v>
      </c>
      <c r="F40" s="1" t="n">
        <v>0</v>
      </c>
      <c r="G40" s="1" t="n">
        <v>0.5</v>
      </c>
      <c r="H40" s="1" t="s">
        <v>2911</v>
      </c>
    </row>
    <row r="41" customFormat="false" ht="15" hidden="false" customHeight="false" outlineLevel="0" collapsed="false">
      <c r="B41" s="1" t="s">
        <v>2912</v>
      </c>
      <c r="C41" s="1" t="n">
        <v>2</v>
      </c>
      <c r="D41" s="1" t="n">
        <v>0.5</v>
      </c>
      <c r="E41" s="1" t="n">
        <v>0.5</v>
      </c>
      <c r="F41" s="1" t="n">
        <v>0</v>
      </c>
      <c r="G41" s="1" t="n">
        <v>0</v>
      </c>
      <c r="H41" s="1" t="s">
        <v>2913</v>
      </c>
    </row>
    <row r="42" customFormat="false" ht="15" hidden="false" customHeight="false" outlineLevel="0" collapsed="false">
      <c r="B42" s="1" t="s">
        <v>2914</v>
      </c>
      <c r="C42" s="1" t="n">
        <v>3</v>
      </c>
      <c r="D42" s="1" t="n">
        <v>0.5</v>
      </c>
      <c r="E42" s="1" t="n">
        <v>0</v>
      </c>
      <c r="F42" s="1" t="n">
        <v>0.5</v>
      </c>
      <c r="G42" s="1" t="n">
        <v>0</v>
      </c>
      <c r="H42" s="1" t="s">
        <v>2915</v>
      </c>
    </row>
    <row r="43" customFormat="false" ht="15" hidden="false" customHeight="false" outlineLevel="0" collapsed="false">
      <c r="B43" s="1" t="s">
        <v>2916</v>
      </c>
      <c r="C43" s="1" t="n">
        <v>4</v>
      </c>
      <c r="D43" s="1" t="n">
        <v>0</v>
      </c>
      <c r="E43" s="1" t="n">
        <v>0</v>
      </c>
      <c r="F43" s="1" t="n">
        <v>1</v>
      </c>
      <c r="G43" s="1" t="n">
        <v>0</v>
      </c>
      <c r="H43" s="1" t="s">
        <v>2917</v>
      </c>
    </row>
    <row r="44" customFormat="false" ht="15" hidden="false" customHeight="false" outlineLevel="0" collapsed="false">
      <c r="B44" s="1" t="s">
        <v>2918</v>
      </c>
      <c r="C44" s="1" t="n">
        <v>1</v>
      </c>
      <c r="D44" s="1" t="n">
        <v>0</v>
      </c>
      <c r="E44" s="1" t="n">
        <v>1</v>
      </c>
      <c r="F44" s="1" t="n">
        <v>0</v>
      </c>
      <c r="G44" s="1" t="n">
        <v>0</v>
      </c>
      <c r="H44" s="1" t="s">
        <v>2919</v>
      </c>
    </row>
    <row r="45" customFormat="false" ht="15" hidden="false" customHeight="false" outlineLevel="0" collapsed="false">
      <c r="B45" s="1" t="s">
        <v>2920</v>
      </c>
      <c r="C45" s="1" t="n">
        <v>2</v>
      </c>
      <c r="D45" s="1" t="n">
        <v>0</v>
      </c>
      <c r="E45" s="1" t="n">
        <v>0.5</v>
      </c>
      <c r="F45" s="1" t="n">
        <v>0</v>
      </c>
      <c r="G45" s="1" t="n">
        <v>0</v>
      </c>
      <c r="H45" s="1" t="s">
        <v>2921</v>
      </c>
    </row>
    <row r="46" customFormat="false" ht="15" hidden="false" customHeight="false" outlineLevel="0" collapsed="false">
      <c r="B46" s="1" t="s">
        <v>2922</v>
      </c>
      <c r="C46" s="1" t="n">
        <v>3</v>
      </c>
      <c r="D46" s="1" t="n">
        <v>0.5</v>
      </c>
      <c r="E46" s="1" t="n">
        <v>0</v>
      </c>
      <c r="F46" s="1" t="n">
        <v>0</v>
      </c>
      <c r="G46" s="1" t="n">
        <v>0.5</v>
      </c>
      <c r="H46" s="1" t="s">
        <v>2923</v>
      </c>
    </row>
    <row r="47" customFormat="false" ht="15" hidden="false" customHeight="false" outlineLevel="0" collapsed="false">
      <c r="B47" s="1" t="s">
        <v>2924</v>
      </c>
      <c r="C47" s="1" t="n">
        <v>4</v>
      </c>
      <c r="D47" s="1" t="n">
        <v>0</v>
      </c>
      <c r="E47" s="1" t="n">
        <v>0</v>
      </c>
      <c r="F47" s="1" t="n">
        <v>1</v>
      </c>
      <c r="G47" s="1" t="n">
        <v>0</v>
      </c>
      <c r="H47" s="1" t="s">
        <v>2925</v>
      </c>
    </row>
    <row r="48" customFormat="false" ht="15" hidden="false" customHeight="false" outlineLevel="0" collapsed="false">
      <c r="B48" s="1" t="s">
        <v>2926</v>
      </c>
      <c r="C48" s="1" t="n">
        <v>1</v>
      </c>
      <c r="D48" s="1" t="n">
        <v>0</v>
      </c>
      <c r="E48" s="1" t="n">
        <v>1</v>
      </c>
      <c r="F48" s="1" t="n">
        <v>0</v>
      </c>
      <c r="G48" s="1" t="n">
        <v>0</v>
      </c>
      <c r="H48" s="1" t="s">
        <v>2927</v>
      </c>
    </row>
    <row r="49" customFormat="false" ht="15" hidden="false" customHeight="false" outlineLevel="0" collapsed="false">
      <c r="B49" s="1" t="s">
        <v>2928</v>
      </c>
      <c r="C49" s="1" t="n">
        <v>2</v>
      </c>
      <c r="D49" s="1" t="n">
        <v>0</v>
      </c>
      <c r="E49" s="1" t="n">
        <v>0</v>
      </c>
      <c r="F49" s="1" t="n">
        <v>0.5</v>
      </c>
      <c r="G49" s="1" t="n">
        <v>0</v>
      </c>
      <c r="H49" s="1" t="s">
        <v>2929</v>
      </c>
    </row>
    <row r="50" customFormat="false" ht="15" hidden="false" customHeight="false" outlineLevel="0" collapsed="false">
      <c r="B50" s="1" t="s">
        <v>2930</v>
      </c>
      <c r="C50" s="1" t="n">
        <v>4</v>
      </c>
      <c r="D50" s="1" t="n">
        <v>1</v>
      </c>
      <c r="E50" s="1" t="n">
        <v>0</v>
      </c>
      <c r="F50" s="1" t="n">
        <v>0</v>
      </c>
      <c r="G50" s="1" t="n">
        <v>0</v>
      </c>
      <c r="H50" s="1" t="s">
        <v>2931</v>
      </c>
    </row>
    <row r="51" customFormat="false" ht="15" hidden="false" customHeight="false" outlineLevel="0" collapsed="false">
      <c r="B51" s="1" t="s">
        <v>2932</v>
      </c>
      <c r="C51" s="1" t="n">
        <v>1</v>
      </c>
      <c r="D51" s="1" t="n">
        <v>0</v>
      </c>
      <c r="E51" s="1" t="n">
        <v>0</v>
      </c>
      <c r="F51" s="1" t="n">
        <v>0</v>
      </c>
      <c r="G51" s="1" t="n">
        <v>1</v>
      </c>
      <c r="H51" s="1" t="s">
        <v>2933</v>
      </c>
    </row>
    <row r="52" customFormat="false" ht="15" hidden="false" customHeight="false" outlineLevel="0" collapsed="false">
      <c r="B52" s="1" t="s">
        <v>2934</v>
      </c>
      <c r="C52" s="1" t="n">
        <v>1</v>
      </c>
      <c r="D52" s="1" t="n">
        <v>0</v>
      </c>
      <c r="E52" s="1" t="n">
        <v>0</v>
      </c>
      <c r="F52" s="1" t="n">
        <v>0</v>
      </c>
      <c r="G52" s="1" t="n">
        <v>0</v>
      </c>
    </row>
    <row r="53" customFormat="false" ht="15" hidden="false" customHeight="false" outlineLevel="0" collapsed="false">
      <c r="B53" s="1" t="s">
        <v>2935</v>
      </c>
      <c r="C53" s="1" t="n">
        <v>2</v>
      </c>
      <c r="D53" s="1" t="n">
        <v>0</v>
      </c>
      <c r="E53" s="1" t="n">
        <v>0</v>
      </c>
      <c r="F53" s="1" t="n">
        <v>0</v>
      </c>
      <c r="G53" s="1" t="n">
        <v>0</v>
      </c>
    </row>
    <row r="54" customFormat="false" ht="15" hidden="false" customHeight="false" outlineLevel="0" collapsed="false">
      <c r="B54" s="1" t="s">
        <v>2936</v>
      </c>
      <c r="C54" s="1" t="n">
        <v>3</v>
      </c>
      <c r="D54" s="1" t="n">
        <v>0</v>
      </c>
      <c r="E54" s="1" t="n">
        <v>0</v>
      </c>
      <c r="F54" s="1" t="n">
        <v>0</v>
      </c>
      <c r="G54" s="1" t="n">
        <v>0</v>
      </c>
    </row>
    <row r="55" customFormat="false" ht="15" hidden="false" customHeight="false" outlineLevel="0" collapsed="false">
      <c r="B55" s="1" t="s">
        <v>2937</v>
      </c>
      <c r="C55" s="1" t="n">
        <v>4</v>
      </c>
      <c r="D55" s="1" t="n">
        <v>0</v>
      </c>
      <c r="E55" s="1" t="n">
        <v>0</v>
      </c>
      <c r="F55" s="1" t="n">
        <v>0</v>
      </c>
      <c r="G55" s="1" t="n">
        <v>0</v>
      </c>
    </row>
    <row r="56" customFormat="false" ht="15" hidden="false" customHeight="false" outlineLevel="0" collapsed="false">
      <c r="B56" s="1" t="s">
        <v>2938</v>
      </c>
      <c r="C56" s="1" t="n">
        <v>1</v>
      </c>
      <c r="D56" s="1" t="n">
        <v>0</v>
      </c>
      <c r="E56" s="1" t="n">
        <v>0</v>
      </c>
      <c r="F56" s="1" t="n">
        <v>0</v>
      </c>
      <c r="G56" s="1" t="n">
        <v>0</v>
      </c>
    </row>
    <row r="57" customFormat="false" ht="15" hidden="false" customHeight="false" outlineLevel="0" collapsed="false">
      <c r="B57" s="1" t="s">
        <v>2939</v>
      </c>
      <c r="C57" s="1" t="n">
        <v>2</v>
      </c>
      <c r="D57" s="1" t="n">
        <v>0</v>
      </c>
      <c r="E57" s="1" t="n">
        <v>0</v>
      </c>
      <c r="F57" s="1" t="n">
        <v>0</v>
      </c>
      <c r="G57" s="1" t="n">
        <v>0</v>
      </c>
    </row>
    <row r="58" customFormat="false" ht="15" hidden="false" customHeight="false" outlineLevel="0" collapsed="false">
      <c r="B58" s="1" t="s">
        <v>2940</v>
      </c>
      <c r="C58" s="1" t="n">
        <v>3</v>
      </c>
      <c r="D58" s="1" t="n">
        <v>0</v>
      </c>
      <c r="E58" s="1" t="n">
        <v>0</v>
      </c>
      <c r="F58" s="1" t="n">
        <v>0</v>
      </c>
      <c r="G58" s="1" t="n">
        <v>0</v>
      </c>
    </row>
    <row r="59" customFormat="false" ht="15" hidden="false" customHeight="false" outlineLevel="0" collapsed="false">
      <c r="B59" s="1" t="s">
        <v>2941</v>
      </c>
      <c r="C59" s="1" t="n">
        <v>4</v>
      </c>
      <c r="D59" s="1" t="n">
        <v>0</v>
      </c>
      <c r="E59" s="1" t="n">
        <v>0</v>
      </c>
      <c r="F59" s="1" t="n">
        <v>0</v>
      </c>
      <c r="G59" s="1" t="n">
        <v>0</v>
      </c>
    </row>
    <row r="60" customFormat="false" ht="15" hidden="false" customHeight="false" outlineLevel="0" collapsed="false">
      <c r="B60" s="1" t="s">
        <v>2942</v>
      </c>
      <c r="C60" s="1" t="n">
        <v>1</v>
      </c>
      <c r="D60" s="1" t="n">
        <v>0</v>
      </c>
      <c r="E60" s="1" t="n">
        <v>0</v>
      </c>
      <c r="F60" s="1" t="n">
        <v>0</v>
      </c>
      <c r="G60" s="1" t="n">
        <v>0</v>
      </c>
    </row>
    <row r="61" customFormat="false" ht="15" hidden="false" customHeight="false" outlineLevel="0" collapsed="false">
      <c r="B61" s="1" t="s">
        <v>2943</v>
      </c>
      <c r="C61" s="1" t="n">
        <v>2</v>
      </c>
      <c r="D61" s="1" t="n">
        <v>0</v>
      </c>
      <c r="E61" s="1" t="n">
        <v>0</v>
      </c>
      <c r="F61" s="1" t="n">
        <v>0</v>
      </c>
      <c r="G61" s="1" t="n">
        <v>0</v>
      </c>
    </row>
    <row r="62" customFormat="false" ht="15" hidden="false" customHeight="false" outlineLevel="0" collapsed="false">
      <c r="B62" s="1" t="s">
        <v>2944</v>
      </c>
      <c r="C62" s="1" t="n">
        <v>3</v>
      </c>
      <c r="D62" s="1" t="n">
        <v>0</v>
      </c>
      <c r="E62" s="1" t="n">
        <v>0</v>
      </c>
      <c r="F62" s="1" t="n">
        <v>0</v>
      </c>
      <c r="G62" s="1" t="n">
        <v>0</v>
      </c>
    </row>
    <row r="63" customFormat="false" ht="15" hidden="false" customHeight="false" outlineLevel="0" collapsed="false">
      <c r="B63" s="1" t="s">
        <v>2945</v>
      </c>
      <c r="C63" s="1" t="n">
        <v>4</v>
      </c>
      <c r="D63" s="1" t="n">
        <v>0</v>
      </c>
      <c r="E63" s="1" t="n">
        <v>0</v>
      </c>
      <c r="F63" s="1" t="n">
        <v>0</v>
      </c>
      <c r="G63" s="1" t="n">
        <v>0</v>
      </c>
    </row>
    <row r="64" customFormat="false" ht="15" hidden="false" customHeight="false" outlineLevel="0" collapsed="false">
      <c r="B64" s="1" t="s">
        <v>2946</v>
      </c>
      <c r="C64" s="1" t="n">
        <v>1</v>
      </c>
      <c r="D64" s="1" t="n">
        <v>0</v>
      </c>
      <c r="E64" s="1" t="n">
        <v>0</v>
      </c>
      <c r="F64" s="1" t="n">
        <v>0</v>
      </c>
      <c r="G64" s="1" t="n">
        <v>0</v>
      </c>
    </row>
    <row r="65" customFormat="false" ht="15" hidden="false" customHeight="false" outlineLevel="0" collapsed="false">
      <c r="B65" s="1" t="s">
        <v>2947</v>
      </c>
      <c r="C65" s="1" t="n">
        <v>2</v>
      </c>
      <c r="D65" s="1" t="n">
        <v>0</v>
      </c>
      <c r="E65" s="1" t="n">
        <v>0</v>
      </c>
      <c r="F65" s="1" t="n">
        <v>0</v>
      </c>
      <c r="G65" s="1" t="n">
        <v>0</v>
      </c>
    </row>
    <row r="66" customFormat="false" ht="15" hidden="false" customHeight="false" outlineLevel="0" collapsed="false">
      <c r="B66" s="1" t="s">
        <v>2948</v>
      </c>
      <c r="C66" s="1" t="n">
        <v>3</v>
      </c>
      <c r="D66" s="1" t="n">
        <v>0</v>
      </c>
      <c r="E66" s="1" t="n">
        <v>0</v>
      </c>
      <c r="F66" s="1" t="n">
        <v>0</v>
      </c>
      <c r="G66" s="1" t="n">
        <v>0</v>
      </c>
    </row>
    <row r="67" customFormat="false" ht="15" hidden="false" customHeight="false" outlineLevel="0" collapsed="false">
      <c r="B67" s="1" t="s">
        <v>2949</v>
      </c>
      <c r="C67" s="1" t="n">
        <v>4</v>
      </c>
      <c r="D67" s="1" t="n">
        <v>0</v>
      </c>
      <c r="E67" s="1" t="n">
        <v>0</v>
      </c>
      <c r="F67" s="1" t="n">
        <v>0</v>
      </c>
      <c r="G67" s="1" t="n">
        <v>0</v>
      </c>
    </row>
    <row r="68" customFormat="false" ht="15" hidden="false" customHeight="false" outlineLevel="0" collapsed="false">
      <c r="B68" s="1" t="s">
        <v>2950</v>
      </c>
      <c r="D68" s="1" t="n">
        <v>0.5</v>
      </c>
      <c r="E68" s="1" t="n">
        <v>0</v>
      </c>
      <c r="F68" s="1" t="n">
        <v>0.5</v>
      </c>
      <c r="G68" s="1" t="n">
        <v>0</v>
      </c>
    </row>
    <row r="69" customFormat="false" ht="15" hidden="false" customHeight="false" outlineLevel="0" collapsed="false">
      <c r="B69" s="1" t="s">
        <v>2951</v>
      </c>
      <c r="D69" s="1" t="n">
        <v>0.5</v>
      </c>
      <c r="E69" s="1" t="n">
        <v>0.5</v>
      </c>
      <c r="F69" s="1" t="n">
        <v>0</v>
      </c>
      <c r="G69" s="1" t="n">
        <v>0</v>
      </c>
    </row>
    <row r="70" customFormat="false" ht="15" hidden="false" customHeight="false" outlineLevel="0" collapsed="false">
      <c r="B70" s="1" t="s">
        <v>2952</v>
      </c>
      <c r="D70" s="1" t="n">
        <v>0</v>
      </c>
      <c r="E70" s="1" t="n">
        <v>1</v>
      </c>
      <c r="F70" s="1" t="n">
        <v>0</v>
      </c>
      <c r="G70" s="1" t="n">
        <v>0</v>
      </c>
    </row>
    <row r="71" customFormat="false" ht="15" hidden="false" customHeight="false" outlineLevel="0" collapsed="false">
      <c r="B71" s="1" t="s">
        <v>2953</v>
      </c>
      <c r="D71" s="1" t="n">
        <v>0</v>
      </c>
      <c r="E71" s="1" t="n">
        <v>0</v>
      </c>
      <c r="F71" s="1" t="n">
        <v>0</v>
      </c>
      <c r="G71" s="1" t="n">
        <v>1</v>
      </c>
      <c r="H71" s="1" t="s">
        <v>2954</v>
      </c>
    </row>
    <row r="72" customFormat="false" ht="15" hidden="false" customHeight="false" outlineLevel="0" collapsed="false">
      <c r="B72" s="1" t="s">
        <v>2955</v>
      </c>
      <c r="C72" s="1" t="n">
        <v>1</v>
      </c>
      <c r="D72" s="1" t="n">
        <v>0</v>
      </c>
      <c r="E72" s="1" t="n">
        <v>0</v>
      </c>
      <c r="F72" s="1" t="n">
        <v>0</v>
      </c>
      <c r="G72" s="1" t="n">
        <v>0</v>
      </c>
    </row>
    <row r="73" customFormat="false" ht="15" hidden="false" customHeight="false" outlineLevel="0" collapsed="false">
      <c r="B73" s="1" t="s">
        <v>2956</v>
      </c>
      <c r="C73" s="1" t="n">
        <v>2</v>
      </c>
      <c r="D73" s="1" t="n">
        <v>0</v>
      </c>
      <c r="E73" s="1" t="n">
        <v>0</v>
      </c>
      <c r="F73" s="1" t="n">
        <v>0</v>
      </c>
      <c r="G73" s="1" t="n">
        <v>0</v>
      </c>
    </row>
    <row r="74" customFormat="false" ht="15" hidden="false" customHeight="false" outlineLevel="0" collapsed="false">
      <c r="B74" s="1" t="s">
        <v>2957</v>
      </c>
      <c r="C74" s="1" t="n">
        <v>3</v>
      </c>
      <c r="D74" s="1" t="n">
        <v>0</v>
      </c>
      <c r="E74" s="1" t="n">
        <v>0</v>
      </c>
      <c r="F74" s="1" t="n">
        <v>0</v>
      </c>
      <c r="G74" s="1" t="n">
        <v>0</v>
      </c>
    </row>
    <row r="75" customFormat="false" ht="15" hidden="false" customHeight="false" outlineLevel="0" collapsed="false">
      <c r="B75" s="1" t="s">
        <v>2958</v>
      </c>
      <c r="C75" s="1" t="n">
        <v>4</v>
      </c>
      <c r="D75" s="1" t="n">
        <v>0</v>
      </c>
      <c r="E75" s="1" t="n">
        <v>0</v>
      </c>
      <c r="F75" s="1" t="n">
        <v>0</v>
      </c>
      <c r="G75" s="1" t="n">
        <v>0</v>
      </c>
      <c r="H75" s="1" t="s">
        <v>2959</v>
      </c>
    </row>
    <row r="77" customFormat="false" ht="15" hidden="false" customHeight="false" outlineLevel="0" collapsed="false">
      <c r="B77" s="93" t="s">
        <v>246</v>
      </c>
      <c r="C77" s="93" t="s">
        <v>1523</v>
      </c>
    </row>
    <row r="78" customFormat="false" ht="15" hidden="false" customHeight="false" outlineLevel="0" collapsed="false">
      <c r="B78" s="1" t="s">
        <v>2960</v>
      </c>
      <c r="C78" s="101" t="n">
        <f aca="false">(PA_2&gt;0)+(PA_4&gt;0)+(PA_7&gt;0)+(PA_8&gt;0)+(PA_9&gt;0)+(PA_12&gt;0)</f>
        <v>0</v>
      </c>
    </row>
    <row r="79" customFormat="false" ht="15" hidden="false" customHeight="false" outlineLevel="0" collapsed="false">
      <c r="B79" s="1" t="s">
        <v>2961</v>
      </c>
      <c r="C79" s="101" t="n">
        <f aca="false">(PA_2&gt;0)+(PA_4&gt;0)+(PA_6&gt;0)+(PA_7&gt;0)+(PA_8&gt;0)+(PA_9&gt;0)+(PA_12&gt;0)+(PA_u4&gt;0)+(PA_u9&gt;0)+(PA_u10&gt;0)+(PA_u11&gt;0)+(PA_u12&gt;0)+(PA_u14&gt;0)</f>
        <v>0</v>
      </c>
    </row>
    <row r="80" customFormat="false" ht="15" hidden="false" customHeight="false" outlineLevel="0" collapsed="false">
      <c r="B80" s="1" t="s">
        <v>2962</v>
      </c>
      <c r="C80" s="101" t="n">
        <f aca="false">(PA_8&gt;0)+(PA_9&gt;0)+(PA_u9&gt;0)</f>
        <v>0</v>
      </c>
    </row>
    <row r="81" customFormat="false" ht="15" hidden="false" customHeight="false" outlineLevel="0" collapsed="false">
      <c r="B81" s="1" t="s">
        <v>2963</v>
      </c>
      <c r="C81" s="101" t="n">
        <f aca="false">(PA_6&gt;0)+(PA_7&gt;0)+(PA_u10&gt;0)+(PA_u12&gt;0)+(PA_u14&gt;0)</f>
        <v>0</v>
      </c>
    </row>
    <row r="82" customFormat="false" ht="15" hidden="false" customHeight="false" outlineLevel="0" collapsed="false">
      <c r="B82" s="1" t="s">
        <v>2964</v>
      </c>
      <c r="C82" s="101" t="n">
        <f aca="false">(PA_2&gt;0)+(PA_12&gt;0)+(PA_4&gt;0)+(PA_u4&gt;0)+(PA_u11&gt;0)</f>
        <v>0</v>
      </c>
    </row>
    <row r="83" customFormat="false" ht="15" hidden="false" customHeight="false" outlineLevel="0" collapsed="false">
      <c r="B83" s="1" t="s">
        <v>2965</v>
      </c>
      <c r="C83" s="101" t="n">
        <f aca="false">7-((PA_6&gt;0)+(PA_u9&gt;0)+(PA_u10&gt;0)+(PA_u12&gt;0)+(PA_u14&gt;0)+(PA_u4&gt;0)+(PA_u11&gt;0))</f>
        <v>7</v>
      </c>
    </row>
    <row r="84" customFormat="false" ht="15" hidden="false" customHeight="false" outlineLevel="0" collapsed="false">
      <c r="B84" s="1" t="s">
        <v>2966</v>
      </c>
      <c r="C84" s="101"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false" outlineLevel="0" collapsed="false">
      <c r="B85" s="1" t="s">
        <v>2967</v>
      </c>
      <c r="C85" s="101" t="n">
        <f aca="false">IF(Prof_DiscCount&gt;=4,1,0)</f>
        <v>0</v>
      </c>
    </row>
    <row r="86" customFormat="false" ht="15" hidden="false" customHeight="false" outlineLevel="0" collapsed="false">
      <c r="B86" s="1" t="s">
        <v>2968</v>
      </c>
      <c r="C86" s="101"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false" outlineLevel="0" collapsed="false">
      <c r="B87" s="1" t="s">
        <v>2969</v>
      </c>
      <c r="C87" s="101"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false" outlineLevel="0" collapsed="false">
      <c r="B88" s="1" t="s">
        <v>2970</v>
      </c>
      <c r="C88" s="101"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false" outlineLevel="0" collapsed="false">
      <c r="B89" s="1" t="s">
        <v>2971</v>
      </c>
      <c r="C89" s="101"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false" outlineLevel="0" collapsed="false">
      <c r="B90" s="1" t="s">
        <v>2972</v>
      </c>
      <c r="C90" s="101" t="n">
        <f aca="false">MAX(Prof_SA,Prof_SB,Prof_SE,Prof_SC)</f>
        <v>0</v>
      </c>
    </row>
    <row r="91" customFormat="false" ht="15" hidden="false" customHeight="false" outlineLevel="0" collapsed="false">
      <c r="B91" s="1" t="s">
        <v>2973</v>
      </c>
      <c r="C91" s="101" t="n">
        <f aca="false">IF(Prof_SA=Prof_Top,1,0)</f>
        <v>1</v>
      </c>
    </row>
    <row r="92" customFormat="false" ht="15" hidden="false" customHeight="false" outlineLevel="0" collapsed="false">
      <c r="B92" s="1" t="s">
        <v>2974</v>
      </c>
      <c r="C92" s="101" t="n">
        <f aca="false">IF(Prof_SB=Prof_Top,1,0)</f>
        <v>1</v>
      </c>
    </row>
    <row r="93" customFormat="false" ht="15" hidden="false" customHeight="false" outlineLevel="0" collapsed="false">
      <c r="B93" s="1" t="s">
        <v>2975</v>
      </c>
      <c r="C93" s="101" t="n">
        <f aca="false">IF(Prof_SE=Prof_Top,1,0)</f>
        <v>1</v>
      </c>
    </row>
    <row r="94" customFormat="false" ht="15" hidden="false" customHeight="false" outlineLevel="0" collapsed="false">
      <c r="B94" s="1" t="s">
        <v>2976</v>
      </c>
      <c r="C94" s="101" t="n">
        <f aca="false">IF(Prof_SC=Prof_Top,1,0)</f>
        <v>1</v>
      </c>
    </row>
    <row r="95" customFormat="false" ht="15" hidden="false" customHeight="false" outlineLevel="0" collapsed="false">
      <c r="B95" s="1" t="s">
        <v>2977</v>
      </c>
      <c r="C95" s="101" t="n">
        <f aca="false">Prof_TA+Prof_TB+Prof_TE+Prof_TC</f>
        <v>4</v>
      </c>
    </row>
    <row r="96" customFormat="false" ht="15" hidden="false" customHeight="false" outlineLevel="0" collapsed="false">
      <c r="B96" s="1" t="s">
        <v>2978</v>
      </c>
      <c r="C96" s="101" t="str">
        <f aca="false">IF(PA_2&gt;0,CHOOSE(PA_2,IF(Prof_TA=1,"A",""),IF(Prof_TB=1,"B",""),IF(Prof_TE=1,"E",""),IF(Prof_TC=1,"C","")),"")</f>
        <v/>
      </c>
    </row>
    <row r="97" customFormat="false" ht="15" hidden="false" customHeight="false" outlineLevel="0" collapsed="false">
      <c r="B97" s="1" t="s">
        <v>2979</v>
      </c>
      <c r="C97" s="101" t="n">
        <f aca="false">IF(PA_4&gt;0,CHOOSE(PA_4,Prof_TE,Prof_TA,Prof_TB,Prof_TB+Prof_TC),0)</f>
        <v>0</v>
      </c>
    </row>
    <row r="98" customFormat="false" ht="15" hidden="false" customHeight="false" outlineLevel="0" collapsed="false">
      <c r="B98" s="1" t="s">
        <v>2980</v>
      </c>
      <c r="C98" s="101" t="str">
        <f aca="false">IF(Prof_Q4N=1,CHOOSE(PA_4,"E","A","B",IF(Prof_TB=1,"B","C")),"")</f>
        <v/>
      </c>
    </row>
    <row r="99" customFormat="false" ht="15" hidden="false" customHeight="false" outlineLevel="0" collapsed="false">
      <c r="B99" s="1" t="s">
        <v>2981</v>
      </c>
      <c r="C99" s="101" t="str">
        <f aca="false">IF(Prof_TB=1,"B",IF(Prof_TA=1,"A",IF(Prof_TC=1,"C","E")))</f>
        <v>B</v>
      </c>
    </row>
    <row r="100" customFormat="false" ht="15" hidden="false" customHeight="false" outlineLevel="0" collapsed="false">
      <c r="B100" s="1" t="s">
        <v>2982</v>
      </c>
      <c r="C100" s="101" t="str">
        <f aca="false">IF(Prof_DiscCount&lt;4,"",IF(Prof_TiedN=1,IF(Prof_TA=1,"A",IF(Prof_TB=1,"B",IF(Prof_TE=1,"E","C"))),IF(Prof_L2&lt;&gt;"",Prof_L2,IF(Prof_Q4L&lt;&gt;"",Prof_Q4L,Prof_First))))</f>
        <v/>
      </c>
    </row>
    <row r="101" customFormat="false" ht="15" hidden="false" customHeight="false" outlineLevel="0" collapsed="false">
      <c r="B101" s="1" t="s">
        <v>2983</v>
      </c>
      <c r="C101" s="101" t="str">
        <f aca="false">IF(Prof_TypeKey="","",IF(Prof_TypeKey="A","Achiever",IF(Prof_TypeKey="B","Balancer",IF(Prof_TypeKey="E","Explorer","Contented"))))</f>
        <v/>
      </c>
    </row>
    <row r="102" customFormat="false" ht="15" hidden="false" customHeight="false" outlineLevel="0" collapsed="false">
      <c r="B102" s="1" t="s">
        <v>2984</v>
      </c>
      <c r="C102" s="101" t="n">
        <f aca="false">IF(PA_6&gt;0,SUMIFS('Plan profile'!$C$23:$C$75,Prof_Key,"6|"&amp;PA_6),-1)</f>
        <v>-1</v>
      </c>
    </row>
    <row r="103" customFormat="false" ht="15" hidden="false" customHeight="false" outlineLevel="0" collapsed="false">
      <c r="B103" s="1" t="s">
        <v>2985</v>
      </c>
      <c r="C103" s="101" t="n">
        <f aca="false">IF(PA_7&gt;0,SUMIFS('Plan profile'!$C$23:$C$75,Prof_Key,"7|"&amp;PA_7),-1)</f>
        <v>-1</v>
      </c>
    </row>
    <row r="104" customFormat="false" ht="15" hidden="false" customHeight="false" outlineLevel="0" collapsed="false">
      <c r="B104" s="1" t="s">
        <v>2986</v>
      </c>
      <c r="C104" s="101" t="n">
        <f aca="false">IF(PA_8&gt;0,SUMIFS('Plan profile'!$C$23:$C$75,Prof_Key,"8|"&amp;PA_8),-1)</f>
        <v>-1</v>
      </c>
    </row>
    <row r="105" customFormat="false" ht="15" hidden="false" customHeight="false" outlineLevel="0" collapsed="false">
      <c r="B105" s="1" t="s">
        <v>2987</v>
      </c>
      <c r="C105" s="101" t="n">
        <f aca="false">IF(PA_9&gt;0,SUMIFS('Plan profile'!$C$23:$C$75,Prof_Key,"9|"&amp;PA_9),-1)</f>
        <v>-1</v>
      </c>
    </row>
    <row r="106" customFormat="false" ht="15" hidden="false" customHeight="false" outlineLevel="0" collapsed="false">
      <c r="B106" s="1" t="s">
        <v>2988</v>
      </c>
      <c r="C106" s="101" t="n">
        <f aca="false">IF(Prof_UmCount=13,1,0)</f>
        <v>0</v>
      </c>
    </row>
    <row r="107" customFormat="false" ht="15" hidden="false" customHeight="false" outlineLevel="0" collapsed="false">
      <c r="B107" s="1" t="s">
        <v>2989</v>
      </c>
      <c r="C107" s="101" t="n">
        <f aca="false">IF(COUNTIFS(GL_Kind,"pot",GL_AgeRaw,"&gt;"&amp;(F_Age+2))=0,9999,_xlfn.MINIFS(GL_AgeRaw,GL_Kind,"pot",GL_AgeRaw,"&gt;"&amp;(F_Age+2)))</f>
        <v>9999</v>
      </c>
    </row>
    <row r="108" customFormat="false" ht="15" hidden="false" customHeight="false" outlineLevel="0" collapsed="false">
      <c r="B108" s="1" t="s">
        <v>2990</v>
      </c>
      <c r="C108" s="101"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false" outlineLevel="0" collapsed="false">
      <c r="B109" s="1" t="s">
        <v>2991</v>
      </c>
      <c r="C109" s="101"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false" outlineLevel="0" collapsed="false">
      <c r="B110" s="1" t="s">
        <v>2992</v>
      </c>
      <c r="C110" s="101" t="n">
        <f aca="false">IF(PA_u9&gt;0,PA_u9-1,Prof_SuggestU9)</f>
        <v>3</v>
      </c>
    </row>
    <row r="111" customFormat="false" ht="15" hidden="false" customHeight="false" outlineLevel="0" collapsed="false">
      <c r="B111" s="1" t="s">
        <v>2993</v>
      </c>
      <c r="C111" s="101" t="str">
        <f aca="false">IF(OR(Prof_q8&lt;0,Prof_q9&lt;0),"",MIN(Prof_q8+IF(AND(Prof_q9=4,Prof_q8&gt;=3),1,0),IF(Prof_q9=1,2,IF(Prof_q9=2,3,5))))</f>
        <v/>
      </c>
    </row>
    <row r="112" customFormat="false" ht="15" hidden="false" customHeight="false" outlineLevel="0" collapsed="false">
      <c r="B112" s="1" t="s">
        <v>2994</v>
      </c>
      <c r="C112" s="101"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false" outlineLevel="0" collapsed="false">
      <c r="B113" s="1" t="s">
        <v>2995</v>
      </c>
      <c r="C113" s="101" t="str">
        <f aca="false">IF(Prof_T="","",CHOOSE(Prof_Wait+1,1,2,4,5))</f>
        <v/>
      </c>
    </row>
    <row r="114" customFormat="false" ht="15" hidden="false" customHeight="false" outlineLevel="0" collapsed="false">
      <c r="B114" s="1" t="s">
        <v>2996</v>
      </c>
      <c r="C114" s="101" t="str">
        <f aca="false">IF(Prof_T="","",IF(OR(Prof_Full=0,PA_u11=0),3,MIN(CHOOSE(PA_u11,3,4,5,IF(PA_chipShares=1,5,4)),IF(AND(PA_u11&gt;=3,PA_chipsN&gt;0,PA_chipsSafe=1),4,9))))</f>
        <v/>
      </c>
    </row>
    <row r="115" customFormat="false" ht="15" hidden="false" customHeight="false" outlineLevel="0" collapsed="false">
      <c r="B115" s="1" t="s">
        <v>2997</v>
      </c>
      <c r="C115" s="101" t="str">
        <f aca="false">IF(Prof_T="","",MIN(Prof_T,Prof_C,Prof_H,Prof_KE))</f>
        <v/>
      </c>
    </row>
    <row r="116" customFormat="false" ht="15" hidden="false" customHeight="false" outlineLevel="0" collapsed="false">
      <c r="B116" s="1" t="s">
        <v>2998</v>
      </c>
      <c r="C116" s="101" t="str">
        <f aca="false">IF(Prof_Level="","",CHOOSE(Prof_Level,"Cautious","Cautious–balanced","Balanced","Balanced–growth","Growth"))</f>
        <v/>
      </c>
    </row>
    <row r="117" customFormat="false" ht="15" hidden="false" customHeight="false" outlineLevel="0" collapsed="false">
      <c r="B117" s="1" t="s">
        <v>2999</v>
      </c>
      <c r="C117" s="101" t="str">
        <f aca="false">IF(Prof_Level="","",IF(Prof_Level=Prof_T,"want",IF(Prof_Level=Prof_C,"can",IF(Prof_Level=Prof_H,"time","experience"))))</f>
        <v/>
      </c>
    </row>
    <row r="118" customFormat="false" ht="15" hidden="false" customHeight="false" outlineLevel="0" collapsed="false">
      <c r="B118" s="1" t="s">
        <v>3000</v>
      </c>
      <c r="C118" s="101" t="str">
        <f aca="false">IF(Prof_q8&lt;=0,"",CHOOSE(Prof_q8,"Steady","Mostly steady","Balanced","Adventurous"))</f>
        <v/>
      </c>
    </row>
    <row r="119" customFormat="false" ht="15" hidden="false" customHeight="false" outlineLevel="0" collapsed="false">
      <c r="B119" s="1" t="s">
        <v>3001</v>
      </c>
      <c r="C119" s="101" t="str">
        <f aca="false">IF(Prof_q7&lt;0,"",IF(Prof_q7=4,"Strong","Thin"))</f>
        <v/>
      </c>
    </row>
    <row r="120" customFormat="false" ht="15" hidden="false" customHeight="false" outlineLevel="0" collapsed="false">
      <c r="B120" s="1" t="s">
        <v>3002</v>
      </c>
      <c r="C120" s="101" t="n">
        <f aca="false">IF(Prof_Full=1,0,1)</f>
        <v>1</v>
      </c>
    </row>
    <row r="121" customFormat="false" ht="15" hidden="false" customHeight="false" outlineLevel="0" collapsed="false">
      <c r="B121" s="1" t="s">
        <v>3003</v>
      </c>
      <c r="C121" s="101" t="n">
        <f aca="false">IF(Prof_q8&gt;=3,1,0)</f>
        <v>0</v>
      </c>
    </row>
    <row r="122" customFormat="false" ht="15" hidden="false" customHeight="false" outlineLevel="0" collapsed="false">
      <c r="B122" s="1" t="s">
        <v>3004</v>
      </c>
      <c r="C122" s="101" t="n">
        <f aca="false">IF(AND(Prof_q8&gt;=1,Prof_q8&lt;=2),1,0)</f>
        <v>0</v>
      </c>
    </row>
    <row r="123" customFormat="false" ht="15" hidden="false" customHeight="false" outlineLevel="0" collapsed="false">
      <c r="B123" s="1" t="s">
        <v>3005</v>
      </c>
      <c r="C123" s="101" t="n">
        <f aca="false">IF(Prof_q9&gt;=3,1,0)</f>
        <v>0</v>
      </c>
    </row>
    <row r="124" customFormat="false" ht="15" hidden="false" customHeight="false" outlineLevel="0" collapsed="false">
      <c r="B124" s="1" t="s">
        <v>3006</v>
      </c>
      <c r="C124" s="101" t="n">
        <f aca="false">IF(AND(Prof_q9&gt;=1,Prof_q9&lt;=2),1,0)</f>
        <v>0</v>
      </c>
    </row>
    <row r="125" customFormat="false" ht="15" hidden="false" customHeight="false" outlineLevel="0" collapsed="false">
      <c r="B125" s="1" t="s">
        <v>3007</v>
      </c>
      <c r="C125" s="101" t="n">
        <f aca="false">IF(OR(AND(Prof_q7&gt;=0,Prof_q7&lt;=2),AND(Prof_Full=1,PA_u14&gt;0,PA_u14&lt;=2)),1,0)</f>
        <v>0</v>
      </c>
    </row>
    <row r="126" customFormat="false" ht="15" hidden="false" customHeight="false" outlineLevel="0" collapsed="false">
      <c r="B126" s="1" t="s">
        <v>3008</v>
      </c>
      <c r="C126" s="101" t="n">
        <f aca="false">IF(AND(Prof_Full=1,Prof_H&lt;&gt;"",Prof_H&lt;=2),1,0)</f>
        <v>0</v>
      </c>
    </row>
    <row r="127" customFormat="false" ht="15" hidden="false" customHeight="false" outlineLevel="0" collapsed="false">
      <c r="B127" s="1" t="s">
        <v>3009</v>
      </c>
      <c r="C127" s="101" t="n">
        <f aca="false">IF(AND(Prof_Full=1,Prof_C&lt;&gt;"",Prof_C&lt;=2),1,0)</f>
        <v>0</v>
      </c>
    </row>
    <row r="128" customFormat="false" ht="15" hidden="false" customHeight="false" outlineLevel="0" collapsed="false">
      <c r="B128" s="1" t="s">
        <v>3010</v>
      </c>
      <c r="C128" s="101" t="n">
        <f aca="false">IF(OR(Prof_Thin=1,Prof_LossLo=1,Prof_ShortT=1),1,0)</f>
        <v>0</v>
      </c>
    </row>
    <row r="129" customFormat="false" ht="15" hidden="false" customHeight="false" outlineLevel="0" collapsed="false">
      <c r="B129" s="1" t="s">
        <v>3011</v>
      </c>
      <c r="C129" s="101" t="n">
        <f aca="false">IF(Prof_Level="",0,IF(Prof_Full=1,IF(AND(Prof_C&gt;=4,Prof_H&gt;=4),1,0),IF(AND(Prof_q7=4,Prof_q6&gt;=3),1,0)))</f>
        <v>0</v>
      </c>
    </row>
    <row r="130" customFormat="false" ht="15" hidden="false" customHeight="false" outlineLevel="0" collapsed="false">
      <c r="B130" s="1" t="s">
        <v>3012</v>
      </c>
      <c r="C130" s="101"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false" outlineLevel="0" collapsed="false">
      <c r="B131" s="1" t="s">
        <v>3013</v>
      </c>
      <c r="C131" s="101"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false" outlineLevel="0" collapsed="false">
      <c r="B132" s="1" t="s">
        <v>3014</v>
      </c>
      <c r="C132" s="101"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false" outlineLevel="0" collapsed="false">
      <c r="B133" s="1" t="s">
        <v>3015</v>
      </c>
      <c r="C133" s="101"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false" outlineLevel="0" collapsed="false">
      <c r="B134" s="1" t="s">
        <v>3016</v>
      </c>
      <c r="C134" s="101" t="str">
        <f aca="false">MID(IF(IF(PA_8&gt;0,INDEX('Plan profile'!$H$23:$H$75,MATCH("8|"&amp;PA_8,Prof_Key,0)),"")="","","|"&amp;IF(PA_8&gt;0,INDEX('Plan profile'!$H$23:$H$75,MATCH("8|"&amp;PA_8,Prof_Key,0)),"")),2,500)</f>
        <v/>
      </c>
    </row>
    <row r="135" customFormat="false" ht="15" hidden="false" customHeight="false" outlineLevel="0" collapsed="false">
      <c r="B135" s="1" t="s">
        <v>3017</v>
      </c>
      <c r="C135" s="101"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35" hidden="false" customHeight="false" outlineLevel="0" collapsed="false">
      <c r="B1" s="90" t="s">
        <v>3018</v>
      </c>
    </row>
    <row r="2" customFormat="false" ht="39.75" hidden="false" customHeight="true" outlineLevel="0" collapsed="false">
      <c r="B2" s="91" t="s">
        <v>3019</v>
      </c>
      <c r="C2" s="91"/>
      <c r="D2" s="91"/>
      <c r="E2" s="91"/>
      <c r="F2" s="91"/>
      <c r="G2" s="91"/>
      <c r="H2" s="91"/>
      <c r="I2" s="91"/>
      <c r="J2" s="91"/>
      <c r="K2" s="91"/>
      <c r="L2" s="91"/>
    </row>
    <row r="6" customFormat="false" ht="82.05" hidden="false" customHeight="false" outlineLevel="0" collapsed="false">
      <c r="A6" s="93" t="s">
        <v>1863</v>
      </c>
      <c r="B6" s="98" t="s">
        <v>1864</v>
      </c>
      <c r="C6" s="98" t="s">
        <v>3020</v>
      </c>
      <c r="D6" s="98" t="s">
        <v>3021</v>
      </c>
      <c r="E6" s="98" t="s">
        <v>3022</v>
      </c>
      <c r="F6" s="98" t="s">
        <v>3023</v>
      </c>
      <c r="G6" s="98" t="s">
        <v>3024</v>
      </c>
      <c r="H6" s="98" t="s">
        <v>3025</v>
      </c>
      <c r="I6" s="98" t="s">
        <v>3026</v>
      </c>
      <c r="J6" s="98" t="s">
        <v>3027</v>
      </c>
      <c r="K6" s="98" t="s">
        <v>3028</v>
      </c>
      <c r="L6" s="98" t="s">
        <v>3029</v>
      </c>
      <c r="M6" s="98" t="s">
        <v>3030</v>
      </c>
      <c r="N6" s="98" t="s">
        <v>3031</v>
      </c>
      <c r="O6" s="98" t="s">
        <v>3032</v>
      </c>
      <c r="P6" s="98" t="s">
        <v>3033</v>
      </c>
      <c r="Q6" s="98" t="s">
        <v>3034</v>
      </c>
      <c r="R6" s="98" t="s">
        <v>3035</v>
      </c>
      <c r="S6" s="98" t="s">
        <v>3036</v>
      </c>
      <c r="T6" s="98" t="s">
        <v>3037</v>
      </c>
      <c r="U6" s="98" t="s">
        <v>3038</v>
      </c>
      <c r="V6" s="98" t="s">
        <v>3039</v>
      </c>
      <c r="W6" s="98" t="s">
        <v>3040</v>
      </c>
      <c r="X6" s="98" t="s">
        <v>3041</v>
      </c>
      <c r="Y6" s="98" t="s">
        <v>3042</v>
      </c>
      <c r="Z6" s="98" t="s">
        <v>3043</v>
      </c>
      <c r="AA6" s="98" t="s">
        <v>3044</v>
      </c>
      <c r="AB6" s="98" t="s">
        <v>3045</v>
      </c>
      <c r="AC6" s="98" t="s">
        <v>3046</v>
      </c>
      <c r="AD6" s="98" t="s">
        <v>3047</v>
      </c>
      <c r="AE6" s="98" t="s">
        <v>3048</v>
      </c>
      <c r="AF6" s="98" t="s">
        <v>3049</v>
      </c>
      <c r="AG6" s="98" t="s">
        <v>3050</v>
      </c>
      <c r="AH6" s="98" t="s">
        <v>3051</v>
      </c>
      <c r="AI6" s="98" t="s">
        <v>3052</v>
      </c>
      <c r="AJ6" s="98" t="s">
        <v>3053</v>
      </c>
      <c r="AK6" s="98" t="s">
        <v>3054</v>
      </c>
      <c r="AL6" s="98" t="s">
        <v>3055</v>
      </c>
      <c r="AM6" s="98" t="s">
        <v>3056</v>
      </c>
      <c r="AN6" s="98" t="s">
        <v>3057</v>
      </c>
      <c r="AO6" s="98" t="s">
        <v>3058</v>
      </c>
      <c r="AP6" s="98" t="s">
        <v>3059</v>
      </c>
      <c r="AQ6" s="98" t="s">
        <v>3060</v>
      </c>
      <c r="AR6" s="98" t="s">
        <v>3061</v>
      </c>
      <c r="AS6" s="98" t="s">
        <v>3062</v>
      </c>
      <c r="AT6" s="98" t="s">
        <v>3063</v>
      </c>
      <c r="AU6" s="98" t="s">
        <v>3064</v>
      </c>
      <c r="AV6" s="98" t="s">
        <v>3065</v>
      </c>
      <c r="AW6" s="98" t="s">
        <v>3066</v>
      </c>
      <c r="AX6" s="98" t="s">
        <v>3067</v>
      </c>
      <c r="AY6" s="98" t="s">
        <v>3068</v>
      </c>
      <c r="AZ6" s="98" t="s">
        <v>3069</v>
      </c>
      <c r="BA6" s="98" t="s">
        <v>3070</v>
      </c>
      <c r="BB6" s="98" t="s">
        <v>3071</v>
      </c>
      <c r="BC6" s="98" t="s">
        <v>3072</v>
      </c>
      <c r="BD6" s="98" t="s">
        <v>3073</v>
      </c>
      <c r="BE6" s="98" t="s">
        <v>3074</v>
      </c>
      <c r="BF6" s="98" t="s">
        <v>3075</v>
      </c>
      <c r="BG6" s="98" t="s">
        <v>3076</v>
      </c>
      <c r="BH6" s="98" t="s">
        <v>3077</v>
      </c>
      <c r="BI6" s="98" t="s">
        <v>3078</v>
      </c>
      <c r="BJ6" s="98" t="s">
        <v>3079</v>
      </c>
      <c r="BK6" s="98" t="s">
        <v>3080</v>
      </c>
      <c r="BL6" s="98" t="s">
        <v>3081</v>
      </c>
      <c r="BM6" s="98" t="s">
        <v>3082</v>
      </c>
      <c r="BN6" s="98" t="s">
        <v>3083</v>
      </c>
      <c r="BO6" s="98" t="s">
        <v>3084</v>
      </c>
      <c r="BP6" s="98" t="s">
        <v>3085</v>
      </c>
      <c r="BQ6" s="98" t="s">
        <v>3086</v>
      </c>
      <c r="BR6" s="98" t="s">
        <v>3087</v>
      </c>
      <c r="BS6" s="98" t="s">
        <v>3088</v>
      </c>
      <c r="BT6" s="98" t="s">
        <v>3089</v>
      </c>
      <c r="BU6" s="98" t="s">
        <v>3090</v>
      </c>
      <c r="BV6" s="98" t="s">
        <v>3091</v>
      </c>
      <c r="BW6" s="98" t="s">
        <v>3092</v>
      </c>
      <c r="BX6" s="98" t="s">
        <v>3093</v>
      </c>
      <c r="BY6" s="98" t="s">
        <v>3094</v>
      </c>
      <c r="BZ6" s="98" t="s">
        <v>3095</v>
      </c>
      <c r="CA6" s="98" t="s">
        <v>3096</v>
      </c>
      <c r="CB6" s="98" t="s">
        <v>3097</v>
      </c>
      <c r="CC6" s="98" t="s">
        <v>3098</v>
      </c>
      <c r="CD6" s="98" t="s">
        <v>3099</v>
      </c>
      <c r="CE6" s="98" t="s">
        <v>3100</v>
      </c>
      <c r="CF6" s="98" t="s">
        <v>3101</v>
      </c>
      <c r="CG6" s="98" t="s">
        <v>3102</v>
      </c>
      <c r="CH6" s="98" t="s">
        <v>3103</v>
      </c>
      <c r="CI6" s="98" t="s">
        <v>3104</v>
      </c>
      <c r="CJ6" s="98" t="s">
        <v>3105</v>
      </c>
      <c r="CK6" s="98" t="s">
        <v>3106</v>
      </c>
      <c r="CL6" s="98" t="s">
        <v>3107</v>
      </c>
      <c r="CM6" s="98" t="s">
        <v>3108</v>
      </c>
      <c r="CN6" s="98" t="s">
        <v>3109</v>
      </c>
      <c r="CO6" s="98" t="s">
        <v>3110</v>
      </c>
      <c r="CP6" s="98" t="s">
        <v>3111</v>
      </c>
      <c r="CQ6" s="98" t="s">
        <v>3112</v>
      </c>
      <c r="CR6" s="98" t="s">
        <v>3113</v>
      </c>
      <c r="CS6" s="98" t="s">
        <v>3114</v>
      </c>
      <c r="CT6" s="98" t="s">
        <v>3115</v>
      </c>
      <c r="CU6" s="98" t="s">
        <v>3116</v>
      </c>
      <c r="CV6" s="98" t="s">
        <v>3117</v>
      </c>
      <c r="CW6" s="98" t="s">
        <v>3118</v>
      </c>
      <c r="CX6" s="98" t="s">
        <v>3119</v>
      </c>
      <c r="CY6" s="98" t="s">
        <v>3120</v>
      </c>
      <c r="CZ6" s="98" t="s">
        <v>3121</v>
      </c>
      <c r="DA6" s="98" t="s">
        <v>3122</v>
      </c>
      <c r="DB6" s="98" t="s">
        <v>3123</v>
      </c>
      <c r="DC6" s="98" t="s">
        <v>3124</v>
      </c>
      <c r="DD6" s="98" t="s">
        <v>3125</v>
      </c>
      <c r="DE6" s="98" t="s">
        <v>3126</v>
      </c>
      <c r="DF6" s="98" t="s">
        <v>3127</v>
      </c>
      <c r="DG6" s="98" t="s">
        <v>3128</v>
      </c>
    </row>
    <row r="7" customFormat="false" ht="15" hidden="false" customHeight="false" outlineLevel="0" collapsed="false">
      <c r="A7" s="1" t="s">
        <v>1932</v>
      </c>
      <c r="CF7" s="108" t="n">
        <f aca="false">F_MortBal</f>
        <v>0</v>
      </c>
      <c r="DE7" s="108" t="n">
        <f aca="false">F_MortBal</f>
        <v>0</v>
      </c>
    </row>
    <row r="8" customFormat="false" ht="15" hidden="false" customHeight="fals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fals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fals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fals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fals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fals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fals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fals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fals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fals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fals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fals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fals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fals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fals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fals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fals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fals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fals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fals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fals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fals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fals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fals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fals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fals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fals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fals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fals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fals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fals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fals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fals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fals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fals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fals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fals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fals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fals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fals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fals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fals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fals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fals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fals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fals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fals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fals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fals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fals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fals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fals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fals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fals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fals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fals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fals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fals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fals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fals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fals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fals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fals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fals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fals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fals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fals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fals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fals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fals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fals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fals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fals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fals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fals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fals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fals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fals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fals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fals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fals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fals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fals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fals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fals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fals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fals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fals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fals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fals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35" hidden="false" customHeight="false" outlineLevel="0" collapsed="false">
      <c r="B1" s="90" t="s">
        <v>3129</v>
      </c>
    </row>
    <row r="3" customFormat="false" ht="105" hidden="false" customHeight="true" outlineLevel="0" collapsed="false">
      <c r="B3" s="111" t="s">
        <v>3130</v>
      </c>
      <c r="C3" s="115" t="s">
        <v>3131</v>
      </c>
    </row>
    <row r="4" customFormat="false" ht="135" hidden="false" customHeight="true" outlineLevel="0" collapsed="false">
      <c r="B4" s="111" t="s">
        <v>3132</v>
      </c>
      <c r="C4" s="115" t="s">
        <v>3133</v>
      </c>
    </row>
    <row r="5" customFormat="false" ht="45" hidden="false" customHeight="true" outlineLevel="0" collapsed="false">
      <c r="B5" s="111" t="s">
        <v>3134</v>
      </c>
      <c r="C5" s="115" t="s">
        <v>3135</v>
      </c>
    </row>
    <row r="6" customFormat="false" ht="120" hidden="false" customHeight="true" outlineLevel="0" collapsed="false">
      <c r="B6" s="111" t="s">
        <v>3136</v>
      </c>
      <c r="C6" s="115" t="s">
        <v>3137</v>
      </c>
    </row>
    <row r="7" customFormat="false" ht="105" hidden="false" customHeight="true" outlineLevel="0" collapsed="false">
      <c r="B7" s="111" t="s">
        <v>3138</v>
      </c>
      <c r="C7" s="115" t="s">
        <v>3139</v>
      </c>
    </row>
    <row r="8" customFormat="false" ht="90" hidden="false" customHeight="true" outlineLevel="0" collapsed="false">
      <c r="B8" s="111" t="s">
        <v>3140</v>
      </c>
      <c r="C8" s="115" t="s">
        <v>3141</v>
      </c>
    </row>
    <row r="9" customFormat="false" ht="90" hidden="false" customHeight="true" outlineLevel="0" collapsed="false">
      <c r="B9" s="111" t="s">
        <v>3142</v>
      </c>
      <c r="C9" s="115" t="s">
        <v>3143</v>
      </c>
    </row>
    <row r="10" customFormat="false" ht="45" hidden="false" customHeight="true" outlineLevel="0" collapsed="false">
      <c r="B10" s="111" t="s">
        <v>3144</v>
      </c>
      <c r="C10" s="115" t="s">
        <v>3145</v>
      </c>
    </row>
    <row r="11" customFormat="false" ht="105" hidden="false" customHeight="true" outlineLevel="0" collapsed="false">
      <c r="B11" s="111" t="s">
        <v>3146</v>
      </c>
      <c r="C11" s="115" t="s">
        <v>3147</v>
      </c>
    </row>
    <row r="12" customFormat="false" ht="75" hidden="false" customHeight="true" outlineLevel="0" collapsed="false">
      <c r="B12" s="111" t="s">
        <v>3148</v>
      </c>
      <c r="C12" s="115" t="s">
        <v>3149</v>
      </c>
    </row>
    <row r="13" customFormat="false" ht="105" hidden="false" customHeight="true" outlineLevel="0" collapsed="false">
      <c r="B13" s="111" t="s">
        <v>3150</v>
      </c>
      <c r="C13" s="115" t="s">
        <v>3151</v>
      </c>
    </row>
    <row r="14" customFormat="false" ht="255" hidden="false" customHeight="true" outlineLevel="0" collapsed="false">
      <c r="B14" s="111" t="s">
        <v>3152</v>
      </c>
      <c r="C14" s="115" t="s">
        <v>3153</v>
      </c>
    </row>
    <row r="15" customFormat="false" ht="135" hidden="false" customHeight="true" outlineLevel="0" collapsed="false">
      <c r="B15" s="111" t="s">
        <v>3154</v>
      </c>
      <c r="C15" s="115" t="s">
        <v>3155</v>
      </c>
    </row>
    <row r="16" customFormat="false" ht="90" hidden="false" customHeight="true" outlineLevel="0" collapsed="false">
      <c r="B16" s="111" t="s">
        <v>3156</v>
      </c>
      <c r="C16" s="115" t="s">
        <v>3157</v>
      </c>
    </row>
    <row r="18" customFormat="false" ht="15" hidden="false" customHeight="false" outlineLevel="0" collapsed="false">
      <c r="B18" s="111" t="s">
        <v>3158</v>
      </c>
    </row>
    <row r="19" customFormat="false" ht="15" hidden="false" customHeight="false" outlineLevel="0" collapsed="false">
      <c r="B19" s="93" t="s">
        <v>3159</v>
      </c>
      <c r="C19" s="93" t="s">
        <v>3160</v>
      </c>
    </row>
    <row r="20" customFormat="false" ht="15" hidden="false" customHeight="false" outlineLevel="0" collapsed="false">
      <c r="B20" s="1" t="s">
        <v>3161</v>
      </c>
      <c r="C20" s="1" t="s">
        <v>3162</v>
      </c>
    </row>
    <row r="21" customFormat="false" ht="15" hidden="false" customHeight="false" outlineLevel="0" collapsed="false">
      <c r="B21" s="1" t="s">
        <v>3163</v>
      </c>
      <c r="C21" s="1" t="s">
        <v>3164</v>
      </c>
    </row>
    <row r="22" customFormat="false" ht="15" hidden="false" customHeight="false" outlineLevel="0" collapsed="false">
      <c r="B22" s="1" t="s">
        <v>3165</v>
      </c>
      <c r="C22" s="1" t="s">
        <v>3166</v>
      </c>
    </row>
    <row r="23" customFormat="false" ht="15" hidden="false" customHeight="false" outlineLevel="0" collapsed="false">
      <c r="B23" s="1" t="s">
        <v>3167</v>
      </c>
      <c r="C23" s="1" t="s">
        <v>3168</v>
      </c>
    </row>
    <row r="24" customFormat="false" ht="15" hidden="false" customHeight="false" outlineLevel="0" collapsed="false">
      <c r="B24" s="1" t="s">
        <v>3169</v>
      </c>
      <c r="C24" s="1" t="s">
        <v>3170</v>
      </c>
    </row>
    <row r="25" customFormat="false" ht="15" hidden="false" customHeight="false" outlineLevel="0" collapsed="false">
      <c r="B25" s="1" t="s">
        <v>3171</v>
      </c>
      <c r="C25" s="1" t="s">
        <v>3172</v>
      </c>
    </row>
    <row r="26" customFormat="false" ht="15" hidden="false" customHeight="false" outlineLevel="0" collapsed="false">
      <c r="B26" s="1" t="s">
        <v>3173</v>
      </c>
      <c r="C26" s="1" t="s">
        <v>3174</v>
      </c>
    </row>
    <row r="27" customFormat="false" ht="15" hidden="false" customHeight="false" outlineLevel="0" collapsed="false">
      <c r="B27" s="1" t="s">
        <v>3175</v>
      </c>
      <c r="C27" s="1" t="s">
        <v>3176</v>
      </c>
    </row>
    <row r="28" customFormat="false" ht="15" hidden="false" customHeight="false" outlineLevel="0" collapsed="false">
      <c r="B28" s="1" t="s">
        <v>3177</v>
      </c>
      <c r="C28" s="1" t="s">
        <v>3178</v>
      </c>
    </row>
    <row r="29" customFormat="false" ht="15" hidden="false" customHeight="false" outlineLevel="0" collapsed="false">
      <c r="B29" s="1" t="s">
        <v>3179</v>
      </c>
      <c r="C29" s="1" t="s">
        <v>3180</v>
      </c>
    </row>
    <row r="30" customFormat="false" ht="15" hidden="false" customHeight="false" outlineLevel="0" collapsed="false">
      <c r="B30" s="1" t="s">
        <v>3181</v>
      </c>
      <c r="C30" s="1" t="s">
        <v>3182</v>
      </c>
    </row>
    <row r="31" customFormat="false" ht="15" hidden="false" customHeight="false" outlineLevel="0" collapsed="false">
      <c r="B31" s="1" t="s">
        <v>3183</v>
      </c>
      <c r="C31" s="1" t="s">
        <v>3184</v>
      </c>
    </row>
    <row r="32" customFormat="false" ht="15" hidden="false" customHeight="false" outlineLevel="0" collapsed="false">
      <c r="B32" s="1" t="s">
        <v>3185</v>
      </c>
      <c r="C32" s="1" t="s">
        <v>3186</v>
      </c>
    </row>
    <row r="33" customFormat="false" ht="15" hidden="false" customHeight="false" outlineLevel="0" collapsed="false">
      <c r="B33" s="1" t="s">
        <v>3187</v>
      </c>
      <c r="C33" s="1" t="s">
        <v>3188</v>
      </c>
    </row>
    <row r="34" customFormat="false" ht="15" hidden="false" customHeight="false" outlineLevel="0" collapsed="false">
      <c r="B34" s="1" t="s">
        <v>3189</v>
      </c>
      <c r="C34" s="1" t="s">
        <v>3190</v>
      </c>
    </row>
    <row r="35" customFormat="false" ht="15" hidden="false" customHeight="false" outlineLevel="0" collapsed="false">
      <c r="B35" s="1" t="s">
        <v>3191</v>
      </c>
      <c r="C35" s="1" t="s">
        <v>3192</v>
      </c>
    </row>
    <row r="36" customFormat="false" ht="15" hidden="false" customHeight="false" outlineLevel="0" collapsed="false">
      <c r="B36" s="1" t="s">
        <v>3193</v>
      </c>
      <c r="C36" s="1" t="s">
        <v>3194</v>
      </c>
    </row>
    <row r="37" customFormat="false" ht="15" hidden="false" customHeight="false" outlineLevel="0" collapsed="false">
      <c r="B37" s="1" t="s">
        <v>3195</v>
      </c>
      <c r="C37" s="1" t="s">
        <v>3196</v>
      </c>
    </row>
    <row r="38" customFormat="false" ht="15" hidden="false" customHeight="false" outlineLevel="0" collapsed="false">
      <c r="B38" s="1" t="s">
        <v>3197</v>
      </c>
      <c r="C38" s="1" t="s">
        <v>3198</v>
      </c>
    </row>
    <row r="39" customFormat="false" ht="15" hidden="false" customHeight="false" outlineLevel="0" collapsed="false">
      <c r="B39" s="1" t="s">
        <v>3199</v>
      </c>
      <c r="C39" s="1" t="s">
        <v>3200</v>
      </c>
    </row>
    <row r="40" customFormat="false" ht="15" hidden="false" customHeight="false" outlineLevel="0" collapsed="false">
      <c r="B40" s="1" t="s">
        <v>3201</v>
      </c>
      <c r="C40" s="1" t="s">
        <v>3202</v>
      </c>
    </row>
    <row r="41" customFormat="false" ht="15" hidden="false" customHeight="false" outlineLevel="0" collapsed="false">
      <c r="B41" s="1" t="s">
        <v>3203</v>
      </c>
      <c r="C41" s="1" t="s">
        <v>3204</v>
      </c>
    </row>
    <row r="42" customFormat="false" ht="15" hidden="false" customHeight="false" outlineLevel="0" collapsed="false">
      <c r="B42" s="1" t="s">
        <v>3205</v>
      </c>
      <c r="C42" s="1" t="s">
        <v>3206</v>
      </c>
    </row>
    <row r="43" customFormat="false" ht="15" hidden="false" customHeight="false" outlineLevel="0" collapsed="false">
      <c r="B43" s="1" t="s">
        <v>3207</v>
      </c>
      <c r="C43" s="1" t="s">
        <v>3208</v>
      </c>
    </row>
    <row r="44" customFormat="false" ht="15" hidden="false" customHeight="false" outlineLevel="0" collapsed="false">
      <c r="B44" s="1" t="s">
        <v>3209</v>
      </c>
      <c r="C44" s="1" t="s">
        <v>3210</v>
      </c>
    </row>
    <row r="45" customFormat="false" ht="15" hidden="false" customHeight="false" outlineLevel="0" collapsed="false">
      <c r="B45" s="1" t="s">
        <v>3211</v>
      </c>
      <c r="C45" s="1" t="s">
        <v>3212</v>
      </c>
    </row>
    <row r="46" customFormat="false" ht="15" hidden="false" customHeight="false" outlineLevel="0" collapsed="false">
      <c r="B46" s="1" t="s">
        <v>3213</v>
      </c>
      <c r="C46" s="1" t="s">
        <v>3214</v>
      </c>
    </row>
    <row r="47" customFormat="false" ht="15" hidden="false" customHeight="false" outlineLevel="0" collapsed="false">
      <c r="B47" s="1" t="s">
        <v>3215</v>
      </c>
      <c r="C47" s="1" t="s">
        <v>3216</v>
      </c>
    </row>
    <row r="48" customFormat="false" ht="15" hidden="false" customHeight="false" outlineLevel="0" collapsed="false">
      <c r="B48" s="1" t="s">
        <v>3217</v>
      </c>
      <c r="C48" s="1" t="s">
        <v>3218</v>
      </c>
    </row>
    <row r="49" customFormat="false" ht="15" hidden="false" customHeight="false" outlineLevel="0" collapsed="false">
      <c r="B49" s="1" t="s">
        <v>3219</v>
      </c>
      <c r="C49" s="1" t="s">
        <v>3220</v>
      </c>
    </row>
    <row r="50" customFormat="false" ht="15" hidden="false" customHeight="false" outlineLevel="0" collapsed="false">
      <c r="B50" s="1" t="s">
        <v>3221</v>
      </c>
      <c r="C50" s="1" t="s">
        <v>3222</v>
      </c>
    </row>
    <row r="51" customFormat="false" ht="15" hidden="false" customHeight="false" outlineLevel="0" collapsed="false">
      <c r="B51" s="1" t="s">
        <v>3223</v>
      </c>
      <c r="C51" s="1" t="s">
        <v>3224</v>
      </c>
    </row>
    <row r="52" customFormat="false" ht="15" hidden="false" customHeight="false" outlineLevel="0" collapsed="false">
      <c r="B52" s="1" t="s">
        <v>3225</v>
      </c>
      <c r="C52" s="1" t="s">
        <v>3226</v>
      </c>
    </row>
    <row r="53" customFormat="false" ht="15" hidden="false" customHeight="false" outlineLevel="0" collapsed="false">
      <c r="B53" s="1" t="s">
        <v>3227</v>
      </c>
      <c r="C53" s="1" t="s">
        <v>3228</v>
      </c>
    </row>
    <row r="54" customFormat="false" ht="15" hidden="false" customHeight="false" outlineLevel="0" collapsed="false">
      <c r="B54" s="1" t="s">
        <v>3229</v>
      </c>
      <c r="C54" s="1" t="s">
        <v>3230</v>
      </c>
    </row>
    <row r="55" customFormat="false" ht="15" hidden="false" customHeight="false" outlineLevel="0" collapsed="false">
      <c r="B55" s="1" t="s">
        <v>3231</v>
      </c>
      <c r="C55" s="1" t="s">
        <v>3232</v>
      </c>
    </row>
    <row r="56" customFormat="false" ht="15" hidden="false" customHeight="false" outlineLevel="0" collapsed="false">
      <c r="B56" s="1" t="s">
        <v>3233</v>
      </c>
      <c r="C56" s="1" t="s">
        <v>3234</v>
      </c>
    </row>
    <row r="57" customFormat="false" ht="15" hidden="false" customHeight="false" outlineLevel="0" collapsed="false">
      <c r="B57" s="1" t="s">
        <v>3235</v>
      </c>
      <c r="C57" s="1" t="s">
        <v>3236</v>
      </c>
    </row>
    <row r="58" customFormat="false" ht="15" hidden="false" customHeight="false" outlineLevel="0" collapsed="false">
      <c r="B58" s="1" t="s">
        <v>3237</v>
      </c>
      <c r="C58" s="1" t="s">
        <v>3238</v>
      </c>
    </row>
    <row r="59" customFormat="false" ht="15" hidden="false" customHeight="false" outlineLevel="0" collapsed="false">
      <c r="B59" s="1" t="s">
        <v>3239</v>
      </c>
      <c r="C59" s="1" t="s">
        <v>3240</v>
      </c>
    </row>
    <row r="60" customFormat="false" ht="15" hidden="false" customHeight="false" outlineLevel="0" collapsed="false">
      <c r="B60" s="1" t="s">
        <v>3241</v>
      </c>
      <c r="C60" s="1" t="s">
        <v>3242</v>
      </c>
    </row>
    <row r="61" customFormat="false" ht="15" hidden="false" customHeight="false" outlineLevel="0" collapsed="false">
      <c r="B61" s="1" t="s">
        <v>3243</v>
      </c>
      <c r="C61" s="1" t="s">
        <v>3244</v>
      </c>
    </row>
    <row r="62" customFormat="false" ht="15" hidden="false" customHeight="false" outlineLevel="0" collapsed="false">
      <c r="B62" s="1" t="s">
        <v>3245</v>
      </c>
      <c r="C62" s="1" t="s">
        <v>3246</v>
      </c>
    </row>
    <row r="63" customFormat="false" ht="15" hidden="false" customHeight="false" outlineLevel="0" collapsed="false">
      <c r="B63" s="1" t="s">
        <v>3247</v>
      </c>
      <c r="C63" s="1" t="s">
        <v>3248</v>
      </c>
    </row>
    <row r="64" customFormat="false" ht="15" hidden="false" customHeight="false" outlineLevel="0" collapsed="false">
      <c r="B64" s="1" t="s">
        <v>3249</v>
      </c>
      <c r="C64" s="1" t="s">
        <v>3250</v>
      </c>
    </row>
    <row r="65" customFormat="false" ht="15" hidden="false" customHeight="false" outlineLevel="0" collapsed="false">
      <c r="B65" s="1" t="s">
        <v>3251</v>
      </c>
      <c r="C65" s="1" t="s">
        <v>3252</v>
      </c>
    </row>
    <row r="66" customFormat="false" ht="15" hidden="false" customHeight="false" outlineLevel="0" collapsed="false">
      <c r="B66" s="1" t="s">
        <v>3253</v>
      </c>
      <c r="C66" s="1" t="s">
        <v>3254</v>
      </c>
    </row>
    <row r="67" customFormat="false" ht="15" hidden="false" customHeight="false" outlineLevel="0" collapsed="false">
      <c r="B67" s="1" t="s">
        <v>3255</v>
      </c>
      <c r="C67" s="1" t="s">
        <v>3256</v>
      </c>
    </row>
    <row r="68" customFormat="false" ht="15" hidden="false" customHeight="false" outlineLevel="0" collapsed="false">
      <c r="B68" s="1" t="s">
        <v>3257</v>
      </c>
      <c r="C68" s="1" t="s">
        <v>3258</v>
      </c>
    </row>
    <row r="69" customFormat="false" ht="15" hidden="false" customHeight="false" outlineLevel="0" collapsed="false">
      <c r="B69" s="1" t="s">
        <v>3259</v>
      </c>
      <c r="C69" s="1" t="s">
        <v>3260</v>
      </c>
    </row>
    <row r="70" customFormat="false" ht="15" hidden="false" customHeight="false" outlineLevel="0" collapsed="false">
      <c r="B70" s="1" t="s">
        <v>3261</v>
      </c>
      <c r="C70" s="1" t="s">
        <v>3262</v>
      </c>
    </row>
    <row r="71" customFormat="false" ht="15" hidden="false" customHeight="false" outlineLevel="0" collapsed="false">
      <c r="B71" s="1" t="s">
        <v>3263</v>
      </c>
      <c r="C71" s="1" t="s">
        <v>3264</v>
      </c>
    </row>
    <row r="72" customFormat="false" ht="15" hidden="false" customHeight="false" outlineLevel="0" collapsed="false">
      <c r="B72" s="1" t="s">
        <v>3265</v>
      </c>
      <c r="C72" s="1" t="s">
        <v>3266</v>
      </c>
    </row>
    <row r="73" customFormat="false" ht="15" hidden="false" customHeight="false" outlineLevel="0" collapsed="false">
      <c r="B73" s="1" t="s">
        <v>3267</v>
      </c>
      <c r="C73" s="1" t="s">
        <v>3268</v>
      </c>
    </row>
    <row r="74" customFormat="false" ht="15" hidden="false" customHeight="false" outlineLevel="0" collapsed="false">
      <c r="B74" s="1" t="s">
        <v>3269</v>
      </c>
      <c r="C74" s="1" t="s">
        <v>3270</v>
      </c>
    </row>
    <row r="75" customFormat="false" ht="15" hidden="false" customHeight="false" outlineLevel="0" collapsed="false">
      <c r="B75" s="1" t="s">
        <v>3271</v>
      </c>
      <c r="C75" s="1" t="s">
        <v>3272</v>
      </c>
    </row>
    <row r="76" customFormat="false" ht="15" hidden="false" customHeight="false" outlineLevel="0" collapsed="false">
      <c r="B76" s="1" t="s">
        <v>3273</v>
      </c>
      <c r="C76" s="1" t="s">
        <v>3274</v>
      </c>
    </row>
    <row r="77" customFormat="false" ht="15" hidden="false" customHeight="false" outlineLevel="0" collapsed="false">
      <c r="B77" s="1" t="s">
        <v>3275</v>
      </c>
      <c r="C77" s="1" t="s">
        <v>3276</v>
      </c>
    </row>
    <row r="78" customFormat="false" ht="15" hidden="false" customHeight="false" outlineLevel="0" collapsed="false">
      <c r="B78" s="1" t="s">
        <v>3277</v>
      </c>
      <c r="C78" s="1" t="s">
        <v>3278</v>
      </c>
    </row>
    <row r="79" customFormat="false" ht="15" hidden="false" customHeight="false" outlineLevel="0" collapsed="false">
      <c r="B79" s="1" t="s">
        <v>3279</v>
      </c>
      <c r="C79" s="1" t="s">
        <v>3280</v>
      </c>
    </row>
    <row r="80" customFormat="false" ht="15" hidden="false" customHeight="false" outlineLevel="0" collapsed="false">
      <c r="B80" s="1" t="s">
        <v>3281</v>
      </c>
      <c r="C80" s="1" t="s">
        <v>3282</v>
      </c>
    </row>
    <row r="81" customFormat="false" ht="15" hidden="false" customHeight="false" outlineLevel="0" collapsed="false">
      <c r="B81" s="1" t="s">
        <v>3283</v>
      </c>
      <c r="C81" s="1" t="s">
        <v>3284</v>
      </c>
    </row>
    <row r="82" customFormat="false" ht="15" hidden="false" customHeight="false" outlineLevel="0" collapsed="false">
      <c r="B82" s="1" t="s">
        <v>3285</v>
      </c>
      <c r="C82" s="1" t="s">
        <v>3286</v>
      </c>
    </row>
    <row r="83" customFormat="false" ht="15" hidden="false" customHeight="false" outlineLevel="0" collapsed="false">
      <c r="B83" s="1" t="s">
        <v>3287</v>
      </c>
      <c r="C83" s="1" t="s">
        <v>3288</v>
      </c>
    </row>
    <row r="84" customFormat="false" ht="15" hidden="false" customHeight="false" outlineLevel="0" collapsed="false">
      <c r="B84" s="1" t="s">
        <v>3289</v>
      </c>
      <c r="C84" s="1" t="s">
        <v>3290</v>
      </c>
    </row>
    <row r="85" customFormat="false" ht="15" hidden="false" customHeight="false" outlineLevel="0" collapsed="false">
      <c r="B85" s="1" t="s">
        <v>3291</v>
      </c>
      <c r="C85" s="1" t="s">
        <v>3292</v>
      </c>
    </row>
    <row r="86" customFormat="false" ht="15" hidden="false" customHeight="false" outlineLevel="0" collapsed="false">
      <c r="B86" s="1" t="s">
        <v>3293</v>
      </c>
      <c r="C86" s="1" t="s">
        <v>3294</v>
      </c>
    </row>
    <row r="87" customFormat="false" ht="15" hidden="false" customHeight="false" outlineLevel="0" collapsed="false">
      <c r="B87" s="1" t="s">
        <v>3295</v>
      </c>
      <c r="C87" s="1" t="s">
        <v>3296</v>
      </c>
    </row>
    <row r="88" customFormat="false" ht="15" hidden="false" customHeight="false" outlineLevel="0" collapsed="false">
      <c r="B88" s="1" t="s">
        <v>3297</v>
      </c>
      <c r="C88" s="1" t="s">
        <v>3298</v>
      </c>
    </row>
    <row r="89" customFormat="false" ht="15" hidden="false" customHeight="false" outlineLevel="0" collapsed="false">
      <c r="B89" s="1" t="s">
        <v>3299</v>
      </c>
      <c r="C89" s="1" t="s">
        <v>3300</v>
      </c>
    </row>
    <row r="90" customFormat="false" ht="15" hidden="false" customHeight="false" outlineLevel="0" collapsed="false">
      <c r="B90" s="1" t="s">
        <v>3301</v>
      </c>
      <c r="C90" s="1" t="s">
        <v>3302</v>
      </c>
    </row>
    <row r="91" customFormat="false" ht="15" hidden="false" customHeight="false" outlineLevel="0" collapsed="false">
      <c r="B91" s="1" t="s">
        <v>3303</v>
      </c>
      <c r="C91" s="1" t="s">
        <v>3304</v>
      </c>
    </row>
    <row r="92" customFormat="false" ht="15" hidden="false" customHeight="false" outlineLevel="0" collapsed="false">
      <c r="B92" s="1" t="s">
        <v>3305</v>
      </c>
      <c r="C92" s="1" t="s">
        <v>3306</v>
      </c>
    </row>
    <row r="93" customFormat="false" ht="15" hidden="false" customHeight="false" outlineLevel="0" collapsed="false">
      <c r="B93" s="1" t="s">
        <v>3307</v>
      </c>
      <c r="C93" s="1" t="s">
        <v>3308</v>
      </c>
    </row>
    <row r="94" customFormat="false" ht="15" hidden="false" customHeight="false" outlineLevel="0" collapsed="false">
      <c r="B94" s="1" t="s">
        <v>3309</v>
      </c>
      <c r="C94" s="1" t="s">
        <v>3310</v>
      </c>
    </row>
    <row r="95" customFormat="false" ht="15" hidden="false" customHeight="false" outlineLevel="0" collapsed="false">
      <c r="B95" s="1" t="s">
        <v>3311</v>
      </c>
      <c r="C95" s="1" t="s">
        <v>3312</v>
      </c>
    </row>
    <row r="96" customFormat="false" ht="15" hidden="false" customHeight="false" outlineLevel="0" collapsed="false">
      <c r="B96" s="1" t="s">
        <v>3313</v>
      </c>
      <c r="C96" s="1" t="s">
        <v>3314</v>
      </c>
    </row>
    <row r="97" customFormat="false" ht="15" hidden="false" customHeight="false" outlineLevel="0" collapsed="false">
      <c r="B97" s="1" t="s">
        <v>3315</v>
      </c>
      <c r="C97" s="1" t="s">
        <v>3316</v>
      </c>
    </row>
    <row r="98" customFormat="false" ht="15" hidden="false" customHeight="false" outlineLevel="0" collapsed="false">
      <c r="B98" s="1" t="s">
        <v>3317</v>
      </c>
      <c r="C98" s="1" t="s">
        <v>3318</v>
      </c>
    </row>
    <row r="99" customFormat="false" ht="15" hidden="false" customHeight="false" outlineLevel="0" collapsed="false">
      <c r="B99" s="1" t="s">
        <v>3319</v>
      </c>
      <c r="C99" s="1" t="s">
        <v>3320</v>
      </c>
    </row>
    <row r="100" customFormat="false" ht="15" hidden="false" customHeight="false" outlineLevel="0" collapsed="false">
      <c r="B100" s="1" t="s">
        <v>3321</v>
      </c>
      <c r="C100" s="1" t="s">
        <v>3322</v>
      </c>
    </row>
    <row r="101" customFormat="false" ht="15" hidden="false" customHeight="false" outlineLevel="0" collapsed="false">
      <c r="B101" s="1" t="s">
        <v>3323</v>
      </c>
      <c r="C101" s="1" t="s">
        <v>3324</v>
      </c>
    </row>
    <row r="102" customFormat="false" ht="15" hidden="false" customHeight="false" outlineLevel="0" collapsed="false">
      <c r="B102" s="1" t="s">
        <v>3325</v>
      </c>
      <c r="C102" s="1" t="s">
        <v>3326</v>
      </c>
    </row>
    <row r="103" customFormat="false" ht="15" hidden="false" customHeight="false" outlineLevel="0" collapsed="false">
      <c r="B103" s="1" t="s">
        <v>3327</v>
      </c>
      <c r="C103" s="1" t="s">
        <v>3328</v>
      </c>
    </row>
    <row r="104" customFormat="false" ht="15" hidden="false" customHeight="false" outlineLevel="0" collapsed="false">
      <c r="B104" s="1" t="s">
        <v>3329</v>
      </c>
      <c r="C104" s="1" t="s">
        <v>3330</v>
      </c>
    </row>
    <row r="105" customFormat="false" ht="15" hidden="false" customHeight="false" outlineLevel="0" collapsed="false">
      <c r="B105" s="1" t="s">
        <v>3331</v>
      </c>
      <c r="C105" s="1" t="s">
        <v>3332</v>
      </c>
    </row>
    <row r="106" customFormat="false" ht="15" hidden="false" customHeight="false" outlineLevel="0" collapsed="false">
      <c r="B106" s="1" t="s">
        <v>3333</v>
      </c>
      <c r="C106" s="1" t="s">
        <v>3334</v>
      </c>
    </row>
    <row r="107" customFormat="false" ht="15" hidden="false" customHeight="false" outlineLevel="0" collapsed="false">
      <c r="B107" s="1" t="s">
        <v>3335</v>
      </c>
      <c r="C107" s="1" t="s">
        <v>3336</v>
      </c>
    </row>
    <row r="108" customFormat="false" ht="15" hidden="false" customHeight="false" outlineLevel="0" collapsed="false">
      <c r="B108" s="1" t="s">
        <v>3337</v>
      </c>
      <c r="C108" s="1" t="s">
        <v>3338</v>
      </c>
    </row>
    <row r="109" customFormat="false" ht="15" hidden="false" customHeight="false" outlineLevel="0" collapsed="false">
      <c r="B109" s="1" t="s">
        <v>3339</v>
      </c>
      <c r="C109" s="1" t="s">
        <v>3340</v>
      </c>
    </row>
    <row r="110" customFormat="false" ht="15" hidden="false" customHeight="false" outlineLevel="0" collapsed="false">
      <c r="B110" s="1" t="s">
        <v>3341</v>
      </c>
      <c r="C110" s="1" t="s">
        <v>3342</v>
      </c>
    </row>
    <row r="111" customFormat="false" ht="15" hidden="false" customHeight="false" outlineLevel="0" collapsed="false">
      <c r="B111" s="1" t="s">
        <v>3343</v>
      </c>
      <c r="C111" s="1" t="s">
        <v>3344</v>
      </c>
    </row>
    <row r="112" customFormat="false" ht="15" hidden="false" customHeight="false" outlineLevel="0" collapsed="false">
      <c r="B112" s="1" t="s">
        <v>3345</v>
      </c>
      <c r="C112" s="1" t="s">
        <v>3346</v>
      </c>
    </row>
    <row r="113" customFormat="false" ht="15" hidden="false" customHeight="false" outlineLevel="0" collapsed="false">
      <c r="B113" s="1" t="s">
        <v>3347</v>
      </c>
      <c r="C113" s="1" t="s">
        <v>3348</v>
      </c>
    </row>
    <row r="114" customFormat="false" ht="15" hidden="false" customHeight="false" outlineLevel="0" collapsed="false">
      <c r="B114" s="1" t="s">
        <v>3349</v>
      </c>
      <c r="C114" s="1" t="s">
        <v>3350</v>
      </c>
    </row>
    <row r="115" customFormat="false" ht="15" hidden="false" customHeight="false" outlineLevel="0" collapsed="false">
      <c r="B115" s="1" t="s">
        <v>3351</v>
      </c>
      <c r="C115" s="1" t="s">
        <v>3352</v>
      </c>
    </row>
    <row r="116" customFormat="false" ht="15" hidden="false" customHeight="false" outlineLevel="0" collapsed="false">
      <c r="B116" s="1" t="s">
        <v>3353</v>
      </c>
      <c r="C116" s="1" t="s">
        <v>3354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35" hidden="false" customHeight="false" outlineLevel="0" collapsed="false">
      <c r="B1" s="90" t="s">
        <v>3355</v>
      </c>
    </row>
    <row r="2" customFormat="false" ht="48" hidden="false" customHeight="true" outlineLevel="0" collapsed="false">
      <c r="B2" s="91" t="s">
        <v>3356</v>
      </c>
      <c r="C2" s="91"/>
      <c r="D2" s="91"/>
      <c r="E2" s="91"/>
      <c r="F2" s="91"/>
      <c r="G2" s="91"/>
      <c r="H2" s="91"/>
    </row>
    <row r="4" customFormat="false" ht="15" hidden="false" customHeight="false" outlineLevel="0" collapsed="false">
      <c r="B4" s="93" t="s">
        <v>30</v>
      </c>
      <c r="C4" s="93" t="s">
        <v>3357</v>
      </c>
      <c r="D4" s="93" t="s">
        <v>3358</v>
      </c>
      <c r="E4" s="93" t="s">
        <v>3359</v>
      </c>
      <c r="F4" s="93" t="s">
        <v>3360</v>
      </c>
      <c r="G4" s="93" t="s">
        <v>3361</v>
      </c>
      <c r="H4" s="93" t="s">
        <v>100</v>
      </c>
    </row>
    <row r="5" customFormat="false" ht="28.35" hidden="false" customHeight="false" outlineLevel="0" collapsed="false">
      <c r="B5" s="115" t="n">
        <v>1</v>
      </c>
      <c r="C5" s="115" t="s">
        <v>3362</v>
      </c>
      <c r="D5" s="115" t="s">
        <v>3363</v>
      </c>
      <c r="E5" s="115" t="s">
        <v>3364</v>
      </c>
      <c r="F5" s="115" t="s">
        <v>3365</v>
      </c>
      <c r="G5" s="115" t="s">
        <v>3366</v>
      </c>
      <c r="H5" s="116" t="s">
        <v>3367</v>
      </c>
    </row>
    <row r="6" customFormat="false" ht="15" hidden="false" customHeight="false" outlineLevel="0" collapsed="false">
      <c r="B6" s="115" t="n">
        <v>2</v>
      </c>
      <c r="C6" s="115" t="s">
        <v>3362</v>
      </c>
      <c r="D6" s="115" t="s">
        <v>3368</v>
      </c>
      <c r="E6" s="115" t="s">
        <v>3364</v>
      </c>
      <c r="F6" s="115" t="s">
        <v>3369</v>
      </c>
      <c r="G6" s="115" t="s">
        <v>3370</v>
      </c>
      <c r="H6" s="116" t="s">
        <v>3367</v>
      </c>
    </row>
    <row r="7" customFormat="false" ht="15" hidden="false" customHeight="false" outlineLevel="0" collapsed="false">
      <c r="B7" s="115" t="n">
        <v>3</v>
      </c>
      <c r="C7" s="115" t="s">
        <v>3371</v>
      </c>
      <c r="D7" s="115" t="s">
        <v>3372</v>
      </c>
      <c r="E7" s="115" t="s">
        <v>3373</v>
      </c>
      <c r="F7" s="115" t="s">
        <v>3374</v>
      </c>
      <c r="G7" s="115" t="s">
        <v>3370</v>
      </c>
      <c r="H7" s="116" t="s">
        <v>3367</v>
      </c>
    </row>
    <row r="8" customFormat="false" ht="55.2" hidden="false" customHeight="false" outlineLevel="0" collapsed="false">
      <c r="B8" s="115" t="n">
        <v>4</v>
      </c>
      <c r="C8" s="115" t="s">
        <v>3362</v>
      </c>
      <c r="D8" s="115" t="s">
        <v>3375</v>
      </c>
      <c r="E8" s="115" t="s">
        <v>3376</v>
      </c>
      <c r="F8" s="115" t="s">
        <v>3377</v>
      </c>
      <c r="G8" s="115" t="s">
        <v>3378</v>
      </c>
      <c r="H8" s="116" t="s">
        <v>3379</v>
      </c>
    </row>
    <row r="9" customFormat="false" ht="15" hidden="false" customHeight="false" outlineLevel="0" collapsed="false">
      <c r="B9" s="115" t="n">
        <v>5</v>
      </c>
      <c r="C9" s="115" t="s">
        <v>3362</v>
      </c>
      <c r="D9" s="115" t="s">
        <v>3380</v>
      </c>
      <c r="E9" s="115" t="s">
        <v>3364</v>
      </c>
      <c r="F9" s="115" t="s">
        <v>3381</v>
      </c>
      <c r="G9" s="115" t="s">
        <v>3382</v>
      </c>
      <c r="H9" s="116" t="s">
        <v>3367</v>
      </c>
    </row>
    <row r="10" customFormat="false" ht="41.75" hidden="false" customHeight="false" outlineLevel="0" collapsed="false">
      <c r="B10" s="115" t="n">
        <v>6</v>
      </c>
      <c r="C10" s="115" t="s">
        <v>3362</v>
      </c>
      <c r="D10" s="115" t="s">
        <v>3383</v>
      </c>
      <c r="E10" s="115" t="s">
        <v>3384</v>
      </c>
      <c r="F10" s="115" t="s">
        <v>3385</v>
      </c>
      <c r="G10" s="115" t="s">
        <v>3386</v>
      </c>
      <c r="H10" s="116" t="s">
        <v>3387</v>
      </c>
    </row>
    <row r="11" customFormat="false" ht="41.75" hidden="false" customHeight="false" outlineLevel="0" collapsed="false">
      <c r="B11" s="115" t="n">
        <v>7</v>
      </c>
      <c r="C11" s="115" t="s">
        <v>3388</v>
      </c>
      <c r="D11" s="115" t="s">
        <v>3389</v>
      </c>
      <c r="E11" s="115" t="s">
        <v>3390</v>
      </c>
      <c r="F11" s="115" t="s">
        <v>3391</v>
      </c>
      <c r="G11" s="115" t="s">
        <v>3392</v>
      </c>
      <c r="H11" s="116" t="s">
        <v>3387</v>
      </c>
    </row>
    <row r="12" customFormat="false" ht="28.35" hidden="false" customHeight="false" outlineLevel="0" collapsed="false">
      <c r="B12" s="115" t="n">
        <v>8</v>
      </c>
      <c r="C12" s="115" t="s">
        <v>3388</v>
      </c>
      <c r="D12" s="115" t="s">
        <v>3393</v>
      </c>
      <c r="E12" s="115" t="s">
        <v>3390</v>
      </c>
      <c r="F12" s="115" t="s">
        <v>3394</v>
      </c>
      <c r="G12" s="115" t="s">
        <v>3395</v>
      </c>
      <c r="H12" s="116" t="s">
        <v>3367</v>
      </c>
    </row>
    <row r="13" customFormat="false" ht="28.35" hidden="false" customHeight="false" outlineLevel="0" collapsed="false">
      <c r="B13" s="115" t="n">
        <v>9</v>
      </c>
      <c r="C13" s="115" t="s">
        <v>3388</v>
      </c>
      <c r="D13" s="115" t="s">
        <v>3396</v>
      </c>
      <c r="E13" s="115" t="s">
        <v>3390</v>
      </c>
      <c r="F13" s="115" t="s">
        <v>3397</v>
      </c>
      <c r="G13" s="115" t="s">
        <v>3398</v>
      </c>
      <c r="H13" s="116" t="s">
        <v>3367</v>
      </c>
    </row>
    <row r="14" customFormat="false" ht="28.35" hidden="false" customHeight="false" outlineLevel="0" collapsed="false">
      <c r="B14" s="115" t="n">
        <v>10</v>
      </c>
      <c r="C14" s="115" t="s">
        <v>3362</v>
      </c>
      <c r="D14" s="115" t="s">
        <v>3399</v>
      </c>
      <c r="E14" s="115" t="s">
        <v>3400</v>
      </c>
      <c r="F14" s="115" t="s">
        <v>3401</v>
      </c>
      <c r="G14" s="115" t="s">
        <v>3402</v>
      </c>
      <c r="H14" s="116" t="s">
        <v>3367</v>
      </c>
    </row>
    <row r="15" customFormat="false" ht="28.35" hidden="false" customHeight="false" outlineLevel="0" collapsed="false">
      <c r="B15" s="115" t="n">
        <v>11</v>
      </c>
      <c r="C15" s="115" t="s">
        <v>3362</v>
      </c>
      <c r="D15" s="115" t="s">
        <v>3403</v>
      </c>
      <c r="E15" s="115" t="s">
        <v>3404</v>
      </c>
      <c r="F15" s="115" t="s">
        <v>3405</v>
      </c>
      <c r="G15" s="115" t="s">
        <v>3406</v>
      </c>
      <c r="H15" s="117" t="s">
        <v>3407</v>
      </c>
    </row>
    <row r="16" customFormat="false" ht="55.2" hidden="false" customHeight="false" outlineLevel="0" collapsed="false">
      <c r="B16" s="115" t="n">
        <v>12</v>
      </c>
      <c r="C16" s="115" t="s">
        <v>3408</v>
      </c>
      <c r="D16" s="115" t="s">
        <v>3409</v>
      </c>
      <c r="E16" s="115" t="s">
        <v>3410</v>
      </c>
      <c r="F16" s="115" t="s">
        <v>3411</v>
      </c>
      <c r="G16" s="115" t="s">
        <v>3412</v>
      </c>
      <c r="H16" s="116" t="s">
        <v>3367</v>
      </c>
    </row>
    <row r="17" customFormat="false" ht="41.75" hidden="false" customHeight="false" outlineLevel="0" collapsed="false">
      <c r="B17" s="115" t="n">
        <v>13</v>
      </c>
      <c r="C17" s="115" t="s">
        <v>3413</v>
      </c>
      <c r="D17" s="115" t="s">
        <v>3414</v>
      </c>
      <c r="E17" s="115" t="s">
        <v>3415</v>
      </c>
      <c r="F17" s="115" t="s">
        <v>3416</v>
      </c>
      <c r="G17" s="115" t="s">
        <v>3417</v>
      </c>
      <c r="H17" s="116" t="s">
        <v>3367</v>
      </c>
    </row>
    <row r="18" customFormat="false" ht="28.35" hidden="false" customHeight="false" outlineLevel="0" collapsed="false">
      <c r="B18" s="115" t="n">
        <v>14</v>
      </c>
      <c r="C18" s="115" t="s">
        <v>3418</v>
      </c>
      <c r="D18" s="115" t="s">
        <v>3419</v>
      </c>
      <c r="E18" s="115" t="s">
        <v>3420</v>
      </c>
      <c r="F18" s="115" t="s">
        <v>3421</v>
      </c>
      <c r="G18" s="115" t="s">
        <v>3417</v>
      </c>
      <c r="H18" s="116" t="s">
        <v>3367</v>
      </c>
    </row>
    <row r="19" customFormat="false" ht="28.35" hidden="false" customHeight="false" outlineLevel="0" collapsed="false">
      <c r="B19" s="115" t="n">
        <v>15</v>
      </c>
      <c r="C19" s="115" t="s">
        <v>3422</v>
      </c>
      <c r="D19" s="115" t="s">
        <v>3423</v>
      </c>
      <c r="E19" s="115" t="s">
        <v>3424</v>
      </c>
      <c r="F19" s="115" t="s">
        <v>3425</v>
      </c>
      <c r="G19" s="115" t="s">
        <v>3426</v>
      </c>
      <c r="H19" s="116" t="s">
        <v>3427</v>
      </c>
    </row>
    <row r="20" customFormat="false" ht="41.75" hidden="false" customHeight="false" outlineLevel="0" collapsed="false">
      <c r="B20" s="115" t="n">
        <v>16</v>
      </c>
      <c r="C20" s="115" t="s">
        <v>3428</v>
      </c>
      <c r="D20" s="115" t="s">
        <v>3429</v>
      </c>
      <c r="E20" s="115" t="s">
        <v>3430</v>
      </c>
      <c r="F20" s="115" t="s">
        <v>3431</v>
      </c>
      <c r="G20" s="115" t="s">
        <v>3432</v>
      </c>
      <c r="H20" s="116" t="s">
        <v>3367</v>
      </c>
    </row>
    <row r="21" customFormat="false" ht="28.35" hidden="false" customHeight="false" outlineLevel="0" collapsed="false">
      <c r="B21" s="115" t="n">
        <v>17</v>
      </c>
      <c r="C21" s="115" t="s">
        <v>3428</v>
      </c>
      <c r="D21" s="115" t="s">
        <v>3433</v>
      </c>
      <c r="E21" s="115" t="s">
        <v>3434</v>
      </c>
      <c r="F21" s="115" t="s">
        <v>3435</v>
      </c>
      <c r="G21" s="115" t="s">
        <v>3436</v>
      </c>
      <c r="H21" s="116" t="s">
        <v>3367</v>
      </c>
    </row>
    <row r="22" customFormat="false" ht="28.35" hidden="false" customHeight="false" outlineLevel="0" collapsed="false">
      <c r="B22" s="115" t="n">
        <v>18</v>
      </c>
      <c r="C22" s="115" t="s">
        <v>3437</v>
      </c>
      <c r="D22" s="115" t="s">
        <v>3438</v>
      </c>
      <c r="E22" s="115" t="s">
        <v>3439</v>
      </c>
      <c r="F22" s="115" t="s">
        <v>3440</v>
      </c>
      <c r="G22" s="115" t="s">
        <v>3441</v>
      </c>
      <c r="H22" s="116" t="s">
        <v>3367</v>
      </c>
    </row>
    <row r="23" customFormat="false" ht="28.35" hidden="false" customHeight="false" outlineLevel="0" collapsed="false">
      <c r="B23" s="115" t="n">
        <v>19</v>
      </c>
      <c r="C23" s="115" t="s">
        <v>3437</v>
      </c>
      <c r="D23" s="115" t="s">
        <v>3442</v>
      </c>
      <c r="E23" s="115" t="s">
        <v>3439</v>
      </c>
      <c r="F23" s="115" t="s">
        <v>3443</v>
      </c>
      <c r="G23" s="115" t="s">
        <v>3444</v>
      </c>
      <c r="H23" s="116" t="s">
        <v>3367</v>
      </c>
    </row>
    <row r="24" customFormat="false" ht="28.35" hidden="false" customHeight="false" outlineLevel="0" collapsed="false">
      <c r="B24" s="115" t="n">
        <v>20</v>
      </c>
      <c r="C24" s="115" t="s">
        <v>3445</v>
      </c>
      <c r="D24" s="115" t="s">
        <v>3446</v>
      </c>
      <c r="E24" s="115" t="s">
        <v>3447</v>
      </c>
      <c r="F24" s="115" t="s">
        <v>3448</v>
      </c>
      <c r="G24" s="115" t="s">
        <v>3449</v>
      </c>
      <c r="H24" s="116" t="s">
        <v>3367</v>
      </c>
    </row>
    <row r="25" customFormat="false" ht="28.35" hidden="false" customHeight="false" outlineLevel="0" collapsed="false">
      <c r="B25" s="115" t="n">
        <v>21</v>
      </c>
      <c r="C25" s="115" t="s">
        <v>3445</v>
      </c>
      <c r="D25" s="115" t="s">
        <v>3450</v>
      </c>
      <c r="E25" s="115" t="s">
        <v>3451</v>
      </c>
      <c r="F25" s="115" t="s">
        <v>3452</v>
      </c>
      <c r="G25" s="115" t="s">
        <v>3453</v>
      </c>
      <c r="H25" s="116" t="s">
        <v>3367</v>
      </c>
    </row>
    <row r="26" customFormat="false" ht="55.2" hidden="false" customHeight="false" outlineLevel="0" collapsed="false">
      <c r="B26" s="115" t="n">
        <v>22</v>
      </c>
      <c r="C26" s="115" t="s">
        <v>3445</v>
      </c>
      <c r="D26" s="115" t="s">
        <v>3454</v>
      </c>
      <c r="E26" s="115" t="s">
        <v>3455</v>
      </c>
      <c r="F26" s="115" t="s">
        <v>3456</v>
      </c>
      <c r="G26" s="115" t="s">
        <v>3457</v>
      </c>
      <c r="H26" s="118" t="s">
        <v>3458</v>
      </c>
    </row>
    <row r="27" customFormat="false" ht="41.75" hidden="false" customHeight="false" outlineLevel="0" collapsed="false">
      <c r="B27" s="115" t="n">
        <v>23</v>
      </c>
      <c r="C27" s="115" t="s">
        <v>3445</v>
      </c>
      <c r="D27" s="115" t="s">
        <v>3459</v>
      </c>
      <c r="E27" s="115" t="s">
        <v>3460</v>
      </c>
      <c r="F27" s="115" t="s">
        <v>3461</v>
      </c>
      <c r="G27" s="115" t="s">
        <v>3462</v>
      </c>
      <c r="H27" s="118" t="s">
        <v>3463</v>
      </c>
    </row>
    <row r="28" customFormat="false" ht="28.35" hidden="false" customHeight="false" outlineLevel="0" collapsed="false">
      <c r="B28" s="115" t="n">
        <v>24</v>
      </c>
      <c r="C28" s="115" t="s">
        <v>3464</v>
      </c>
      <c r="D28" s="115" t="s">
        <v>3465</v>
      </c>
      <c r="E28" s="115" t="s">
        <v>3451</v>
      </c>
      <c r="F28" s="115" t="s">
        <v>3466</v>
      </c>
      <c r="G28" s="115" t="s">
        <v>3467</v>
      </c>
      <c r="H28" s="116" t="s">
        <v>3367</v>
      </c>
    </row>
    <row r="29" customFormat="false" ht="28.35" hidden="false" customHeight="false" outlineLevel="0" collapsed="false">
      <c r="B29" s="115" t="n">
        <v>25</v>
      </c>
      <c r="C29" s="115" t="s">
        <v>3418</v>
      </c>
      <c r="D29" s="115" t="s">
        <v>3468</v>
      </c>
      <c r="E29" s="115" t="s">
        <v>3469</v>
      </c>
      <c r="F29" s="115" t="s">
        <v>3470</v>
      </c>
      <c r="G29" s="115" t="s">
        <v>3471</v>
      </c>
      <c r="H29" s="116" t="s">
        <v>3367</v>
      </c>
    </row>
    <row r="30" customFormat="false" ht="41.75" hidden="false" customHeight="false" outlineLevel="0" collapsed="false">
      <c r="B30" s="115" t="n">
        <v>26</v>
      </c>
      <c r="C30" s="115" t="s">
        <v>3418</v>
      </c>
      <c r="D30" s="115" t="s">
        <v>3472</v>
      </c>
      <c r="E30" s="115" t="s">
        <v>3451</v>
      </c>
      <c r="F30" s="115" t="s">
        <v>3473</v>
      </c>
      <c r="G30" s="115" t="s">
        <v>3474</v>
      </c>
      <c r="H30" s="116" t="s">
        <v>3367</v>
      </c>
    </row>
    <row r="31" customFormat="false" ht="28.35" hidden="false" customHeight="false" outlineLevel="0" collapsed="false">
      <c r="B31" s="115" t="n">
        <v>27</v>
      </c>
      <c r="C31" s="115" t="s">
        <v>3418</v>
      </c>
      <c r="D31" s="115" t="s">
        <v>3475</v>
      </c>
      <c r="E31" s="115" t="s">
        <v>3476</v>
      </c>
      <c r="F31" s="115" t="s">
        <v>3477</v>
      </c>
      <c r="G31" s="115" t="s">
        <v>3134</v>
      </c>
      <c r="H31" s="116" t="s">
        <v>3367</v>
      </c>
    </row>
    <row r="32" customFormat="false" ht="41.75" hidden="false" customHeight="false" outlineLevel="0" collapsed="false">
      <c r="B32" s="115" t="n">
        <v>28</v>
      </c>
      <c r="C32" s="115" t="s">
        <v>3418</v>
      </c>
      <c r="D32" s="115" t="s">
        <v>3478</v>
      </c>
      <c r="E32" s="115" t="s">
        <v>3451</v>
      </c>
      <c r="F32" s="115" t="s">
        <v>3479</v>
      </c>
      <c r="G32" s="115" t="s">
        <v>3480</v>
      </c>
      <c r="H32" s="116" t="s">
        <v>3367</v>
      </c>
    </row>
    <row r="33" customFormat="false" ht="28.35" hidden="false" customHeight="false" outlineLevel="0" collapsed="false">
      <c r="B33" s="115" t="n">
        <v>29</v>
      </c>
      <c r="C33" s="115" t="s">
        <v>3481</v>
      </c>
      <c r="D33" s="115" t="s">
        <v>3482</v>
      </c>
      <c r="E33" s="115" t="s">
        <v>3451</v>
      </c>
      <c r="F33" s="115" t="s">
        <v>3483</v>
      </c>
      <c r="G33" s="115" t="s">
        <v>3484</v>
      </c>
      <c r="H33" s="116" t="s">
        <v>3485</v>
      </c>
    </row>
    <row r="34" customFormat="false" ht="28.35" hidden="false" customHeight="false" outlineLevel="0" collapsed="false">
      <c r="B34" s="115" t="n">
        <v>30</v>
      </c>
      <c r="C34" s="115" t="s">
        <v>3481</v>
      </c>
      <c r="D34" s="115" t="s">
        <v>3486</v>
      </c>
      <c r="E34" s="115" t="s">
        <v>3487</v>
      </c>
      <c r="F34" s="115" t="s">
        <v>3488</v>
      </c>
      <c r="G34" s="115" t="s">
        <v>3489</v>
      </c>
      <c r="H34" s="116" t="s">
        <v>3490</v>
      </c>
    </row>
    <row r="35" customFormat="false" ht="15" hidden="false" customHeight="false" outlineLevel="0" collapsed="false">
      <c r="B35" s="115" t="n">
        <v>31</v>
      </c>
      <c r="C35" s="115" t="s">
        <v>3481</v>
      </c>
      <c r="D35" s="115" t="s">
        <v>3491</v>
      </c>
      <c r="E35" s="115" t="s">
        <v>3451</v>
      </c>
      <c r="F35" s="115" t="s">
        <v>3492</v>
      </c>
      <c r="G35" s="115" t="s">
        <v>3493</v>
      </c>
      <c r="H35" s="116" t="s">
        <v>3367</v>
      </c>
    </row>
    <row r="36" customFormat="false" ht="41.75" hidden="false" customHeight="false" outlineLevel="0" collapsed="false">
      <c r="B36" s="115" t="n">
        <v>32</v>
      </c>
      <c r="C36" s="115" t="s">
        <v>3481</v>
      </c>
      <c r="D36" s="115" t="s">
        <v>3494</v>
      </c>
      <c r="E36" s="115" t="s">
        <v>3495</v>
      </c>
      <c r="F36" s="115" t="s">
        <v>3496</v>
      </c>
      <c r="G36" s="115" t="s">
        <v>3497</v>
      </c>
      <c r="H36" s="116" t="s">
        <v>3498</v>
      </c>
    </row>
    <row r="37" customFormat="false" ht="41.75" hidden="false" customHeight="false" outlineLevel="0" collapsed="false">
      <c r="B37" s="115" t="n">
        <v>33</v>
      </c>
      <c r="C37" s="115" t="s">
        <v>3499</v>
      </c>
      <c r="D37" s="115" t="s">
        <v>3500</v>
      </c>
      <c r="E37" s="115" t="s">
        <v>3501</v>
      </c>
      <c r="F37" s="115" t="s">
        <v>3502</v>
      </c>
      <c r="G37" s="115" t="s">
        <v>3503</v>
      </c>
      <c r="H37" s="116" t="s">
        <v>3504</v>
      </c>
    </row>
    <row r="38" customFormat="false" ht="15" hidden="false" customHeight="false" outlineLevel="0" collapsed="false">
      <c r="B38" s="115" t="n">
        <v>34</v>
      </c>
      <c r="C38" s="115" t="s">
        <v>3481</v>
      </c>
      <c r="D38" s="115" t="s">
        <v>3505</v>
      </c>
      <c r="E38" s="115" t="s">
        <v>3495</v>
      </c>
      <c r="F38" s="115" t="s">
        <v>3506</v>
      </c>
      <c r="G38" s="115" t="s">
        <v>3507</v>
      </c>
      <c r="H38" s="116" t="s">
        <v>3367</v>
      </c>
    </row>
    <row r="39" customFormat="false" ht="28.35" hidden="false" customHeight="false" outlineLevel="0" collapsed="false">
      <c r="B39" s="115" t="n">
        <v>35</v>
      </c>
      <c r="C39" s="115" t="s">
        <v>3508</v>
      </c>
      <c r="D39" s="115" t="s">
        <v>3509</v>
      </c>
      <c r="E39" s="115" t="s">
        <v>3510</v>
      </c>
      <c r="F39" s="115" t="s">
        <v>3511</v>
      </c>
      <c r="G39" s="115" t="s">
        <v>3512</v>
      </c>
      <c r="H39" s="116" t="s">
        <v>3367</v>
      </c>
    </row>
    <row r="40" customFormat="false" ht="28.35" hidden="false" customHeight="false" outlineLevel="0" collapsed="false">
      <c r="B40" s="115" t="n">
        <v>36</v>
      </c>
      <c r="C40" s="115" t="s">
        <v>3513</v>
      </c>
      <c r="D40" s="115" t="s">
        <v>3514</v>
      </c>
      <c r="E40" s="115" t="s">
        <v>3515</v>
      </c>
      <c r="F40" s="115" t="s">
        <v>3516</v>
      </c>
      <c r="G40" s="115" t="s">
        <v>3517</v>
      </c>
      <c r="H40" s="116" t="s">
        <v>3367</v>
      </c>
    </row>
    <row r="41" customFormat="false" ht="28.35" hidden="false" customHeight="false" outlineLevel="0" collapsed="false">
      <c r="B41" s="115" t="n">
        <v>37</v>
      </c>
      <c r="C41" s="115" t="s">
        <v>3518</v>
      </c>
      <c r="D41" s="115" t="s">
        <v>3519</v>
      </c>
      <c r="E41" s="115" t="s">
        <v>3520</v>
      </c>
      <c r="F41" s="115" t="s">
        <v>3521</v>
      </c>
      <c r="G41" s="115" t="s">
        <v>3522</v>
      </c>
      <c r="H41" s="116" t="s">
        <v>3367</v>
      </c>
    </row>
    <row r="42" customFormat="false" ht="28.35" hidden="false" customHeight="false" outlineLevel="0" collapsed="false">
      <c r="B42" s="115" t="n">
        <v>38</v>
      </c>
      <c r="C42" s="115" t="s">
        <v>3523</v>
      </c>
      <c r="D42" s="115" t="s">
        <v>3524</v>
      </c>
      <c r="E42" s="115" t="s">
        <v>3525</v>
      </c>
      <c r="F42" s="115" t="s">
        <v>3526</v>
      </c>
      <c r="G42" s="115" t="s">
        <v>3527</v>
      </c>
      <c r="H42" s="116" t="s">
        <v>3367</v>
      </c>
    </row>
    <row r="43" customFormat="false" ht="41.75" hidden="false" customHeight="false" outlineLevel="0" collapsed="false">
      <c r="B43" s="115" t="n">
        <v>39</v>
      </c>
      <c r="C43" s="115" t="s">
        <v>3523</v>
      </c>
      <c r="D43" s="115" t="s">
        <v>3528</v>
      </c>
      <c r="E43" s="115" t="s">
        <v>3529</v>
      </c>
      <c r="F43" s="115" t="s">
        <v>3530</v>
      </c>
      <c r="G43" s="115" t="s">
        <v>3531</v>
      </c>
      <c r="H43" s="116" t="s">
        <v>3532</v>
      </c>
    </row>
    <row r="44" customFormat="false" ht="41.75" hidden="false" customHeight="false" outlineLevel="0" collapsed="false">
      <c r="B44" s="115" t="n">
        <v>40</v>
      </c>
      <c r="C44" s="115" t="s">
        <v>3533</v>
      </c>
      <c r="D44" s="115" t="s">
        <v>3534</v>
      </c>
      <c r="E44" s="115" t="s">
        <v>3529</v>
      </c>
      <c r="F44" s="115" t="s">
        <v>3535</v>
      </c>
      <c r="G44" s="115" t="s">
        <v>3536</v>
      </c>
      <c r="H44" s="116" t="s">
        <v>3367</v>
      </c>
    </row>
    <row r="45" customFormat="false" ht="28.35" hidden="false" customHeight="false" outlineLevel="0" collapsed="false">
      <c r="B45" s="115" t="n">
        <v>41</v>
      </c>
      <c r="C45" s="115" t="s">
        <v>3481</v>
      </c>
      <c r="D45" s="115" t="s">
        <v>3537</v>
      </c>
      <c r="E45" s="115" t="s">
        <v>3538</v>
      </c>
      <c r="F45" s="115" t="s">
        <v>3539</v>
      </c>
      <c r="G45" s="115" t="s">
        <v>3540</v>
      </c>
      <c r="H45" s="116" t="s">
        <v>3367</v>
      </c>
    </row>
    <row r="46" customFormat="false" ht="41.75" hidden="false" customHeight="false" outlineLevel="0" collapsed="false">
      <c r="B46" s="115" t="n">
        <v>42</v>
      </c>
      <c r="C46" s="115" t="s">
        <v>3541</v>
      </c>
      <c r="D46" s="115" t="s">
        <v>3542</v>
      </c>
      <c r="E46" s="115" t="s">
        <v>3543</v>
      </c>
      <c r="F46" s="115" t="s">
        <v>3544</v>
      </c>
      <c r="G46" s="115" t="s">
        <v>3545</v>
      </c>
      <c r="H46" s="116" t="s">
        <v>3367</v>
      </c>
    </row>
    <row r="47" customFormat="false" ht="15" hidden="false" customHeight="false" outlineLevel="0" collapsed="false">
      <c r="B47" s="115" t="n">
        <v>43</v>
      </c>
      <c r="C47" s="115" t="s">
        <v>3546</v>
      </c>
      <c r="D47" s="115" t="s">
        <v>3547</v>
      </c>
      <c r="E47" s="115" t="s">
        <v>3548</v>
      </c>
      <c r="F47" s="115" t="s">
        <v>3549</v>
      </c>
      <c r="G47" s="115" t="s">
        <v>3550</v>
      </c>
      <c r="H47" s="116" t="s">
        <v>3367</v>
      </c>
    </row>
    <row r="48" customFormat="false" ht="28.35" hidden="false" customHeight="false" outlineLevel="0" collapsed="false">
      <c r="B48" s="115" t="n">
        <v>44</v>
      </c>
      <c r="C48" s="115" t="s">
        <v>3546</v>
      </c>
      <c r="D48" s="115" t="s">
        <v>3551</v>
      </c>
      <c r="E48" s="115" t="s">
        <v>3548</v>
      </c>
      <c r="F48" s="115" t="s">
        <v>3552</v>
      </c>
      <c r="G48" s="115" t="s">
        <v>3553</v>
      </c>
      <c r="H48" s="116" t="s">
        <v>3367</v>
      </c>
    </row>
    <row r="49" customFormat="false" ht="41.75" hidden="false" customHeight="false" outlineLevel="0" collapsed="false">
      <c r="B49" s="115" t="n">
        <v>45</v>
      </c>
      <c r="C49" s="115" t="s">
        <v>3546</v>
      </c>
      <c r="D49" s="115" t="s">
        <v>3554</v>
      </c>
      <c r="E49" s="115" t="s">
        <v>3548</v>
      </c>
      <c r="F49" s="115" t="s">
        <v>3555</v>
      </c>
      <c r="G49" s="115" t="s">
        <v>3556</v>
      </c>
      <c r="H49" s="116" t="s">
        <v>3557</v>
      </c>
    </row>
    <row r="50" customFormat="false" ht="15" hidden="false" customHeight="false" outlineLevel="0" collapsed="false">
      <c r="B50" s="115" t="n">
        <v>46</v>
      </c>
      <c r="C50" s="115" t="s">
        <v>3546</v>
      </c>
      <c r="D50" s="115" t="s">
        <v>3558</v>
      </c>
      <c r="E50" s="115" t="s">
        <v>3548</v>
      </c>
      <c r="F50" s="115" t="s">
        <v>3559</v>
      </c>
      <c r="G50" s="115" t="s">
        <v>3560</v>
      </c>
      <c r="H50" s="116" t="s">
        <v>3367</v>
      </c>
    </row>
    <row r="51" customFormat="false" ht="28.35" hidden="false" customHeight="false" outlineLevel="0" collapsed="false">
      <c r="B51" s="115" t="n">
        <v>47</v>
      </c>
      <c r="C51" s="115" t="s">
        <v>3546</v>
      </c>
      <c r="D51" s="115" t="s">
        <v>3561</v>
      </c>
      <c r="E51" s="115" t="s">
        <v>3455</v>
      </c>
      <c r="F51" s="115" t="s">
        <v>3562</v>
      </c>
      <c r="G51" s="115" t="s">
        <v>3563</v>
      </c>
      <c r="H51" s="118" t="s">
        <v>3564</v>
      </c>
    </row>
    <row r="52" customFormat="false" ht="28.35" hidden="false" customHeight="false" outlineLevel="0" collapsed="false">
      <c r="B52" s="115" t="n">
        <v>48</v>
      </c>
      <c r="C52" s="115" t="s">
        <v>3546</v>
      </c>
      <c r="D52" s="115" t="s">
        <v>3565</v>
      </c>
      <c r="E52" s="115" t="s">
        <v>3566</v>
      </c>
      <c r="F52" s="115" t="s">
        <v>3567</v>
      </c>
      <c r="G52" s="115" t="s">
        <v>3426</v>
      </c>
      <c r="H52" s="116" t="s">
        <v>3568</v>
      </c>
    </row>
    <row r="53" customFormat="false" ht="41.75" hidden="false" customHeight="false" outlineLevel="0" collapsed="false">
      <c r="B53" s="115" t="n">
        <v>49</v>
      </c>
      <c r="C53" s="115" t="s">
        <v>3569</v>
      </c>
      <c r="D53" s="115" t="s">
        <v>3570</v>
      </c>
      <c r="E53" s="115" t="s">
        <v>3571</v>
      </c>
      <c r="F53" s="115" t="s">
        <v>3572</v>
      </c>
      <c r="G53" s="115" t="s">
        <v>3573</v>
      </c>
      <c r="H53" s="116" t="s">
        <v>3367</v>
      </c>
    </row>
    <row r="54" customFormat="false" ht="28.35" hidden="false" customHeight="false" outlineLevel="0" collapsed="false">
      <c r="B54" s="115" t="n">
        <v>50</v>
      </c>
      <c r="C54" s="115" t="s">
        <v>3574</v>
      </c>
      <c r="D54" s="115" t="s">
        <v>3575</v>
      </c>
      <c r="E54" s="115" t="s">
        <v>3424</v>
      </c>
      <c r="F54" s="115" t="s">
        <v>3576</v>
      </c>
      <c r="G54" s="115" t="s">
        <v>3577</v>
      </c>
      <c r="H54" s="116" t="s">
        <v>3367</v>
      </c>
    </row>
    <row r="55" customFormat="false" ht="28.35" hidden="false" customHeight="false" outlineLevel="0" collapsed="false">
      <c r="B55" s="115" t="n">
        <v>51</v>
      </c>
      <c r="C55" s="115" t="s">
        <v>3546</v>
      </c>
      <c r="D55" s="115" t="s">
        <v>3578</v>
      </c>
      <c r="E55" s="115" t="s">
        <v>3579</v>
      </c>
      <c r="F55" s="115" t="s">
        <v>3580</v>
      </c>
      <c r="G55" s="115" t="s">
        <v>3581</v>
      </c>
      <c r="H55" s="116" t="s">
        <v>3367</v>
      </c>
    </row>
    <row r="56" customFormat="false" ht="28.35" hidden="false" customHeight="false" outlineLevel="0" collapsed="false">
      <c r="B56" s="115" t="n">
        <v>52</v>
      </c>
      <c r="C56" s="115" t="s">
        <v>3546</v>
      </c>
      <c r="D56" s="115" t="s">
        <v>3582</v>
      </c>
      <c r="E56" s="115" t="s">
        <v>3583</v>
      </c>
      <c r="F56" s="115" t="s">
        <v>3584</v>
      </c>
      <c r="G56" s="115" t="s">
        <v>3585</v>
      </c>
      <c r="H56" s="118" t="s">
        <v>3586</v>
      </c>
    </row>
    <row r="57" customFormat="false" ht="28.35" hidden="false" customHeight="false" outlineLevel="0" collapsed="false">
      <c r="B57" s="115" t="n">
        <v>53</v>
      </c>
      <c r="C57" s="115" t="s">
        <v>3587</v>
      </c>
      <c r="D57" s="115" t="s">
        <v>3588</v>
      </c>
      <c r="E57" s="115" t="s">
        <v>3589</v>
      </c>
      <c r="F57" s="115" t="s">
        <v>3590</v>
      </c>
      <c r="G57" s="115" t="s">
        <v>3591</v>
      </c>
      <c r="H57" s="116" t="s">
        <v>3367</v>
      </c>
    </row>
    <row r="58" customFormat="false" ht="28.35" hidden="false" customHeight="false" outlineLevel="0" collapsed="false">
      <c r="B58" s="115" t="n">
        <v>54</v>
      </c>
      <c r="C58" s="115" t="s">
        <v>3587</v>
      </c>
      <c r="D58" s="115" t="s">
        <v>3592</v>
      </c>
      <c r="E58" s="115" t="s">
        <v>3593</v>
      </c>
      <c r="F58" s="115" t="s">
        <v>3594</v>
      </c>
      <c r="G58" s="115" t="s">
        <v>3595</v>
      </c>
      <c r="H58" s="116" t="s">
        <v>3367</v>
      </c>
    </row>
    <row r="59" customFormat="false" ht="15" hidden="false" customHeight="false" outlineLevel="0" collapsed="false">
      <c r="B59" s="115" t="n">
        <v>55</v>
      </c>
      <c r="C59" s="115" t="s">
        <v>3596</v>
      </c>
      <c r="D59" s="115" t="s">
        <v>3597</v>
      </c>
      <c r="E59" s="115" t="s">
        <v>3598</v>
      </c>
      <c r="F59" s="115" t="s">
        <v>3599</v>
      </c>
      <c r="G59" s="115" t="s">
        <v>3600</v>
      </c>
      <c r="H59" s="116" t="s">
        <v>3367</v>
      </c>
    </row>
    <row r="60" customFormat="false" ht="28.35" hidden="false" customHeight="false" outlineLevel="0" collapsed="false">
      <c r="B60" s="115" t="n">
        <v>56</v>
      </c>
      <c r="C60" s="115" t="s">
        <v>3596</v>
      </c>
      <c r="D60" s="115" t="s">
        <v>3601</v>
      </c>
      <c r="E60" s="115" t="s">
        <v>3579</v>
      </c>
      <c r="F60" s="115" t="s">
        <v>3602</v>
      </c>
      <c r="G60" s="115" t="s">
        <v>3603</v>
      </c>
      <c r="H60" s="116" t="s">
        <v>3367</v>
      </c>
    </row>
    <row r="61" customFormat="false" ht="28.35" hidden="false" customHeight="false" outlineLevel="0" collapsed="false">
      <c r="B61" s="115" t="n">
        <v>57</v>
      </c>
      <c r="C61" s="115" t="s">
        <v>3604</v>
      </c>
      <c r="D61" s="115" t="s">
        <v>3605</v>
      </c>
      <c r="E61" s="115" t="s">
        <v>3606</v>
      </c>
      <c r="F61" s="115" t="s">
        <v>3607</v>
      </c>
      <c r="G61" s="115" t="s">
        <v>3608</v>
      </c>
      <c r="H61" s="116" t="s">
        <v>3367</v>
      </c>
    </row>
    <row r="62" customFormat="false" ht="28.35" hidden="false" customHeight="false" outlineLevel="0" collapsed="false">
      <c r="B62" s="115" t="n">
        <v>58</v>
      </c>
      <c r="C62" s="115" t="s">
        <v>3596</v>
      </c>
      <c r="D62" s="115" t="s">
        <v>3609</v>
      </c>
      <c r="E62" s="115" t="s">
        <v>3610</v>
      </c>
      <c r="F62" s="115" t="s">
        <v>3611</v>
      </c>
      <c r="G62" s="115" t="s">
        <v>3612</v>
      </c>
      <c r="H62" s="116" t="s">
        <v>3367</v>
      </c>
    </row>
    <row r="63" customFormat="false" ht="15" hidden="false" customHeight="false" outlineLevel="0" collapsed="false">
      <c r="B63" s="115" t="n">
        <v>59</v>
      </c>
      <c r="C63" s="115" t="s">
        <v>3596</v>
      </c>
      <c r="D63" s="115" t="s">
        <v>3613</v>
      </c>
      <c r="E63" s="115" t="s">
        <v>3579</v>
      </c>
      <c r="F63" s="115" t="s">
        <v>3614</v>
      </c>
      <c r="G63" s="115" t="s">
        <v>3615</v>
      </c>
      <c r="H63" s="116" t="s">
        <v>3367</v>
      </c>
    </row>
    <row r="64" customFormat="false" ht="28.35" hidden="false" customHeight="false" outlineLevel="0" collapsed="false">
      <c r="B64" s="115" t="n">
        <v>60</v>
      </c>
      <c r="C64" s="115" t="s">
        <v>3422</v>
      </c>
      <c r="D64" s="115" t="s">
        <v>3616</v>
      </c>
      <c r="E64" s="115" t="s">
        <v>3617</v>
      </c>
      <c r="F64" s="115" t="s">
        <v>3618</v>
      </c>
      <c r="G64" s="115" t="s">
        <v>3619</v>
      </c>
      <c r="H64" s="116" t="s">
        <v>3367</v>
      </c>
    </row>
    <row r="65" customFormat="false" ht="28.35" hidden="false" customHeight="false" outlineLevel="0" collapsed="false">
      <c r="B65" s="115" t="n">
        <v>61</v>
      </c>
      <c r="C65" s="115" t="s">
        <v>3428</v>
      </c>
      <c r="D65" s="115" t="s">
        <v>3620</v>
      </c>
      <c r="E65" s="115" t="s">
        <v>3621</v>
      </c>
      <c r="F65" s="115" t="s">
        <v>3622</v>
      </c>
      <c r="G65" s="115" t="s">
        <v>3623</v>
      </c>
      <c r="H65" s="116" t="s">
        <v>3367</v>
      </c>
    </row>
    <row r="66" customFormat="false" ht="15" hidden="false" customHeight="false" outlineLevel="0" collapsed="false">
      <c r="B66" s="115" t="n">
        <v>62</v>
      </c>
      <c r="C66" s="115" t="s">
        <v>3604</v>
      </c>
      <c r="D66" s="115" t="s">
        <v>3624</v>
      </c>
      <c r="E66" s="115" t="s">
        <v>3625</v>
      </c>
      <c r="F66" s="115" t="s">
        <v>3626</v>
      </c>
      <c r="G66" s="115" t="s">
        <v>3627</v>
      </c>
      <c r="H66" s="116" t="s">
        <v>3367</v>
      </c>
    </row>
    <row r="67" customFormat="false" ht="15" hidden="false" customHeight="false" outlineLevel="0" collapsed="false">
      <c r="B67" s="115" t="n">
        <v>63</v>
      </c>
      <c r="C67" s="115" t="s">
        <v>3628</v>
      </c>
      <c r="D67" s="115" t="s">
        <v>3629</v>
      </c>
      <c r="E67" s="115" t="s">
        <v>3630</v>
      </c>
      <c r="F67" s="115" t="s">
        <v>3631</v>
      </c>
      <c r="G67" s="115" t="s">
        <v>3632</v>
      </c>
      <c r="H67" s="116" t="s">
        <v>3367</v>
      </c>
    </row>
    <row r="68" customFormat="false" ht="28.35" hidden="false" customHeight="false" outlineLevel="0" collapsed="false">
      <c r="B68" s="115" t="n">
        <v>64</v>
      </c>
      <c r="C68" s="115" t="s">
        <v>3628</v>
      </c>
      <c r="D68" s="115" t="s">
        <v>3633</v>
      </c>
      <c r="E68" s="115" t="s">
        <v>3634</v>
      </c>
      <c r="F68" s="115" t="s">
        <v>3635</v>
      </c>
      <c r="G68" s="115" t="s">
        <v>3406</v>
      </c>
      <c r="H68" s="117" t="s">
        <v>3636</v>
      </c>
    </row>
    <row r="69" customFormat="false" ht="28.35" hidden="false" customHeight="false" outlineLevel="0" collapsed="false">
      <c r="B69" s="115" t="n">
        <v>65</v>
      </c>
      <c r="C69" s="115" t="s">
        <v>3628</v>
      </c>
      <c r="D69" s="115" t="s">
        <v>3637</v>
      </c>
      <c r="E69" s="115" t="s">
        <v>3638</v>
      </c>
      <c r="F69" s="115" t="s">
        <v>3639</v>
      </c>
      <c r="G69" s="115" t="s">
        <v>3406</v>
      </c>
      <c r="H69" s="117" t="s">
        <v>3640</v>
      </c>
    </row>
    <row r="70" customFormat="false" ht="55.2" hidden="false" customHeight="false" outlineLevel="0" collapsed="false">
      <c r="B70" s="115" t="n">
        <v>66</v>
      </c>
      <c r="C70" s="115" t="s">
        <v>3641</v>
      </c>
      <c r="D70" s="115" t="s">
        <v>3642</v>
      </c>
      <c r="E70" s="115" t="s">
        <v>3643</v>
      </c>
      <c r="F70" s="115" t="s">
        <v>3644</v>
      </c>
      <c r="G70" s="115" t="s">
        <v>3406</v>
      </c>
      <c r="H70" s="116" t="s">
        <v>3645</v>
      </c>
    </row>
    <row r="71" customFormat="false" ht="28.35" hidden="false" customHeight="false" outlineLevel="0" collapsed="false">
      <c r="B71" s="115" t="n">
        <v>67</v>
      </c>
      <c r="C71" s="115" t="s">
        <v>3646</v>
      </c>
      <c r="D71" s="115" t="s">
        <v>3647</v>
      </c>
      <c r="E71" s="115" t="s">
        <v>3548</v>
      </c>
      <c r="F71" s="115" t="s">
        <v>3648</v>
      </c>
      <c r="G71" s="115" t="s">
        <v>3406</v>
      </c>
      <c r="H71" s="116" t="s">
        <v>3649</v>
      </c>
    </row>
    <row r="72" customFormat="false" ht="41.75" hidden="false" customHeight="false" outlineLevel="0" collapsed="false">
      <c r="B72" s="115" t="n">
        <v>68</v>
      </c>
      <c r="C72" s="115" t="s">
        <v>3481</v>
      </c>
      <c r="D72" s="115" t="s">
        <v>3650</v>
      </c>
      <c r="E72" s="115" t="s">
        <v>3460</v>
      </c>
      <c r="F72" s="115" t="s">
        <v>3651</v>
      </c>
      <c r="G72" s="115" t="s">
        <v>3652</v>
      </c>
      <c r="H72" s="118" t="s">
        <v>3653</v>
      </c>
    </row>
    <row r="73" customFormat="false" ht="15" hidden="false" customHeight="false" outlineLevel="0" collapsed="false">
      <c r="B73" s="115" t="n">
        <v>69</v>
      </c>
      <c r="C73" s="115" t="s">
        <v>3654</v>
      </c>
      <c r="D73" s="115" t="s">
        <v>3655</v>
      </c>
      <c r="E73" s="115" t="s">
        <v>3400</v>
      </c>
      <c r="F73" s="115" t="s">
        <v>3656</v>
      </c>
      <c r="G73" s="115" t="s">
        <v>3402</v>
      </c>
      <c r="H73" s="116" t="s">
        <v>3367</v>
      </c>
    </row>
    <row r="74" customFormat="false" ht="55.2" hidden="false" customHeight="false" outlineLevel="0" collapsed="false">
      <c r="B74" s="115" t="n">
        <v>70</v>
      </c>
      <c r="C74" s="115" t="s">
        <v>3654</v>
      </c>
      <c r="D74" s="115" t="s">
        <v>3657</v>
      </c>
      <c r="E74" s="115" t="s">
        <v>3658</v>
      </c>
      <c r="F74" s="115" t="s">
        <v>3659</v>
      </c>
      <c r="G74" s="115" t="s">
        <v>3660</v>
      </c>
      <c r="H74" s="116" t="s">
        <v>3661</v>
      </c>
    </row>
    <row r="75" customFormat="false" ht="28.35" hidden="false" customHeight="false" outlineLevel="0" collapsed="false">
      <c r="B75" s="115" t="n">
        <v>71</v>
      </c>
      <c r="C75" s="115" t="s">
        <v>3662</v>
      </c>
      <c r="D75" s="115" t="s">
        <v>3663</v>
      </c>
      <c r="E75" s="115" t="s">
        <v>3664</v>
      </c>
      <c r="F75" s="115" t="s">
        <v>3665</v>
      </c>
      <c r="G75" s="115" t="s">
        <v>3666</v>
      </c>
      <c r="H75" s="116" t="s">
        <v>3367</v>
      </c>
    </row>
    <row r="76" customFormat="false" ht="28.35" hidden="false" customHeight="false" outlineLevel="0" collapsed="false">
      <c r="B76" s="115" t="n">
        <v>72</v>
      </c>
      <c r="C76" s="115" t="s">
        <v>3667</v>
      </c>
      <c r="D76" s="115" t="s">
        <v>3668</v>
      </c>
      <c r="E76" s="115" t="s">
        <v>3669</v>
      </c>
      <c r="F76" s="115" t="s">
        <v>3670</v>
      </c>
      <c r="G76" s="115" t="s">
        <v>3671</v>
      </c>
      <c r="H76" s="116" t="s">
        <v>3672</v>
      </c>
    </row>
    <row r="77" customFormat="false" ht="28.35" hidden="false" customHeight="false" outlineLevel="0" collapsed="false">
      <c r="B77" s="115" t="n">
        <v>73</v>
      </c>
      <c r="C77" s="115" t="s">
        <v>3673</v>
      </c>
      <c r="D77" s="115" t="s">
        <v>3674</v>
      </c>
      <c r="E77" s="115" t="s">
        <v>3675</v>
      </c>
      <c r="F77" s="115" t="s">
        <v>3676</v>
      </c>
      <c r="G77" s="115" t="s">
        <v>3677</v>
      </c>
      <c r="H77" s="116" t="s">
        <v>3367</v>
      </c>
    </row>
    <row r="78" customFormat="false" ht="41.75" hidden="false" customHeight="false" outlineLevel="0" collapsed="false">
      <c r="B78" s="115" t="n">
        <v>74</v>
      </c>
      <c r="C78" s="115" t="s">
        <v>3678</v>
      </c>
      <c r="D78" s="115" t="s">
        <v>3679</v>
      </c>
      <c r="E78" s="115" t="s">
        <v>3501</v>
      </c>
      <c r="F78" s="115" t="s">
        <v>3680</v>
      </c>
      <c r="G78" s="115" t="s">
        <v>3681</v>
      </c>
      <c r="H78" s="117" t="s">
        <v>3682</v>
      </c>
    </row>
    <row r="79" customFormat="false" ht="28.35" hidden="false" customHeight="false" outlineLevel="0" collapsed="false">
      <c r="B79" s="115" t="n">
        <v>75</v>
      </c>
      <c r="C79" s="115" t="s">
        <v>3678</v>
      </c>
      <c r="D79" s="115" t="s">
        <v>3683</v>
      </c>
      <c r="E79" s="115" t="s">
        <v>3684</v>
      </c>
      <c r="F79" s="115" t="s">
        <v>3685</v>
      </c>
      <c r="G79" s="115" t="s">
        <v>3686</v>
      </c>
      <c r="H79" s="117" t="s">
        <v>3687</v>
      </c>
    </row>
    <row r="80" customFormat="false" ht="28.35" hidden="false" customHeight="false" outlineLevel="0" collapsed="false">
      <c r="B80" s="115" t="n">
        <v>76</v>
      </c>
      <c r="C80" s="115" t="s">
        <v>3688</v>
      </c>
      <c r="D80" s="115" t="s">
        <v>3689</v>
      </c>
      <c r="E80" s="115" t="s">
        <v>3690</v>
      </c>
      <c r="F80" s="115" t="s">
        <v>3691</v>
      </c>
      <c r="G80" s="115" t="s">
        <v>3692</v>
      </c>
      <c r="H80" s="116" t="s">
        <v>3693</v>
      </c>
    </row>
    <row r="81" customFormat="false" ht="28.35" hidden="false" customHeight="false" outlineLevel="0" collapsed="false">
      <c r="B81" s="115" t="n">
        <v>77</v>
      </c>
      <c r="C81" s="115" t="s">
        <v>3694</v>
      </c>
      <c r="D81" s="115" t="s">
        <v>3695</v>
      </c>
      <c r="E81" s="115" t="s">
        <v>3696</v>
      </c>
      <c r="F81" s="115" t="s">
        <v>3697</v>
      </c>
      <c r="G81" s="115" t="s">
        <v>3698</v>
      </c>
      <c r="H81" s="116" t="s">
        <v>3693</v>
      </c>
    </row>
    <row r="82" customFormat="false" ht="28.35" hidden="false" customHeight="false" outlineLevel="0" collapsed="false">
      <c r="B82" s="115" t="n">
        <v>78</v>
      </c>
      <c r="C82" s="115" t="s">
        <v>3699</v>
      </c>
      <c r="D82" s="115" t="s">
        <v>3700</v>
      </c>
      <c r="E82" s="115" t="s">
        <v>3701</v>
      </c>
      <c r="F82" s="115" t="s">
        <v>3702</v>
      </c>
      <c r="G82" s="115" t="s">
        <v>3703</v>
      </c>
      <c r="H82" s="116" t="s">
        <v>3693</v>
      </c>
    </row>
    <row r="83" customFormat="false" ht="28.35" hidden="false" customHeight="false" outlineLevel="0" collapsed="false">
      <c r="B83" s="115" t="n">
        <v>79</v>
      </c>
      <c r="C83" s="115" t="s">
        <v>3704</v>
      </c>
      <c r="D83" s="115" t="s">
        <v>3705</v>
      </c>
      <c r="E83" s="115" t="s">
        <v>3706</v>
      </c>
      <c r="F83" s="115" t="s">
        <v>3707</v>
      </c>
      <c r="G83" s="115" t="s">
        <v>3708</v>
      </c>
      <c r="H83" s="116" t="s">
        <v>3693</v>
      </c>
    </row>
    <row r="84" customFormat="false" ht="28.35" hidden="false" customHeight="false" outlineLevel="0" collapsed="false">
      <c r="B84" s="115" t="n">
        <v>80</v>
      </c>
      <c r="C84" s="115" t="s">
        <v>3709</v>
      </c>
      <c r="D84" s="115" t="s">
        <v>3710</v>
      </c>
      <c r="E84" s="115" t="s">
        <v>3711</v>
      </c>
      <c r="F84" s="115" t="s">
        <v>3712</v>
      </c>
      <c r="G84" s="115" t="s">
        <v>3713</v>
      </c>
      <c r="H84" s="116" t="s">
        <v>3693</v>
      </c>
    </row>
    <row r="85" customFormat="false" ht="28.35" hidden="false" customHeight="false" outlineLevel="0" collapsed="false">
      <c r="B85" s="115" t="n">
        <v>81</v>
      </c>
      <c r="C85" s="115" t="s">
        <v>3714</v>
      </c>
      <c r="D85" s="115" t="s">
        <v>3715</v>
      </c>
      <c r="E85" s="115" t="s">
        <v>3716</v>
      </c>
      <c r="F85" s="115" t="s">
        <v>3717</v>
      </c>
      <c r="G85" s="115" t="s">
        <v>3718</v>
      </c>
      <c r="H85" s="116" t="s">
        <v>3693</v>
      </c>
    </row>
    <row r="86" customFormat="false" ht="28.35" hidden="false" customHeight="false" outlineLevel="0" collapsed="false">
      <c r="B86" s="115" t="n">
        <v>82</v>
      </c>
      <c r="C86" s="115" t="s">
        <v>3719</v>
      </c>
      <c r="D86" s="115" t="s">
        <v>3720</v>
      </c>
      <c r="E86" s="115" t="s">
        <v>3721</v>
      </c>
      <c r="F86" s="115" t="s">
        <v>3722</v>
      </c>
      <c r="G86" s="115" t="s">
        <v>3723</v>
      </c>
      <c r="H86" s="116" t="s">
        <v>3693</v>
      </c>
    </row>
    <row r="87" customFormat="false" ht="28.35" hidden="false" customHeight="false" outlineLevel="0" collapsed="false">
      <c r="B87" s="115" t="n">
        <v>83</v>
      </c>
      <c r="C87" s="115" t="s">
        <v>3724</v>
      </c>
      <c r="D87" s="115" t="s">
        <v>3725</v>
      </c>
      <c r="E87" s="115" t="s">
        <v>3726</v>
      </c>
      <c r="F87" s="115" t="s">
        <v>3727</v>
      </c>
      <c r="G87" s="115" t="s">
        <v>3728</v>
      </c>
      <c r="H87" s="116" t="s">
        <v>3693</v>
      </c>
    </row>
    <row r="88" customFormat="false" ht="28.35" hidden="false" customHeight="false" outlineLevel="0" collapsed="false">
      <c r="B88" s="115" t="n">
        <v>84</v>
      </c>
      <c r="C88" s="115" t="s">
        <v>3729</v>
      </c>
      <c r="D88" s="115" t="s">
        <v>3730</v>
      </c>
      <c r="E88" s="115" t="s">
        <v>3731</v>
      </c>
      <c r="F88" s="115" t="s">
        <v>3732</v>
      </c>
      <c r="G88" s="115" t="s">
        <v>3733</v>
      </c>
      <c r="H88" s="116" t="s">
        <v>3693</v>
      </c>
    </row>
    <row r="89" customFormat="false" ht="28.35" hidden="false" customHeight="false" outlineLevel="0" collapsed="false">
      <c r="B89" s="115" t="n">
        <v>85</v>
      </c>
      <c r="C89" s="115" t="s">
        <v>3734</v>
      </c>
      <c r="D89" s="115" t="s">
        <v>3735</v>
      </c>
      <c r="E89" s="115" t="s">
        <v>3736</v>
      </c>
      <c r="F89" s="115" t="s">
        <v>3737</v>
      </c>
      <c r="G89" s="115" t="s">
        <v>3738</v>
      </c>
      <c r="H89" s="116" t="s">
        <v>3693</v>
      </c>
    </row>
    <row r="90" customFormat="false" ht="28.35" hidden="false" customHeight="false" outlineLevel="0" collapsed="false">
      <c r="B90" s="115" t="n">
        <v>86</v>
      </c>
      <c r="C90" s="115" t="s">
        <v>3739</v>
      </c>
      <c r="D90" s="115" t="s">
        <v>3740</v>
      </c>
      <c r="E90" s="115" t="s">
        <v>3741</v>
      </c>
      <c r="F90" s="115" t="s">
        <v>3742</v>
      </c>
      <c r="G90" s="115" t="s">
        <v>3743</v>
      </c>
      <c r="H90" s="116" t="s">
        <v>3693</v>
      </c>
    </row>
    <row r="91" customFormat="false" ht="28.35" hidden="false" customHeight="false" outlineLevel="0" collapsed="false">
      <c r="B91" s="115" t="n">
        <v>87</v>
      </c>
      <c r="C91" s="115" t="s">
        <v>3744</v>
      </c>
      <c r="D91" s="115" t="s">
        <v>3745</v>
      </c>
      <c r="E91" s="115" t="s">
        <v>3746</v>
      </c>
      <c r="F91" s="115" t="s">
        <v>3747</v>
      </c>
      <c r="G91" s="115" t="s">
        <v>3748</v>
      </c>
      <c r="H91" s="116" t="s">
        <v>3693</v>
      </c>
    </row>
    <row r="92" customFormat="false" ht="28.35" hidden="false" customHeight="false" outlineLevel="0" collapsed="false">
      <c r="B92" s="115" t="n">
        <v>88</v>
      </c>
      <c r="C92" s="115" t="s">
        <v>3749</v>
      </c>
      <c r="D92" s="115" t="s">
        <v>3750</v>
      </c>
      <c r="E92" s="115" t="s">
        <v>3751</v>
      </c>
      <c r="F92" s="115" t="s">
        <v>3752</v>
      </c>
      <c r="G92" s="115" t="s">
        <v>3753</v>
      </c>
      <c r="H92" s="116" t="s">
        <v>3693</v>
      </c>
    </row>
    <row r="93" customFormat="false" ht="28.35" hidden="false" customHeight="false" outlineLevel="0" collapsed="false">
      <c r="B93" s="115" t="n">
        <v>89</v>
      </c>
      <c r="C93" s="115" t="s">
        <v>3754</v>
      </c>
      <c r="D93" s="115" t="s">
        <v>3755</v>
      </c>
      <c r="E93" s="115" t="s">
        <v>3756</v>
      </c>
      <c r="F93" s="115" t="s">
        <v>3757</v>
      </c>
      <c r="G93" s="115" t="s">
        <v>3758</v>
      </c>
      <c r="H93" s="116" t="s">
        <v>3693</v>
      </c>
    </row>
    <row r="94" customFormat="false" ht="28.35" hidden="false" customHeight="false" outlineLevel="0" collapsed="false">
      <c r="B94" s="115" t="n">
        <v>90</v>
      </c>
      <c r="C94" s="115" t="s">
        <v>3759</v>
      </c>
      <c r="D94" s="115" t="s">
        <v>3760</v>
      </c>
      <c r="E94" s="115" t="s">
        <v>3761</v>
      </c>
      <c r="F94" s="115" t="s">
        <v>3762</v>
      </c>
      <c r="G94" s="115" t="s">
        <v>3763</v>
      </c>
      <c r="H94" s="116" t="s">
        <v>3693</v>
      </c>
    </row>
    <row r="95" customFormat="false" ht="28.35" hidden="false" customHeight="false" outlineLevel="0" collapsed="false">
      <c r="B95" s="115" t="n">
        <v>91</v>
      </c>
      <c r="C95" s="115" t="s">
        <v>3764</v>
      </c>
      <c r="D95" s="115" t="s">
        <v>3765</v>
      </c>
      <c r="E95" s="115" t="s">
        <v>3766</v>
      </c>
      <c r="F95" s="115" t="s">
        <v>3767</v>
      </c>
      <c r="G95" s="115" t="s">
        <v>3768</v>
      </c>
      <c r="H95" s="116" t="s">
        <v>3693</v>
      </c>
    </row>
    <row r="96" customFormat="false" ht="28.35" hidden="false" customHeight="false" outlineLevel="0" collapsed="false">
      <c r="B96" s="115" t="n">
        <v>92</v>
      </c>
      <c r="C96" s="115" t="s">
        <v>3769</v>
      </c>
      <c r="D96" s="115" t="s">
        <v>3770</v>
      </c>
      <c r="E96" s="115" t="s">
        <v>3771</v>
      </c>
      <c r="F96" s="115" t="s">
        <v>3772</v>
      </c>
      <c r="G96" s="115" t="s">
        <v>3773</v>
      </c>
      <c r="H96" s="116" t="s">
        <v>3693</v>
      </c>
    </row>
    <row r="97" customFormat="false" ht="28.35" hidden="false" customHeight="false" outlineLevel="0" collapsed="false">
      <c r="B97" s="115" t="n">
        <v>93</v>
      </c>
      <c r="C97" s="115" t="s">
        <v>3774</v>
      </c>
      <c r="D97" s="115" t="s">
        <v>3775</v>
      </c>
      <c r="E97" s="115" t="s">
        <v>3776</v>
      </c>
      <c r="F97" s="115" t="s">
        <v>3777</v>
      </c>
      <c r="G97" s="115" t="s">
        <v>3778</v>
      </c>
      <c r="H97" s="116" t="s">
        <v>3693</v>
      </c>
    </row>
    <row r="98" customFormat="false" ht="28.35" hidden="false" customHeight="false" outlineLevel="0" collapsed="false">
      <c r="B98" s="115" t="n">
        <v>94</v>
      </c>
      <c r="C98" s="115" t="s">
        <v>3779</v>
      </c>
      <c r="D98" s="115" t="s">
        <v>3780</v>
      </c>
      <c r="E98" s="115" t="s">
        <v>3781</v>
      </c>
      <c r="F98" s="115" t="s">
        <v>3782</v>
      </c>
      <c r="G98" s="115" t="s">
        <v>3783</v>
      </c>
      <c r="H98" s="116" t="s">
        <v>3693</v>
      </c>
    </row>
    <row r="99" customFormat="false" ht="28.35" hidden="false" customHeight="false" outlineLevel="0" collapsed="false">
      <c r="B99" s="115" t="n">
        <v>95</v>
      </c>
      <c r="C99" s="115" t="s">
        <v>3784</v>
      </c>
      <c r="D99" s="115" t="s">
        <v>3785</v>
      </c>
      <c r="E99" s="115" t="s">
        <v>3786</v>
      </c>
      <c r="F99" s="115" t="s">
        <v>3787</v>
      </c>
      <c r="G99" s="115" t="s">
        <v>3788</v>
      </c>
      <c r="H99" s="116" t="s">
        <v>3693</v>
      </c>
    </row>
    <row r="100" customFormat="false" ht="28.35" hidden="false" customHeight="false" outlineLevel="0" collapsed="false">
      <c r="B100" s="115" t="n">
        <v>96</v>
      </c>
      <c r="C100" s="115" t="s">
        <v>3789</v>
      </c>
      <c r="D100" s="115" t="s">
        <v>3790</v>
      </c>
      <c r="E100" s="115" t="s">
        <v>3791</v>
      </c>
      <c r="F100" s="115" t="s">
        <v>3792</v>
      </c>
      <c r="G100" s="115" t="s">
        <v>3793</v>
      </c>
      <c r="H100" s="116" t="s">
        <v>3693</v>
      </c>
    </row>
    <row r="101" customFormat="false" ht="28.35" hidden="false" customHeight="false" outlineLevel="0" collapsed="false">
      <c r="B101" s="115" t="n">
        <v>97</v>
      </c>
      <c r="C101" s="115" t="s">
        <v>3794</v>
      </c>
      <c r="D101" s="115" t="s">
        <v>3795</v>
      </c>
      <c r="E101" s="115" t="s">
        <v>3796</v>
      </c>
      <c r="F101" s="115" t="s">
        <v>3797</v>
      </c>
      <c r="G101" s="115" t="s">
        <v>3798</v>
      </c>
      <c r="H101" s="116" t="s">
        <v>3693</v>
      </c>
    </row>
    <row r="102" customFormat="false" ht="28.35" hidden="false" customHeight="false" outlineLevel="0" collapsed="false">
      <c r="B102" s="115" t="n">
        <v>98</v>
      </c>
      <c r="C102" s="115" t="s">
        <v>3799</v>
      </c>
      <c r="D102" s="115" t="s">
        <v>3800</v>
      </c>
      <c r="E102" s="115" t="s">
        <v>3801</v>
      </c>
      <c r="F102" s="115" t="s">
        <v>3802</v>
      </c>
      <c r="G102" s="115" t="s">
        <v>3803</v>
      </c>
      <c r="H102" s="116" t="s">
        <v>3693</v>
      </c>
    </row>
    <row r="103" customFormat="false" ht="28.35" hidden="false" customHeight="false" outlineLevel="0" collapsed="false">
      <c r="B103" s="115" t="n">
        <v>99</v>
      </c>
      <c r="C103" s="115" t="s">
        <v>3804</v>
      </c>
      <c r="D103" s="115" t="s">
        <v>3805</v>
      </c>
      <c r="E103" s="115" t="s">
        <v>3806</v>
      </c>
      <c r="F103" s="115" t="s">
        <v>3807</v>
      </c>
      <c r="G103" s="115" t="s">
        <v>3808</v>
      </c>
      <c r="H103" s="116" t="s">
        <v>3693</v>
      </c>
    </row>
    <row r="104" customFormat="false" ht="28.35" hidden="false" customHeight="false" outlineLevel="0" collapsed="false">
      <c r="B104" s="115" t="n">
        <v>100</v>
      </c>
      <c r="C104" s="115" t="s">
        <v>3809</v>
      </c>
      <c r="D104" s="115" t="s">
        <v>3810</v>
      </c>
      <c r="E104" s="115" t="s">
        <v>3811</v>
      </c>
      <c r="F104" s="115" t="s">
        <v>3812</v>
      </c>
      <c r="G104" s="115" t="s">
        <v>3813</v>
      </c>
      <c r="H104" s="116" t="s">
        <v>3693</v>
      </c>
    </row>
    <row r="105" customFormat="false" ht="28.35" hidden="false" customHeight="false" outlineLevel="0" collapsed="false">
      <c r="B105" s="115" t="n">
        <v>101</v>
      </c>
      <c r="C105" s="115" t="s">
        <v>3814</v>
      </c>
      <c r="D105" s="115" t="s">
        <v>3815</v>
      </c>
      <c r="E105" s="115" t="s">
        <v>3816</v>
      </c>
      <c r="F105" s="115" t="s">
        <v>3817</v>
      </c>
      <c r="G105" s="115" t="s">
        <v>3818</v>
      </c>
      <c r="H105" s="116" t="s">
        <v>3693</v>
      </c>
    </row>
    <row r="106" customFormat="false" ht="28.35" hidden="false" customHeight="false" outlineLevel="0" collapsed="false">
      <c r="B106" s="115" t="n">
        <v>102</v>
      </c>
      <c r="C106" s="115" t="s">
        <v>3819</v>
      </c>
      <c r="D106" s="115" t="s">
        <v>3820</v>
      </c>
      <c r="E106" s="115" t="s">
        <v>3821</v>
      </c>
      <c r="F106" s="115" t="s">
        <v>3822</v>
      </c>
      <c r="G106" s="115" t="s">
        <v>3823</v>
      </c>
      <c r="H106" s="116" t="s">
        <v>3693</v>
      </c>
    </row>
    <row r="107" customFormat="false" ht="28.35" hidden="false" customHeight="false" outlineLevel="0" collapsed="false">
      <c r="B107" s="115" t="n">
        <v>103</v>
      </c>
      <c r="C107" s="115" t="s">
        <v>3824</v>
      </c>
      <c r="D107" s="115" t="s">
        <v>3825</v>
      </c>
      <c r="E107" s="115" t="s">
        <v>3826</v>
      </c>
      <c r="F107" s="115" t="s">
        <v>3827</v>
      </c>
      <c r="G107" s="115" t="s">
        <v>3828</v>
      </c>
      <c r="H107" s="116" t="s">
        <v>3693</v>
      </c>
    </row>
    <row r="109" customFormat="false" ht="15" hidden="false" customHeight="false" outlineLevel="0" collapsed="false">
      <c r="B109" s="111" t="s">
        <v>3829</v>
      </c>
    </row>
    <row r="110" customFormat="false" ht="15" hidden="false" customHeight="false" outlineLevel="0" collapsed="false">
      <c r="C110" s="1" t="s">
        <v>3830</v>
      </c>
      <c r="D110" s="1" t="n">
        <f aca="false">COUNTA(C5:C107)</f>
        <v>103</v>
      </c>
    </row>
    <row r="111" customFormat="false" ht="15" hidden="false" customHeight="false" outlineLevel="0" collapsed="false">
      <c r="C111" s="1" t="s">
        <v>3367</v>
      </c>
      <c r="D111" s="1" t="n">
        <f aca="false">COUNTIF(H5:H107,"Matched in test*")-COUNTIF(H5:H107,"Matched in test when*")</f>
        <v>90</v>
      </c>
    </row>
    <row r="112" customFormat="false" ht="15" hidden="false" customHeight="false" outlineLevel="0" collapsed="false">
      <c r="C112" s="1" t="s">
        <v>3831</v>
      </c>
      <c r="D112" s="1" t="n">
        <f aca="false">COUNTIF(H5:H107,"Matched in test when*")+COUNTIF(H5:H107,"Figures*")+COUNTIF(H5:H107,"Values*")+COUNTIF(H5:H107,"Partly*")</f>
        <v>5</v>
      </c>
    </row>
    <row r="113" customFormat="false" ht="15" hidden="false" customHeight="false" outlineLevel="0" collapsed="false">
      <c r="C113" s="1" t="s">
        <v>3832</v>
      </c>
      <c r="D113" s="1" t="n">
        <f aca="false">D110-D111-D112</f>
        <v>8</v>
      </c>
    </row>
  </sheetData>
  <autoFilter ref="B4:H107"/>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3833</v>
      </c>
    </row>
    <row r="2" customFormat="false" ht="15" hidden="false" customHeight="true" outlineLevel="0" collapsed="false">
      <c r="B2" s="119" t="s">
        <v>3834</v>
      </c>
    </row>
    <row r="4" customFormat="false" ht="15" hidden="false" customHeight="true" outlineLevel="0" collapsed="false">
      <c r="B4" s="15" t="s">
        <v>220</v>
      </c>
      <c r="C4" s="16"/>
      <c r="D4" s="16"/>
      <c r="E4" s="16"/>
      <c r="F4" s="28" t="s">
        <v>3835</v>
      </c>
      <c r="G4" s="28" t="s">
        <v>3836</v>
      </c>
    </row>
    <row r="5" customFormat="false" ht="15" hidden="false" customHeight="true" outlineLevel="0" collapsed="false">
      <c r="B5" s="9" t="s">
        <v>3837</v>
      </c>
      <c r="C5" s="35"/>
      <c r="E5" s="3" t="s">
        <v>3838</v>
      </c>
      <c r="F5" s="36" t="s">
        <v>3839</v>
      </c>
      <c r="G5" s="37" t="str">
        <f aca="false">IF(ISBLANK(C5),IF(Fill_Example="Yes",F5,""),C5)</f>
        <v/>
      </c>
    </row>
    <row r="6" customFormat="false" ht="15" hidden="false" customHeight="true" outlineLevel="0" collapsed="false">
      <c r="B6" s="9" t="s">
        <v>3840</v>
      </c>
      <c r="C6" s="30"/>
      <c r="E6" s="3" t="s">
        <v>3841</v>
      </c>
      <c r="F6" s="33" t="n">
        <v>60000</v>
      </c>
      <c r="G6" s="34" t="str">
        <f aca="false">IF(ISBLANK(C6),IF(Fill_Example="Yes",F6,""),C6)</f>
        <v/>
      </c>
    </row>
    <row r="7" customFormat="false" ht="15" hidden="false" customHeight="true" outlineLevel="0" collapsed="false">
      <c r="B7" s="9" t="s">
        <v>3842</v>
      </c>
      <c r="C7" s="30"/>
      <c r="E7" s="3" t="s">
        <v>3843</v>
      </c>
      <c r="F7" s="33" t="n">
        <v>0</v>
      </c>
      <c r="G7" s="34" t="n">
        <f aca="false">IF(ISBLANK(C7),F7,C7)</f>
        <v>0</v>
      </c>
    </row>
    <row r="8" customFormat="false" ht="15" hidden="false" customHeight="true" outlineLevel="0" collapsed="false">
      <c r="B8" s="9" t="s">
        <v>3844</v>
      </c>
      <c r="C8" s="35"/>
      <c r="E8" s="3" t="s">
        <v>3845</v>
      </c>
      <c r="F8" s="36" t="s">
        <v>3</v>
      </c>
      <c r="G8" s="37" t="str">
        <f aca="false">IF(ISBLANK(C8),IF(Fill_Example="Yes",F8,""),C8)</f>
        <v/>
      </c>
    </row>
    <row r="9" customFormat="false" ht="15" hidden="false" customHeight="true" outlineLevel="0" collapsed="false">
      <c r="B9" s="9" t="s">
        <v>3846</v>
      </c>
      <c r="C9" s="35"/>
      <c r="E9" s="3" t="s">
        <v>3847</v>
      </c>
      <c r="F9" s="36" t="s">
        <v>3</v>
      </c>
      <c r="G9" s="37" t="str">
        <f aca="false">IF(ISBLANK(C9),IF(Fill_Example="Yes",F9,""),C9)</f>
        <v/>
      </c>
    </row>
    <row r="10" customFormat="false" ht="15" hidden="false" customHeight="true" outlineLevel="0" collapsed="false">
      <c r="B10" s="9" t="s">
        <v>3848</v>
      </c>
      <c r="C10" s="35"/>
      <c r="E10" s="3" t="s">
        <v>3849</v>
      </c>
      <c r="F10" s="36" t="s">
        <v>3850</v>
      </c>
      <c r="G10" s="37" t="str">
        <f aca="false">IF(ISBLANK(C10),F10,C10)</f>
        <v>From 1 Oct 2026</v>
      </c>
    </row>
    <row r="12" customFormat="false" ht="15" hidden="false" customHeight="true" outlineLevel="0" collapsed="false">
      <c r="B12" s="15" t="s">
        <v>3851</v>
      </c>
      <c r="C12" s="16"/>
      <c r="D12" s="16"/>
      <c r="E12" s="16"/>
    </row>
    <row r="13" customFormat="false" ht="15" hidden="false" customHeight="true" outlineLevel="0" collapsed="false">
      <c r="B13" s="9" t="s">
        <v>3852</v>
      </c>
      <c r="C13" s="120" t="n">
        <f aca="false">IF(TE_PRSI_Basis="Calendar 2026 blend",PRSI_Rate_2026_Blend,PRSI_Rate)</f>
        <v>0.0435</v>
      </c>
      <c r="E13" s="121" t="s">
        <v>3853</v>
      </c>
    </row>
    <row r="14" customFormat="false" ht="15" hidden="false" customHeight="true" outlineLevel="0" collapsed="false">
      <c r="B14" s="9" t="s">
        <v>3854</v>
      </c>
      <c r="C14" s="122" t="str">
        <f aca="false">IF(TE_Need&lt;&gt;"",TE_Need,IF(TE_Status="Married two earners",TE_Gross_2,0))</f>
        <v>Choose your tax status to see this</v>
      </c>
      <c r="E14" s="121" t="s">
        <v>3855</v>
      </c>
    </row>
    <row r="15" customFormat="false" ht="30" hidden="false" customHeight="true" outlineLevel="0" collapsed="false">
      <c r="B15" s="9" t="s">
        <v>3856</v>
      </c>
      <c r="C15" s="122" t="str">
        <f aca="false">IF(TE_Need&lt;&gt;"",TE_Need,IF(TE_Status="Single",Band_Single,IF(TE_Status="Single parent",Band_Single_Parent,IF(TE_Status="Married one earner",Band_Married,Band_Married+MIN(MIN(TE_Gross_1,TE_Gross_2),Band_Second_Earner_Max)))))</f>
        <v>Choose your tax status to see this</v>
      </c>
      <c r="E15" s="121" t="s">
        <v>3857</v>
      </c>
    </row>
    <row r="16" customFormat="false" ht="15" hidden="false" customHeight="true" outlineLevel="0" collapsed="false">
      <c r="B16" s="9" t="s">
        <v>3858</v>
      </c>
      <c r="C16" s="122" t="str">
        <f aca="false">IF(TE_Need&lt;&gt;"",TE_Need,TE_Gross_1+TE_Earner_2)</f>
        <v>Choose your tax status to see this</v>
      </c>
      <c r="E16" s="121" t="s">
        <v>3859</v>
      </c>
    </row>
    <row r="17" customFormat="false" ht="15" hidden="false" customHeight="true" outlineLevel="0" collapsed="false">
      <c r="B17" s="9" t="s">
        <v>3860</v>
      </c>
      <c r="C17" s="123" t="str">
        <f aca="false">IF(TE_Need&lt;&gt;"",TE_Need,Rate_Standard*MIN(TE_Taxable,TE_Band)+Rate_Higher*MAX(0,TE_Taxable-TE_Band))</f>
        <v>Choose your tax status to see this</v>
      </c>
      <c r="E17" s="121" t="s">
        <v>3861</v>
      </c>
    </row>
    <row r="18" customFormat="false" ht="30" hidden="false" customHeight="true" outlineLevel="0" collapsed="false">
      <c r="B18" s="9" t="s">
        <v>3862</v>
      </c>
      <c r="C18" s="123"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1" t="s">
        <v>3863</v>
      </c>
    </row>
    <row r="19" customFormat="false" ht="15" hidden="false" customHeight="true" outlineLevel="0" collapsed="false">
      <c r="B19" s="12" t="s">
        <v>3864</v>
      </c>
      <c r="C19" s="124" t="str">
        <f aca="false">IF(TE_Need&lt;&gt;"",TE_Need,MAX(0,TE_Tax_Before_Credits-TE_Credits))</f>
        <v>Choose your tax status to see this</v>
      </c>
      <c r="E19" s="121" t="s">
        <v>3865</v>
      </c>
    </row>
    <row r="20" customFormat="false" ht="30" hidden="false" customHeight="true" outlineLevel="0" collapsed="false">
      <c r="B20" s="12" t="s">
        <v>3866</v>
      </c>
      <c r="C20" s="124"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1" t="s">
        <v>3867</v>
      </c>
    </row>
    <row r="21" customFormat="false" ht="30" hidden="false" customHeight="true" outlineLevel="0" collapsed="false">
      <c r="B21" s="12" t="s">
        <v>3868</v>
      </c>
      <c r="C21" s="124"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1" t="s">
        <v>3869</v>
      </c>
    </row>
    <row r="22" customFormat="false" ht="15" hidden="false" customHeight="true" outlineLevel="0" collapsed="false">
      <c r="B22" s="12" t="s">
        <v>3870</v>
      </c>
      <c r="C22" s="124" t="str">
        <f aca="false">IF(TE_Need&lt;&gt;"",TE_Need,TE_Taxable-TE_Income_Tax-TE_USC-TE_PRSI)</f>
        <v>Choose your tax status to see this</v>
      </c>
      <c r="E22" s="121" t="s">
        <v>3871</v>
      </c>
    </row>
    <row r="23" customFormat="false" ht="15" hidden="false" customHeight="true" outlineLevel="0" collapsed="false">
      <c r="B23" s="12" t="s">
        <v>3872</v>
      </c>
      <c r="C23" s="124" t="str">
        <f aca="false">IF(TE_Need&lt;&gt;"",TE_Need,TE_Take_Home/12)</f>
        <v>Choose your tax status to see this</v>
      </c>
      <c r="E23" s="121" t="s">
        <v>3873</v>
      </c>
    </row>
    <row r="24" customFormat="false" ht="15" hidden="false" customHeight="true" outlineLevel="0" collapsed="false">
      <c r="B24" s="12" t="s">
        <v>3874</v>
      </c>
      <c r="C24" s="125" t="str">
        <f aca="false">IF(TE_Need&lt;&gt;"",TE_Need,IF(TE_Taxable&gt;TE_Band,Rate_Higher,Rate_Standard))</f>
        <v>Choose your tax status to see this</v>
      </c>
      <c r="E24" s="121" t="s">
        <v>3875</v>
      </c>
    </row>
    <row r="25" customFormat="false" ht="15" hidden="false" customHeight="true" outlineLevel="0" collapsed="false">
      <c r="B25" s="56" t="s">
        <v>3876</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279</v>
      </c>
      <c r="C27" s="16"/>
      <c r="D27" s="16"/>
      <c r="E27" s="16"/>
    </row>
    <row r="28" customFormat="false" ht="15" hidden="false" customHeight="true" outlineLevel="0" collapsed="false">
      <c r="B28" s="126" t="s">
        <v>3877</v>
      </c>
      <c r="C28" s="126"/>
      <c r="D28" s="126"/>
      <c r="E28" s="126"/>
    </row>
    <row r="29" customFormat="false" ht="15" hidden="false" customHeight="true" outlineLevel="0" collapsed="false">
      <c r="B29" s="126" t="s">
        <v>3878</v>
      </c>
      <c r="C29" s="126"/>
      <c r="D29" s="126"/>
      <c r="E29" s="126"/>
    </row>
    <row r="30" customFormat="false" ht="15" hidden="false" customHeight="true" outlineLevel="0" collapsed="false">
      <c r="B30" s="126" t="s">
        <v>3879</v>
      </c>
      <c r="C30" s="126"/>
      <c r="D30" s="126"/>
      <c r="E30" s="126"/>
    </row>
    <row r="31" customFormat="false" ht="15" hidden="false" customHeight="true" outlineLevel="0" collapsed="false">
      <c r="B31" s="126" t="s">
        <v>3880</v>
      </c>
      <c r="C31" s="126"/>
      <c r="D31" s="126"/>
      <c r="E31" s="126"/>
    </row>
    <row r="33" customFormat="false" ht="15" hidden="false" customHeight="true" outlineLevel="0" collapsed="false">
      <c r="B33" s="15" t="s">
        <v>3881</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7" t="s">
        <v>3882</v>
      </c>
      <c r="C34" s="127" t="s">
        <v>3883</v>
      </c>
      <c r="D34" s="127" t="s">
        <v>100</v>
      </c>
      <c r="E34" s="127" t="s">
        <v>3884</v>
      </c>
      <c r="F34" s="127" t="s">
        <v>3864</v>
      </c>
      <c r="G34" s="127" t="s">
        <v>3885</v>
      </c>
      <c r="H34" s="127" t="s">
        <v>3886</v>
      </c>
      <c r="I34" s="127" t="s">
        <v>3887</v>
      </c>
      <c r="J34" s="127" t="s">
        <v>3888</v>
      </c>
      <c r="K34" s="127" t="s">
        <v>3889</v>
      </c>
      <c r="L34" s="127" t="s">
        <v>3890</v>
      </c>
      <c r="M34" s="127" t="s">
        <v>3891</v>
      </c>
      <c r="N34" s="127" t="s">
        <v>3892</v>
      </c>
      <c r="O34" s="127" t="s">
        <v>3893</v>
      </c>
      <c r="P34" s="127" t="s">
        <v>3894</v>
      </c>
      <c r="Q34" s="127" t="s">
        <v>247</v>
      </c>
      <c r="R34" s="127"/>
    </row>
    <row r="35" customFormat="false" ht="15" hidden="false" customHeight="true" outlineLevel="0" collapsed="false">
      <c r="B35" s="14" t="s">
        <v>3895</v>
      </c>
      <c r="C35" s="84" t="n">
        <v>25000</v>
      </c>
      <c r="D35" s="14" t="s">
        <v>3839</v>
      </c>
      <c r="E35" s="14" t="s">
        <v>3896</v>
      </c>
      <c r="F35" s="12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28" t="n">
        <f aca="false">IF(C35&lt;=USC_Exempt,0,USC_Rate_1*MIN(C35,USC_Band_1)+USC_Rate_2*MAX(0,MIN(C35,USC_Band_2)-USC_Band_1)+USC_Rate_3*MAX(0,MIN(C35,USC_Band_3)-USC_Band_2)+USC_Rate_4*MAX(0,C35-USC_Band_3))</f>
        <v>319.82</v>
      </c>
      <c r="H35" s="128" t="n">
        <f aca="false">IF(C35/Weeks_Per_Year&lt;=PRSI_Free_Week,0,MAX(0,C35/Weeks_Per_Year*PRSI_Rate-IF(C35/Weeks_Per_Year&lt;=PRSI_Credit_Top,MAX(0,PRSI_Credit_Max-(C35/Weeks_Per_Year-(PRSI_Free_Week+0.01))/PRSI_Credit_Taper),0))*Weeks_Per_Year)</f>
        <v>1087.5</v>
      </c>
      <c r="I35" s="128" t="n">
        <f aca="false">IF(C35/Weeks_Per_Year&lt;=PRSI_Free_Week,0,MAX(0,C35/Weeks_Per_Year*PRSI_Rate_2026_Blend-IF(C35/Weeks_Per_Year&lt;=PRSI_Credit_Top,MAX(0,PRSI_Credit_Max-(C35/Weeks_Per_Year-(PRSI_Free_Week+0.01))/PRSI_Credit_Taper),0))*Weeks_Per_Year)</f>
        <v>1059.375</v>
      </c>
      <c r="J35" s="128" t="n">
        <f aca="false">C35-F35-G35-H35</f>
        <v>22592.68</v>
      </c>
      <c r="K35" s="128" t="n">
        <f aca="false">C35-F35-G35-I35</f>
        <v>22620.805</v>
      </c>
      <c r="L35" s="128" t="n">
        <v>1000</v>
      </c>
      <c r="M35" s="128" t="n">
        <v>319.82</v>
      </c>
      <c r="N35" s="128" t="n">
        <v>22592.68</v>
      </c>
      <c r="O35" s="128" t="n">
        <v>22620.81</v>
      </c>
      <c r="P35" s="128" t="n">
        <f aca="false">MAX(ABS(ROUND(F35,2)-L35),ABS(ROUND(G35,2)-M35),ABS(ROUND(J35,2)-N35),ABS(ROUND(K35,2)-O35))</f>
        <v>0</v>
      </c>
      <c r="Q35" s="20" t="str">
        <f aca="false">IF(P35&lt;0.005,"PASS","FAIL")</f>
        <v>PASS</v>
      </c>
    </row>
    <row r="36" customFormat="false" ht="15" hidden="false" customHeight="true" outlineLevel="0" collapsed="false">
      <c r="B36" s="14" t="s">
        <v>3897</v>
      </c>
      <c r="C36" s="84" t="n">
        <v>25000</v>
      </c>
      <c r="D36" s="14" t="s">
        <v>3898</v>
      </c>
      <c r="E36" s="14" t="s">
        <v>3896</v>
      </c>
      <c r="F36" s="12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28" t="n">
        <f aca="false">IF(C36&lt;=USC_Exempt,0,USC_Rate_1*MIN(C36,USC_Band_1)+USC_Rate_2*MAX(0,MIN(C36,USC_Band_2)-USC_Band_1)+USC_Rate_3*MAX(0,MIN(C36,USC_Band_3)-USC_Band_2)+USC_Rate_4*MAX(0,C36-USC_Band_3))</f>
        <v>319.82</v>
      </c>
      <c r="H36" s="128" t="n">
        <f aca="false">IF(C36/Weeks_Per_Year&lt;=PRSI_Free_Week,0,MAX(0,C36/Weeks_Per_Year*PRSI_Rate-IF(C36/Weeks_Per_Year&lt;=PRSI_Credit_Top,MAX(0,PRSI_Credit_Max-(C36/Weeks_Per_Year-(PRSI_Free_Week+0.01))/PRSI_Credit_Taper),0))*Weeks_Per_Year)</f>
        <v>1087.5</v>
      </c>
      <c r="I36" s="128" t="n">
        <f aca="false">IF(C36/Weeks_Per_Year&lt;=PRSI_Free_Week,0,MAX(0,C36/Weeks_Per_Year*PRSI_Rate_2026_Blend-IF(C36/Weeks_Per_Year&lt;=PRSI_Credit_Top,MAX(0,PRSI_Credit_Max-(C36/Weeks_Per_Year-(PRSI_Free_Week+0.01))/PRSI_Credit_Taper),0))*Weeks_Per_Year)</f>
        <v>1059.375</v>
      </c>
      <c r="J36" s="128" t="n">
        <f aca="false">C36-F36-G36-H36</f>
        <v>23592.68</v>
      </c>
      <c r="K36" s="128" t="n">
        <f aca="false">C36-F36-G36-I36</f>
        <v>23620.805</v>
      </c>
      <c r="L36" s="128" t="n">
        <v>0</v>
      </c>
      <c r="M36" s="128" t="n">
        <v>319.82</v>
      </c>
      <c r="N36" s="128" t="n">
        <v>23592.68</v>
      </c>
      <c r="O36" s="128" t="n">
        <v>23620.81</v>
      </c>
      <c r="P36" s="128" t="n">
        <f aca="false">MAX(ABS(ROUND(F36,2)-L36),ABS(ROUND(G36,2)-M36),ABS(ROUND(J36,2)-N36),ABS(ROUND(K36,2)-O36))</f>
        <v>0</v>
      </c>
      <c r="Q36" s="20" t="str">
        <f aca="false">IF(P36&lt;0.005,"PASS","FAIL")</f>
        <v>PASS</v>
      </c>
    </row>
    <row r="37" customFormat="false" ht="15" hidden="false" customHeight="true" outlineLevel="0" collapsed="false">
      <c r="B37" s="14" t="s">
        <v>3899</v>
      </c>
      <c r="C37" s="84" t="n">
        <v>45000</v>
      </c>
      <c r="D37" s="14" t="s">
        <v>3839</v>
      </c>
      <c r="E37" s="14" t="s">
        <v>3896</v>
      </c>
      <c r="F37" s="12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28" t="n">
        <f aca="false">IF(C37&lt;=USC_Exempt,0,USC_Rate_1*MIN(C37,USC_Band_1)+USC_Rate_2*MAX(0,MIN(C37,USC_Band_2)-USC_Band_1)+USC_Rate_3*MAX(0,MIN(C37,USC_Band_3)-USC_Band_2)+USC_Rate_4*MAX(0,C37-USC_Band_3))</f>
        <v>882.82</v>
      </c>
      <c r="H37" s="128" t="n">
        <f aca="false">IF(C37/Weeks_Per_Year&lt;=PRSI_Free_Week,0,MAX(0,C37/Weeks_Per_Year*PRSI_Rate-IF(C37/Weeks_Per_Year&lt;=PRSI_Credit_Top,MAX(0,PRSI_Credit_Max-(C37/Weeks_Per_Year-(PRSI_Free_Week+0.01))/PRSI_Credit_Taper),0))*Weeks_Per_Year)</f>
        <v>1957.5</v>
      </c>
      <c r="I37" s="128" t="n">
        <f aca="false">IF(C37/Weeks_Per_Year&lt;=PRSI_Free_Week,0,MAX(0,C37/Weeks_Per_Year*PRSI_Rate_2026_Blend-IF(C37/Weeks_Per_Year&lt;=PRSI_Credit_Top,MAX(0,PRSI_Credit_Max-(C37/Weeks_Per_Year-(PRSI_Free_Week+0.01))/PRSI_Credit_Taper),0))*Weeks_Per_Year)</f>
        <v>1906.875</v>
      </c>
      <c r="J37" s="128" t="n">
        <f aca="false">C37-F37-G37-H37</f>
        <v>36959.68</v>
      </c>
      <c r="K37" s="128" t="n">
        <f aca="false">C37-F37-G37-I37</f>
        <v>37010.305</v>
      </c>
      <c r="L37" s="128" t="n">
        <v>5200</v>
      </c>
      <c r="M37" s="128" t="n">
        <v>882.82</v>
      </c>
      <c r="N37" s="128" t="n">
        <v>36959.68</v>
      </c>
      <c r="O37" s="128" t="n">
        <v>37010.31</v>
      </c>
      <c r="P37" s="128" t="n">
        <f aca="false">MAX(ABS(ROUND(F37,2)-L37),ABS(ROUND(G37,2)-M37),ABS(ROUND(J37,2)-N37),ABS(ROUND(K37,2)-O37))</f>
        <v>0</v>
      </c>
      <c r="Q37" s="20" t="str">
        <f aca="false">IF(P37&lt;0.005,"PASS","FAIL")</f>
        <v>PASS</v>
      </c>
    </row>
    <row r="38" customFormat="false" ht="15" hidden="false" customHeight="true" outlineLevel="0" collapsed="false">
      <c r="B38" s="14" t="s">
        <v>3900</v>
      </c>
      <c r="C38" s="84" t="n">
        <v>45000</v>
      </c>
      <c r="D38" s="14" t="s">
        <v>3898</v>
      </c>
      <c r="E38" s="14" t="s">
        <v>3896</v>
      </c>
      <c r="F38" s="12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28" t="n">
        <f aca="false">IF(C38&lt;=USC_Exempt,0,USC_Rate_1*MIN(C38,USC_Band_1)+USC_Rate_2*MAX(0,MIN(C38,USC_Band_2)-USC_Band_1)+USC_Rate_3*MAX(0,MIN(C38,USC_Band_3)-USC_Band_2)+USC_Rate_4*MAX(0,C38-USC_Band_3))</f>
        <v>882.82</v>
      </c>
      <c r="H38" s="128" t="n">
        <f aca="false">IF(C38/Weeks_Per_Year&lt;=PRSI_Free_Week,0,MAX(0,C38/Weeks_Per_Year*PRSI_Rate-IF(C38/Weeks_Per_Year&lt;=PRSI_Credit_Top,MAX(0,PRSI_Credit_Max-(C38/Weeks_Per_Year-(PRSI_Free_Week+0.01))/PRSI_Credit_Taper),0))*Weeks_Per_Year)</f>
        <v>1957.5</v>
      </c>
      <c r="I38" s="128" t="n">
        <f aca="false">IF(C38/Weeks_Per_Year&lt;=PRSI_Free_Week,0,MAX(0,C38/Weeks_Per_Year*PRSI_Rate_2026_Blend-IF(C38/Weeks_Per_Year&lt;=PRSI_Credit_Top,MAX(0,PRSI_Credit_Max-(C38/Weeks_Per_Year-(PRSI_Free_Week+0.01))/PRSI_Credit_Taper),0))*Weeks_Per_Year)</f>
        <v>1906.875</v>
      </c>
      <c r="J38" s="128" t="n">
        <f aca="false">C38-F38-G38-H38</f>
        <v>39159.68</v>
      </c>
      <c r="K38" s="128" t="n">
        <f aca="false">C38-F38-G38-I38</f>
        <v>39210.305</v>
      </c>
      <c r="L38" s="128" t="n">
        <v>3000</v>
      </c>
      <c r="M38" s="128" t="n">
        <v>882.82</v>
      </c>
      <c r="N38" s="128" t="n">
        <v>39159.68</v>
      </c>
      <c r="O38" s="128" t="n">
        <v>39210.31</v>
      </c>
      <c r="P38" s="128" t="n">
        <f aca="false">MAX(ABS(ROUND(F38,2)-L38),ABS(ROUND(G38,2)-M38),ABS(ROUND(J38,2)-N38),ABS(ROUND(K38,2)-O38))</f>
        <v>0</v>
      </c>
      <c r="Q38" s="20" t="str">
        <f aca="false">IF(P38&lt;0.005,"PASS","FAIL")</f>
        <v>PASS</v>
      </c>
    </row>
    <row r="39" customFormat="false" ht="15" hidden="false" customHeight="true" outlineLevel="0" collapsed="false">
      <c r="B39" s="14" t="s">
        <v>3901</v>
      </c>
      <c r="C39" s="84" t="n">
        <v>80000</v>
      </c>
      <c r="D39" s="14" t="s">
        <v>3839</v>
      </c>
      <c r="E39" s="14" t="s">
        <v>3896</v>
      </c>
      <c r="F39" s="12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28" t="n">
        <f aca="false">IF(C39&lt;=USC_Exempt,0,USC_Rate_1*MIN(C39,USC_Band_1)+USC_Rate_2*MAX(0,MIN(C39,USC_Band_2)-USC_Band_1)+USC_Rate_3*MAX(0,MIN(C39,USC_Band_3)-USC_Band_2)+USC_Rate_4*MAX(0,C39-USC_Band_3))</f>
        <v>2430.62</v>
      </c>
      <c r="H39" s="128" t="n">
        <f aca="false">IF(C39/Weeks_Per_Year&lt;=PRSI_Free_Week,0,MAX(0,C39/Weeks_Per_Year*PRSI_Rate-IF(C39/Weeks_Per_Year&lt;=PRSI_Credit_Top,MAX(0,PRSI_Credit_Max-(C39/Weeks_Per_Year-(PRSI_Free_Week+0.01))/PRSI_Credit_Taper),0))*Weeks_Per_Year)</f>
        <v>3480</v>
      </c>
      <c r="I39" s="128" t="n">
        <f aca="false">IF(C39/Weeks_Per_Year&lt;=PRSI_Free_Week,0,MAX(0,C39/Weeks_Per_Year*PRSI_Rate_2026_Blend-IF(C39/Weeks_Per_Year&lt;=PRSI_Credit_Top,MAX(0,PRSI_Credit_Max-(C39/Weeks_Per_Year-(PRSI_Free_Week+0.01))/PRSI_Credit_Taper),0))*Weeks_Per_Year)</f>
        <v>3390</v>
      </c>
      <c r="J39" s="128" t="n">
        <f aca="false">C39-F39-G39-H39</f>
        <v>54889.38</v>
      </c>
      <c r="K39" s="128" t="n">
        <f aca="false">C39-F39-G39-I39</f>
        <v>54979.38</v>
      </c>
      <c r="L39" s="128" t="n">
        <v>19200</v>
      </c>
      <c r="M39" s="128" t="n">
        <v>2430.62</v>
      </c>
      <c r="N39" s="128" t="n">
        <v>54889.38</v>
      </c>
      <c r="O39" s="128" t="n">
        <v>54979.38</v>
      </c>
      <c r="P39" s="128" t="n">
        <f aca="false">MAX(ABS(ROUND(F39,2)-L39),ABS(ROUND(G39,2)-M39),ABS(ROUND(J39,2)-N39),ABS(ROUND(K39,2)-O39))</f>
        <v>0</v>
      </c>
      <c r="Q39" s="20" t="str">
        <f aca="false">IF(P39&lt;0.005,"PASS","FAIL")</f>
        <v>PASS</v>
      </c>
    </row>
    <row r="40" customFormat="false" ht="15" hidden="false" customHeight="true" outlineLevel="0" collapsed="false">
      <c r="B40" s="14" t="s">
        <v>3902</v>
      </c>
      <c r="C40" s="84" t="n">
        <v>80000</v>
      </c>
      <c r="D40" s="14" t="s">
        <v>3898</v>
      </c>
      <c r="E40" s="14" t="s">
        <v>3896</v>
      </c>
      <c r="F40" s="12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28" t="n">
        <f aca="false">IF(C40&lt;=USC_Exempt,0,USC_Rate_1*MIN(C40,USC_Band_1)+USC_Rate_2*MAX(0,MIN(C40,USC_Band_2)-USC_Band_1)+USC_Rate_3*MAX(0,MIN(C40,USC_Band_3)-USC_Band_2)+USC_Rate_4*MAX(0,C40-USC_Band_3))</f>
        <v>2430.62</v>
      </c>
      <c r="H40" s="128" t="n">
        <f aca="false">IF(C40/Weeks_Per_Year&lt;=PRSI_Free_Week,0,MAX(0,C40/Weeks_Per_Year*PRSI_Rate-IF(C40/Weeks_Per_Year&lt;=PRSI_Credit_Top,MAX(0,PRSI_Credit_Max-(C40/Weeks_Per_Year-(PRSI_Free_Week+0.01))/PRSI_Credit_Taper),0))*Weeks_Per_Year)</f>
        <v>3480</v>
      </c>
      <c r="I40" s="128" t="n">
        <f aca="false">IF(C40/Weeks_Per_Year&lt;=PRSI_Free_Week,0,MAX(0,C40/Weeks_Per_Year*PRSI_Rate_2026_Blend-IF(C40/Weeks_Per_Year&lt;=PRSI_Credit_Top,MAX(0,PRSI_Credit_Max-(C40/Weeks_Per_Year-(PRSI_Free_Week+0.01))/PRSI_Credit_Taper),0))*Weeks_Per_Year)</f>
        <v>3390</v>
      </c>
      <c r="J40" s="128" t="n">
        <f aca="false">C40-F40-G40-H40</f>
        <v>58689.38</v>
      </c>
      <c r="K40" s="128" t="n">
        <f aca="false">C40-F40-G40-I40</f>
        <v>58779.38</v>
      </c>
      <c r="L40" s="128" t="n">
        <v>15400</v>
      </c>
      <c r="M40" s="128" t="n">
        <v>2430.62</v>
      </c>
      <c r="N40" s="128" t="n">
        <v>58689.38</v>
      </c>
      <c r="O40" s="128" t="n">
        <v>58779.38</v>
      </c>
      <c r="P40" s="128" t="n">
        <f aca="false">MAX(ABS(ROUND(F40,2)-L40),ABS(ROUND(G40,2)-M40),ABS(ROUND(J40,2)-N40),ABS(ROUND(K40,2)-O40))</f>
        <v>0</v>
      </c>
      <c r="Q40" s="20" t="str">
        <f aca="false">IF(P40&lt;0.005,"PASS","FAIL")</f>
        <v>PASS</v>
      </c>
    </row>
    <row r="41" customFormat="false" ht="15" hidden="false" customHeight="true" outlineLevel="0" collapsed="false">
      <c r="B41" s="14" t="s">
        <v>3903</v>
      </c>
      <c r="C41" s="84" t="n">
        <v>150000</v>
      </c>
      <c r="D41" s="14" t="s">
        <v>3839</v>
      </c>
      <c r="E41" s="14" t="s">
        <v>3896</v>
      </c>
      <c r="F41" s="12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28" t="n">
        <f aca="false">IF(C41&lt;=USC_Exempt,0,USC_Rate_1*MIN(C41,USC_Band_1)+USC_Rate_2*MAX(0,MIN(C41,USC_Band_2)-USC_Band_1)+USC_Rate_3*MAX(0,MIN(C41,USC_Band_3)-USC_Band_2)+USC_Rate_4*MAX(0,C41-USC_Band_3))</f>
        <v>8030.62</v>
      </c>
      <c r="H41" s="128" t="n">
        <f aca="false">IF(C41/Weeks_Per_Year&lt;=PRSI_Free_Week,0,MAX(0,C41/Weeks_Per_Year*PRSI_Rate-IF(C41/Weeks_Per_Year&lt;=PRSI_Credit_Top,MAX(0,PRSI_Credit_Max-(C41/Weeks_Per_Year-(PRSI_Free_Week+0.01))/PRSI_Credit_Taper),0))*Weeks_Per_Year)</f>
        <v>6525</v>
      </c>
      <c r="I41" s="128" t="n">
        <f aca="false">IF(C41/Weeks_Per_Year&lt;=PRSI_Free_Week,0,MAX(0,C41/Weeks_Per_Year*PRSI_Rate_2026_Blend-IF(C41/Weeks_Per_Year&lt;=PRSI_Credit_Top,MAX(0,PRSI_Credit_Max-(C41/Weeks_Per_Year-(PRSI_Free_Week+0.01))/PRSI_Credit_Taper),0))*Weeks_Per_Year)</f>
        <v>6356.25</v>
      </c>
      <c r="J41" s="128" t="n">
        <f aca="false">C41-F41-G41-H41</f>
        <v>88244.38</v>
      </c>
      <c r="K41" s="128" t="n">
        <f aca="false">C41-F41-G41-I41</f>
        <v>88413.13</v>
      </c>
      <c r="L41" s="128" t="n">
        <v>47200</v>
      </c>
      <c r="M41" s="128" t="n">
        <v>8030.62</v>
      </c>
      <c r="N41" s="128" t="n">
        <v>88244.38</v>
      </c>
      <c r="O41" s="128" t="n">
        <v>88413.13</v>
      </c>
      <c r="P41" s="128" t="n">
        <f aca="false">MAX(ABS(ROUND(F41,2)-L41),ABS(ROUND(G41,2)-M41),ABS(ROUND(J41,2)-N41),ABS(ROUND(K41,2)-O41))</f>
        <v>0</v>
      </c>
      <c r="Q41" s="20" t="str">
        <f aca="false">IF(P41&lt;0.005,"PASS","FAIL")</f>
        <v>PASS</v>
      </c>
    </row>
    <row r="42" customFormat="false" ht="15" hidden="false" customHeight="true" outlineLevel="0" collapsed="false">
      <c r="B42" s="14" t="s">
        <v>3904</v>
      </c>
      <c r="C42" s="84" t="n">
        <v>150000</v>
      </c>
      <c r="D42" s="14" t="s">
        <v>3898</v>
      </c>
      <c r="E42" s="14" t="s">
        <v>3896</v>
      </c>
      <c r="F42" s="12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28" t="n">
        <f aca="false">IF(C42&lt;=USC_Exempt,0,USC_Rate_1*MIN(C42,USC_Band_1)+USC_Rate_2*MAX(0,MIN(C42,USC_Band_2)-USC_Band_1)+USC_Rate_3*MAX(0,MIN(C42,USC_Band_3)-USC_Band_2)+USC_Rate_4*MAX(0,C42-USC_Band_3))</f>
        <v>8030.62</v>
      </c>
      <c r="H42" s="128" t="n">
        <f aca="false">IF(C42/Weeks_Per_Year&lt;=PRSI_Free_Week,0,MAX(0,C42/Weeks_Per_Year*PRSI_Rate-IF(C42/Weeks_Per_Year&lt;=PRSI_Credit_Top,MAX(0,PRSI_Credit_Max-(C42/Weeks_Per_Year-(PRSI_Free_Week+0.01))/PRSI_Credit_Taper),0))*Weeks_Per_Year)</f>
        <v>6525</v>
      </c>
      <c r="I42" s="128" t="n">
        <f aca="false">IF(C42/Weeks_Per_Year&lt;=PRSI_Free_Week,0,MAX(0,C42/Weeks_Per_Year*PRSI_Rate_2026_Blend-IF(C42/Weeks_Per_Year&lt;=PRSI_Credit_Top,MAX(0,PRSI_Credit_Max-(C42/Weeks_Per_Year-(PRSI_Free_Week+0.01))/PRSI_Credit_Taper),0))*Weeks_Per_Year)</f>
        <v>6356.25</v>
      </c>
      <c r="J42" s="128" t="n">
        <f aca="false">C42-F42-G42-H42</f>
        <v>92044.38</v>
      </c>
      <c r="K42" s="128" t="n">
        <f aca="false">C42-F42-G42-I42</f>
        <v>92213.13</v>
      </c>
      <c r="L42" s="128" t="n">
        <v>43400</v>
      </c>
      <c r="M42" s="128" t="n">
        <v>8030.62</v>
      </c>
      <c r="N42" s="128" t="n">
        <v>92044.38</v>
      </c>
      <c r="O42" s="128" t="n">
        <v>92213.13</v>
      </c>
      <c r="P42" s="128" t="n">
        <f aca="false">MAX(ABS(ROUND(F42,2)-L42),ABS(ROUND(G42,2)-M42),ABS(ROUND(J42,2)-N42),ABS(ROUND(K42,2)-O42))</f>
        <v>0</v>
      </c>
      <c r="Q42" s="20" t="str">
        <f aca="false">IF(P42&lt;0.005,"PASS","FAIL")</f>
        <v>PASS</v>
      </c>
    </row>
    <row r="43" customFormat="false" ht="15" hidden="false" customHeight="true" outlineLevel="0" collapsed="false">
      <c r="B43" s="14" t="s">
        <v>3905</v>
      </c>
      <c r="C43" s="84" t="n">
        <v>60000</v>
      </c>
      <c r="D43" s="14" t="s">
        <v>3906</v>
      </c>
      <c r="E43" s="14" t="s">
        <v>3907</v>
      </c>
      <c r="F43" s="12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28" t="n">
        <v>11400</v>
      </c>
      <c r="M43" s="14"/>
      <c r="N43" s="14"/>
      <c r="O43" s="14"/>
      <c r="P43" s="128" t="n">
        <f aca="false">ABS(ROUND(F43,2)-L43)</f>
        <v>0</v>
      </c>
      <c r="Q43" s="20" t="str">
        <f aca="false">IF(P43&lt;0.005,"PASS","FAIL")</f>
        <v>PASS</v>
      </c>
      <c r="R43" s="84" t="n">
        <v>30000</v>
      </c>
    </row>
    <row r="44" customFormat="false" ht="15" hidden="false" customHeight="true" outlineLevel="0" collapsed="false">
      <c r="B44" s="14" t="s">
        <v>3908</v>
      </c>
      <c r="C44" s="84" t="n">
        <v>80000</v>
      </c>
      <c r="D44" s="14" t="s">
        <v>3906</v>
      </c>
      <c r="E44" s="14" t="s">
        <v>3909</v>
      </c>
      <c r="F44" s="12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28" t="n">
        <v>26400</v>
      </c>
      <c r="M44" s="14"/>
      <c r="N44" s="14"/>
      <c r="O44" s="14"/>
      <c r="P44" s="128" t="n">
        <f aca="false">ABS(ROUND(F44,2)-L44)</f>
        <v>0</v>
      </c>
      <c r="Q44" s="20" t="str">
        <f aca="false">IF(P44&lt;0.005,"PASS","FAIL")</f>
        <v>PASS</v>
      </c>
      <c r="R44" s="84" t="n">
        <v>50000</v>
      </c>
    </row>
    <row r="45" customFormat="false" ht="15" hidden="false" customHeight="true" outlineLevel="0" collapsed="false">
      <c r="B45" s="14" t="s">
        <v>3910</v>
      </c>
      <c r="C45" s="84" t="n">
        <v>45000</v>
      </c>
      <c r="D45" s="14" t="s">
        <v>3906</v>
      </c>
      <c r="E45" s="14" t="s">
        <v>3911</v>
      </c>
      <c r="F45" s="12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28" t="n">
        <v>10400</v>
      </c>
      <c r="M45" s="14"/>
      <c r="N45" s="14"/>
      <c r="O45" s="14"/>
      <c r="P45" s="128" t="n">
        <f aca="false">ABS(ROUND(F45,2)-L45)</f>
        <v>0</v>
      </c>
      <c r="Q45" s="20" t="str">
        <f aca="false">IF(P45&lt;0.005,"PASS","FAIL")</f>
        <v>PASS</v>
      </c>
      <c r="R45" s="84" t="n">
        <v>45000</v>
      </c>
    </row>
    <row r="46" customFormat="false" ht="15" hidden="false" customHeight="true" outlineLevel="0" collapsed="false">
      <c r="B46" s="12" t="s">
        <v>3912</v>
      </c>
      <c r="Q46" s="129"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3913</v>
      </c>
    </row>
    <row r="3" customFormat="false" ht="15" hidden="false" customHeight="true" outlineLevel="0" collapsed="false">
      <c r="B3" s="8" t="s">
        <v>3914</v>
      </c>
      <c r="C3" s="8"/>
      <c r="D3" s="8"/>
      <c r="E3" s="8"/>
      <c r="F3" s="8"/>
    </row>
    <row r="4" customFormat="false" ht="15" hidden="false" customHeight="true" outlineLevel="0" collapsed="false">
      <c r="B4" s="8" t="s">
        <v>3915</v>
      </c>
      <c r="C4" s="8"/>
      <c r="D4" s="8"/>
      <c r="E4" s="8"/>
      <c r="F4" s="8"/>
    </row>
    <row r="5" customFormat="false" ht="15" hidden="false" customHeight="true" outlineLevel="0" collapsed="false">
      <c r="B5" s="8" t="s">
        <v>3916</v>
      </c>
      <c r="C5" s="8"/>
      <c r="D5" s="8"/>
      <c r="E5" s="8"/>
      <c r="F5" s="8"/>
    </row>
    <row r="6" customFormat="false" ht="15" hidden="false" customHeight="true" outlineLevel="0" collapsed="false">
      <c r="B6" s="8" t="s">
        <v>3917</v>
      </c>
      <c r="C6" s="8"/>
      <c r="D6" s="8"/>
      <c r="E6" s="8"/>
      <c r="F6" s="8"/>
    </row>
    <row r="7" customFormat="false" ht="15" hidden="false" customHeight="true" outlineLevel="0" collapsed="false">
      <c r="B7" s="8" t="s">
        <v>3918</v>
      </c>
      <c r="C7" s="8"/>
      <c r="D7" s="8"/>
      <c r="E7" s="8"/>
      <c r="F7" s="8"/>
    </row>
    <row r="8" customFormat="false" ht="15" hidden="false" customHeight="true" outlineLevel="0" collapsed="false">
      <c r="B8" s="8" t="s">
        <v>3919</v>
      </c>
      <c r="C8" s="8"/>
      <c r="D8" s="8"/>
      <c r="E8" s="8"/>
      <c r="F8" s="8"/>
    </row>
    <row r="10" customFormat="false" ht="23.25" hidden="false" customHeight="true" outlineLevel="0" collapsed="false">
      <c r="B10" s="130" t="s">
        <v>3920</v>
      </c>
      <c r="C10" s="130" t="s">
        <v>3921</v>
      </c>
      <c r="D10" s="130" t="s">
        <v>3922</v>
      </c>
      <c r="E10" s="130" t="s">
        <v>3923</v>
      </c>
      <c r="F10" s="130" t="s">
        <v>3924</v>
      </c>
      <c r="G10" s="130" t="s">
        <v>3925</v>
      </c>
    </row>
    <row r="11" customFormat="false" ht="36" hidden="false" customHeight="true" outlineLevel="0" collapsed="false">
      <c r="B11" s="131" t="s">
        <v>3926</v>
      </c>
      <c r="C11" s="132" t="s">
        <v>713</v>
      </c>
      <c r="D11" s="132" t="s">
        <v>3927</v>
      </c>
      <c r="E11" s="132" t="s">
        <v>3928</v>
      </c>
      <c r="F11" s="132" t="s">
        <v>3929</v>
      </c>
      <c r="G11" s="132" t="s">
        <v>3930</v>
      </c>
    </row>
    <row r="12" customFormat="false" ht="36" hidden="false" customHeight="true" outlineLevel="0" collapsed="false">
      <c r="B12" s="131"/>
      <c r="C12" s="132" t="s">
        <v>3931</v>
      </c>
      <c r="D12" s="132" t="s">
        <v>3932</v>
      </c>
      <c r="E12" s="132" t="s">
        <v>3933</v>
      </c>
      <c r="F12" s="132" t="s">
        <v>3934</v>
      </c>
      <c r="G12" s="132" t="s">
        <v>3930</v>
      </c>
    </row>
    <row r="13" customFormat="false" ht="24" hidden="false" customHeight="true" outlineLevel="0" collapsed="false">
      <c r="B13" s="131"/>
      <c r="C13" s="132" t="s">
        <v>3935</v>
      </c>
      <c r="D13" s="132" t="s">
        <v>3936</v>
      </c>
      <c r="E13" s="132" t="s">
        <v>3937</v>
      </c>
      <c r="F13" s="132" t="s">
        <v>3938</v>
      </c>
      <c r="G13" s="132" t="s">
        <v>3930</v>
      </c>
    </row>
    <row r="14" customFormat="false" ht="24" hidden="false" customHeight="true" outlineLevel="0" collapsed="false">
      <c r="B14" s="131"/>
      <c r="C14" s="132" t="s">
        <v>717</v>
      </c>
      <c r="D14" s="132" t="s">
        <v>3939</v>
      </c>
      <c r="E14" s="132" t="s">
        <v>3940</v>
      </c>
      <c r="F14" s="132" t="s">
        <v>3941</v>
      </c>
      <c r="G14" s="132" t="s">
        <v>3930</v>
      </c>
    </row>
    <row r="15" customFormat="false" ht="60" hidden="false" customHeight="true" outlineLevel="0" collapsed="false">
      <c r="B15" s="131"/>
      <c r="C15" s="132" t="s">
        <v>757</v>
      </c>
      <c r="D15" s="132" t="s">
        <v>3942</v>
      </c>
      <c r="E15" s="132" t="s">
        <v>3937</v>
      </c>
      <c r="F15" s="132" t="s">
        <v>3943</v>
      </c>
      <c r="G15" s="132" t="s">
        <v>3930</v>
      </c>
    </row>
    <row r="16" customFormat="false" ht="36" hidden="false" customHeight="true" outlineLevel="0" collapsed="false">
      <c r="B16" s="131"/>
      <c r="C16" s="132" t="s">
        <v>3944</v>
      </c>
      <c r="D16" s="132" t="s">
        <v>3945</v>
      </c>
      <c r="E16" s="132" t="s">
        <v>3946</v>
      </c>
      <c r="F16" s="132" t="s">
        <v>3947</v>
      </c>
      <c r="G16" s="132" t="s">
        <v>3930</v>
      </c>
    </row>
    <row r="17" customFormat="false" ht="24" hidden="false" customHeight="true" outlineLevel="0" collapsed="false">
      <c r="B17" s="131"/>
      <c r="C17" s="132" t="s">
        <v>3948</v>
      </c>
      <c r="D17" s="132" t="s">
        <v>3949</v>
      </c>
      <c r="E17" s="132" t="s">
        <v>3950</v>
      </c>
      <c r="F17" s="132" t="s">
        <v>3951</v>
      </c>
      <c r="G17" s="132" t="s">
        <v>3930</v>
      </c>
    </row>
    <row r="18" customFormat="false" ht="24" hidden="false" customHeight="true" outlineLevel="0" collapsed="false">
      <c r="B18" s="131"/>
      <c r="C18" s="132" t="s">
        <v>3952</v>
      </c>
      <c r="D18" s="132" t="s">
        <v>3953</v>
      </c>
      <c r="E18" s="132" t="s">
        <v>3954</v>
      </c>
      <c r="F18" s="132" t="s">
        <v>3955</v>
      </c>
      <c r="G18" s="132" t="s">
        <v>3930</v>
      </c>
    </row>
    <row r="19" customFormat="false" ht="24" hidden="false" customHeight="true" outlineLevel="0" collapsed="false">
      <c r="B19" s="131"/>
      <c r="C19" s="132" t="s">
        <v>321</v>
      </c>
      <c r="D19" s="132" t="s">
        <v>3956</v>
      </c>
      <c r="E19" s="132" t="s">
        <v>3957</v>
      </c>
      <c r="F19" s="132" t="s">
        <v>3958</v>
      </c>
      <c r="G19" s="132" t="s">
        <v>3930</v>
      </c>
    </row>
    <row r="20" customFormat="false" ht="36" hidden="false" customHeight="true" outlineLevel="0" collapsed="false">
      <c r="B20" s="131" t="s">
        <v>3959</v>
      </c>
      <c r="C20" s="132" t="s">
        <v>3960</v>
      </c>
      <c r="D20" s="132" t="s">
        <v>3961</v>
      </c>
      <c r="E20" s="132" t="s">
        <v>3962</v>
      </c>
      <c r="F20" s="132" t="s">
        <v>3962</v>
      </c>
      <c r="G20" s="132" t="s">
        <v>3930</v>
      </c>
    </row>
    <row r="21" customFormat="false" ht="24" hidden="false" customHeight="true" outlineLevel="0" collapsed="false">
      <c r="B21" s="131" t="s">
        <v>3963</v>
      </c>
      <c r="C21" s="132" t="s">
        <v>3964</v>
      </c>
      <c r="D21" s="132" t="s">
        <v>3965</v>
      </c>
      <c r="E21" s="132" t="s">
        <v>3966</v>
      </c>
      <c r="F21" s="132" t="s">
        <v>3967</v>
      </c>
      <c r="G21" s="132" t="s">
        <v>3930</v>
      </c>
    </row>
    <row r="22" customFormat="false" ht="24" hidden="false" customHeight="true" outlineLevel="0" collapsed="false">
      <c r="B22" s="131"/>
      <c r="C22" s="132" t="s">
        <v>717</v>
      </c>
      <c r="D22" s="132" t="s">
        <v>3962</v>
      </c>
      <c r="E22" s="132" t="s">
        <v>3968</v>
      </c>
      <c r="F22" s="132" t="s">
        <v>3969</v>
      </c>
      <c r="G22" s="132" t="s">
        <v>3930</v>
      </c>
    </row>
    <row r="23" customFormat="false" ht="36" hidden="false" customHeight="true" outlineLevel="0" collapsed="false">
      <c r="B23" s="131" t="s">
        <v>3970</v>
      </c>
      <c r="C23" s="132" t="s">
        <v>3971</v>
      </c>
      <c r="D23" s="132" t="s">
        <v>3972</v>
      </c>
      <c r="E23" s="132" t="s">
        <v>3973</v>
      </c>
      <c r="F23" s="132" t="s">
        <v>3974</v>
      </c>
      <c r="G23" s="132" t="s">
        <v>3930</v>
      </c>
    </row>
    <row r="24" customFormat="false" ht="24" hidden="false" customHeight="true" outlineLevel="0" collapsed="false">
      <c r="B24" s="131"/>
      <c r="C24" s="132" t="s">
        <v>321</v>
      </c>
      <c r="D24" s="132" t="s">
        <v>3975</v>
      </c>
      <c r="E24" s="132" t="s">
        <v>322</v>
      </c>
      <c r="F24" s="132" t="s">
        <v>3976</v>
      </c>
      <c r="G24" s="132" t="s">
        <v>3930</v>
      </c>
    </row>
    <row r="25" customFormat="false" ht="24" hidden="false" customHeight="true" outlineLevel="0" collapsed="false">
      <c r="B25" s="131" t="s">
        <v>3977</v>
      </c>
      <c r="C25" s="132" t="s">
        <v>312</v>
      </c>
      <c r="D25" s="132" t="s">
        <v>3978</v>
      </c>
      <c r="E25" s="132" t="s">
        <v>3979</v>
      </c>
      <c r="F25" s="132" t="s">
        <v>3980</v>
      </c>
      <c r="G25" s="132" t="s">
        <v>3930</v>
      </c>
    </row>
    <row r="26" customFormat="false" ht="24" hidden="false" customHeight="true" outlineLevel="0" collapsed="false">
      <c r="B26" s="131"/>
      <c r="C26" s="132" t="s">
        <v>315</v>
      </c>
      <c r="D26" s="132" t="s">
        <v>3981</v>
      </c>
      <c r="E26" s="132" t="s">
        <v>3982</v>
      </c>
      <c r="F26" s="132" t="s">
        <v>3983</v>
      </c>
      <c r="G26" s="132" t="s">
        <v>3930</v>
      </c>
    </row>
    <row r="27" customFormat="false" ht="24" hidden="false" customHeight="true" outlineLevel="0" collapsed="false">
      <c r="B27" s="131"/>
      <c r="C27" s="132" t="s">
        <v>3984</v>
      </c>
      <c r="D27" s="132" t="s">
        <v>3985</v>
      </c>
      <c r="E27" s="132" t="s">
        <v>3986</v>
      </c>
      <c r="F27" s="132" t="s">
        <v>3987</v>
      </c>
      <c r="G27" s="132" t="s">
        <v>3930</v>
      </c>
    </row>
    <row r="28" customFormat="false" ht="24" hidden="false" customHeight="true" outlineLevel="0" collapsed="false">
      <c r="B28" s="131"/>
      <c r="C28" s="132" t="s">
        <v>317</v>
      </c>
      <c r="D28" s="132" t="s">
        <v>3988</v>
      </c>
      <c r="E28" s="132" t="s">
        <v>3989</v>
      </c>
      <c r="F28" s="132" t="s">
        <v>3990</v>
      </c>
      <c r="G28" s="132" t="s">
        <v>3930</v>
      </c>
    </row>
    <row r="29" customFormat="false" ht="24" hidden="false" customHeight="true" outlineLevel="0" collapsed="false">
      <c r="B29" s="131"/>
      <c r="C29" s="132" t="s">
        <v>319</v>
      </c>
      <c r="D29" s="132" t="s">
        <v>3991</v>
      </c>
      <c r="E29" s="132" t="s">
        <v>3937</v>
      </c>
      <c r="F29" s="132" t="s">
        <v>3992</v>
      </c>
      <c r="G29" s="132" t="s">
        <v>3930</v>
      </c>
    </row>
    <row r="30" customFormat="false" ht="24" hidden="false" customHeight="true" outlineLevel="0" collapsed="false">
      <c r="B30" s="131"/>
      <c r="C30" s="132" t="s">
        <v>321</v>
      </c>
      <c r="D30" s="132" t="s">
        <v>3993</v>
      </c>
      <c r="E30" s="132" t="s">
        <v>3994</v>
      </c>
      <c r="F30" s="132" t="s">
        <v>3976</v>
      </c>
      <c r="G30" s="132" t="s">
        <v>3930</v>
      </c>
    </row>
    <row r="31" customFormat="false" ht="24" hidden="false" customHeight="true" outlineLevel="0" collapsed="false">
      <c r="B31" s="131" t="s">
        <v>3995</v>
      </c>
      <c r="C31" s="132" t="s">
        <v>3996</v>
      </c>
      <c r="D31" s="132" t="s">
        <v>3997</v>
      </c>
      <c r="E31" s="132" t="s">
        <v>3998</v>
      </c>
      <c r="F31" s="132" t="s">
        <v>3999</v>
      </c>
      <c r="G31" s="132" t="s">
        <v>3930</v>
      </c>
    </row>
    <row r="32" customFormat="false" ht="24" hidden="false" customHeight="true" outlineLevel="0" collapsed="false">
      <c r="B32" s="131" t="s">
        <v>4000</v>
      </c>
      <c r="C32" s="132" t="s">
        <v>636</v>
      </c>
      <c r="D32" s="132" t="s">
        <v>4001</v>
      </c>
      <c r="E32" s="132" t="s">
        <v>3937</v>
      </c>
      <c r="F32" s="132" t="s">
        <v>4002</v>
      </c>
      <c r="G32" s="132" t="s">
        <v>3930</v>
      </c>
    </row>
    <row r="33" customFormat="false" ht="24" hidden="false" customHeight="true" outlineLevel="0" collapsed="false">
      <c r="B33" s="131"/>
      <c r="C33" s="132" t="s">
        <v>962</v>
      </c>
      <c r="D33" s="132" t="s">
        <v>4003</v>
      </c>
      <c r="E33" s="132" t="s">
        <v>3937</v>
      </c>
      <c r="F33" s="132" t="s">
        <v>4004</v>
      </c>
      <c r="G33" s="132" t="s">
        <v>3930</v>
      </c>
    </row>
    <row r="34" customFormat="false" ht="24" hidden="false" customHeight="true" outlineLevel="0" collapsed="false">
      <c r="B34" s="131"/>
      <c r="C34" s="132" t="s">
        <v>3952</v>
      </c>
      <c r="D34" s="132" t="s">
        <v>4005</v>
      </c>
      <c r="E34" s="132" t="s">
        <v>4006</v>
      </c>
      <c r="F34" s="132" t="s">
        <v>4007</v>
      </c>
      <c r="G34" s="132" t="s">
        <v>3930</v>
      </c>
    </row>
    <row r="35" customFormat="false" ht="24" hidden="false" customHeight="true" outlineLevel="0" collapsed="false">
      <c r="B35" s="131"/>
      <c r="C35" s="132" t="s">
        <v>4008</v>
      </c>
      <c r="D35" s="132" t="s">
        <v>4009</v>
      </c>
      <c r="E35" s="132" t="s">
        <v>4010</v>
      </c>
      <c r="F35" s="132" t="s">
        <v>4011</v>
      </c>
      <c r="G35" s="132" t="s">
        <v>3930</v>
      </c>
    </row>
    <row r="36" customFormat="false" ht="24" hidden="false" customHeight="true" outlineLevel="0" collapsed="false">
      <c r="B36" s="131"/>
      <c r="C36" s="132" t="s">
        <v>321</v>
      </c>
      <c r="D36" s="132" t="s">
        <v>4012</v>
      </c>
      <c r="E36" s="132" t="s">
        <v>322</v>
      </c>
      <c r="F36" s="132" t="s">
        <v>3976</v>
      </c>
      <c r="G36" s="132" t="s">
        <v>3930</v>
      </c>
    </row>
    <row r="37" customFormat="false" ht="24" hidden="false" customHeight="true" outlineLevel="0" collapsed="false">
      <c r="B37" s="131" t="s">
        <v>4013</v>
      </c>
      <c r="C37" s="132" t="s">
        <v>4014</v>
      </c>
      <c r="D37" s="132" t="s">
        <v>4015</v>
      </c>
      <c r="E37" s="132" t="s">
        <v>3937</v>
      </c>
      <c r="F37" s="132" t="s">
        <v>4016</v>
      </c>
      <c r="G37" s="132" t="s">
        <v>3930</v>
      </c>
    </row>
    <row r="38" customFormat="false" ht="24" hidden="false" customHeight="true" outlineLevel="0" collapsed="false">
      <c r="B38" s="131"/>
      <c r="C38" s="132" t="s">
        <v>4017</v>
      </c>
      <c r="D38" s="132" t="s">
        <v>4018</v>
      </c>
      <c r="E38" s="132" t="s">
        <v>4019</v>
      </c>
      <c r="F38" s="132" t="s">
        <v>4020</v>
      </c>
      <c r="G38" s="132" t="s">
        <v>3930</v>
      </c>
    </row>
    <row r="39" customFormat="false" ht="24" hidden="false" customHeight="true" outlineLevel="0" collapsed="false">
      <c r="B39" s="131" t="s">
        <v>4021</v>
      </c>
      <c r="C39" s="132" t="s">
        <v>4022</v>
      </c>
      <c r="D39" s="132" t="s">
        <v>4023</v>
      </c>
      <c r="E39" s="132" t="s">
        <v>4024</v>
      </c>
      <c r="F39" s="132" t="s">
        <v>4025</v>
      </c>
      <c r="G39" s="132" t="s">
        <v>3930</v>
      </c>
    </row>
    <row r="40" customFormat="false" ht="24" hidden="false" customHeight="true" outlineLevel="0" collapsed="false">
      <c r="B40" s="131"/>
      <c r="C40" s="132" t="s">
        <v>4026</v>
      </c>
      <c r="D40" s="132" t="s">
        <v>4027</v>
      </c>
      <c r="E40" s="132" t="s">
        <v>226</v>
      </c>
      <c r="F40" s="132" t="s">
        <v>4028</v>
      </c>
      <c r="G40" s="132" t="s">
        <v>3930</v>
      </c>
    </row>
    <row r="41" customFormat="false" ht="24" hidden="false" customHeight="true" outlineLevel="0" collapsed="false">
      <c r="B41" s="131"/>
      <c r="C41" s="132" t="s">
        <v>4029</v>
      </c>
      <c r="D41" s="132" t="s">
        <v>4030</v>
      </c>
      <c r="E41" s="132" t="s">
        <v>226</v>
      </c>
      <c r="F41" s="132" t="s">
        <v>4031</v>
      </c>
      <c r="G41" s="132" t="s">
        <v>3930</v>
      </c>
    </row>
    <row r="42" customFormat="false" ht="24" hidden="false" customHeight="true" outlineLevel="0" collapsed="false">
      <c r="B42" s="131"/>
      <c r="C42" s="132" t="s">
        <v>4032</v>
      </c>
      <c r="D42" s="132" t="s">
        <v>4033</v>
      </c>
      <c r="E42" s="132" t="s">
        <v>4034</v>
      </c>
      <c r="F42" s="132" t="s">
        <v>3976</v>
      </c>
      <c r="G42" s="132" t="s">
        <v>3930</v>
      </c>
    </row>
    <row r="43" customFormat="false" ht="24" hidden="false" customHeight="true" outlineLevel="0" collapsed="false">
      <c r="B43" s="131" t="s">
        <v>4035</v>
      </c>
      <c r="C43" s="132" t="s">
        <v>4036</v>
      </c>
      <c r="D43" s="132" t="s">
        <v>4037</v>
      </c>
      <c r="E43" s="132" t="s">
        <v>3937</v>
      </c>
      <c r="F43" s="132" t="s">
        <v>4025</v>
      </c>
      <c r="G43" s="132" t="s">
        <v>3930</v>
      </c>
    </row>
    <row r="44" customFormat="false" ht="24" hidden="false" customHeight="true" outlineLevel="0" collapsed="false">
      <c r="B44" s="131"/>
      <c r="C44" s="132" t="s">
        <v>4038</v>
      </c>
      <c r="D44" s="132" t="s">
        <v>4039</v>
      </c>
      <c r="E44" s="132" t="s">
        <v>3937</v>
      </c>
      <c r="F44" s="132" t="s">
        <v>4040</v>
      </c>
      <c r="G44" s="132" t="s">
        <v>3930</v>
      </c>
    </row>
    <row r="45" customFormat="false" ht="24" hidden="false" customHeight="true" outlineLevel="0" collapsed="false">
      <c r="B45" s="131"/>
      <c r="C45" s="132" t="s">
        <v>4041</v>
      </c>
      <c r="D45" s="132" t="s">
        <v>4042</v>
      </c>
      <c r="E45" s="132" t="s">
        <v>226</v>
      </c>
      <c r="F45" s="132" t="s">
        <v>4043</v>
      </c>
      <c r="G45" s="132" t="s">
        <v>3930</v>
      </c>
    </row>
    <row r="46" customFormat="false" ht="24" hidden="false" customHeight="true" outlineLevel="0" collapsed="false">
      <c r="B46" s="131"/>
      <c r="C46" s="132" t="s">
        <v>4044</v>
      </c>
      <c r="D46" s="132" t="s">
        <v>4045</v>
      </c>
      <c r="E46" s="132" t="s">
        <v>4046</v>
      </c>
      <c r="F46" s="132" t="s">
        <v>3976</v>
      </c>
      <c r="G46" s="132" t="s">
        <v>3930</v>
      </c>
    </row>
    <row r="47" customFormat="false" ht="24" hidden="false" customHeight="true" outlineLevel="0" collapsed="false">
      <c r="B47" s="131" t="s">
        <v>4047</v>
      </c>
      <c r="C47" s="132" t="s">
        <v>1239</v>
      </c>
      <c r="D47" s="132" t="s">
        <v>4048</v>
      </c>
      <c r="E47" s="132" t="s">
        <v>3937</v>
      </c>
      <c r="F47" s="132" t="s">
        <v>4049</v>
      </c>
      <c r="G47" s="132" t="s">
        <v>3930</v>
      </c>
    </row>
    <row r="48" customFormat="false" ht="24" hidden="false" customHeight="true" outlineLevel="0" collapsed="false">
      <c r="B48" s="131"/>
      <c r="C48" s="132" t="s">
        <v>4050</v>
      </c>
      <c r="D48" s="132" t="s">
        <v>4051</v>
      </c>
      <c r="E48" s="132" t="s">
        <v>4052</v>
      </c>
      <c r="F48" s="132" t="s">
        <v>4053</v>
      </c>
      <c r="G48" s="132" t="s">
        <v>3930</v>
      </c>
    </row>
    <row r="49" customFormat="false" ht="24" hidden="false" customHeight="true" outlineLevel="0" collapsed="false">
      <c r="B49" s="131"/>
      <c r="C49" s="132" t="s">
        <v>4054</v>
      </c>
      <c r="D49" s="132" t="s">
        <v>4055</v>
      </c>
      <c r="E49" s="132" t="s">
        <v>3937</v>
      </c>
      <c r="F49" s="132" t="s">
        <v>4056</v>
      </c>
      <c r="G49" s="132" t="s">
        <v>3930</v>
      </c>
    </row>
    <row r="50" customFormat="false" ht="24" hidden="false" customHeight="true" outlineLevel="0" collapsed="false">
      <c r="B50" s="131" t="s">
        <v>4057</v>
      </c>
      <c r="C50" s="132" t="s">
        <v>1239</v>
      </c>
      <c r="D50" s="132" t="s">
        <v>4058</v>
      </c>
      <c r="E50" s="132" t="s">
        <v>3937</v>
      </c>
      <c r="F50" s="132" t="s">
        <v>4059</v>
      </c>
      <c r="G50" s="132" t="s">
        <v>3930</v>
      </c>
    </row>
    <row r="51" customFormat="false" ht="24" hidden="false" customHeight="true" outlineLevel="0" collapsed="false">
      <c r="B51" s="131"/>
      <c r="C51" s="132" t="s">
        <v>4060</v>
      </c>
      <c r="D51" s="132" t="s">
        <v>4061</v>
      </c>
      <c r="E51" s="132" t="s">
        <v>4062</v>
      </c>
      <c r="F51" s="132" t="s">
        <v>4063</v>
      </c>
      <c r="G51" s="132" t="s">
        <v>3930</v>
      </c>
    </row>
    <row r="52" customFormat="false" ht="24" hidden="false" customHeight="true" outlineLevel="0" collapsed="false">
      <c r="B52" s="131"/>
      <c r="C52" s="132" t="s">
        <v>4064</v>
      </c>
      <c r="D52" s="132" t="s">
        <v>4065</v>
      </c>
      <c r="E52" s="132" t="s">
        <v>4066</v>
      </c>
      <c r="F52" s="132" t="s">
        <v>4067</v>
      </c>
      <c r="G52" s="132" t="s">
        <v>3930</v>
      </c>
    </row>
    <row r="54" customFormat="false" ht="15" hidden="false" customHeight="true" outlineLevel="0" collapsed="false">
      <c r="B54" s="133" t="s">
        <v>4068</v>
      </c>
    </row>
    <row r="55" customFormat="false" ht="15" hidden="false" customHeight="true" outlineLevel="0" collapsed="false">
      <c r="B55" s="14" t="s">
        <v>4069</v>
      </c>
      <c r="D55" s="134" t="s">
        <v>4070</v>
      </c>
    </row>
    <row r="56" customFormat="false" ht="15" hidden="false" customHeight="true" outlineLevel="0" collapsed="false">
      <c r="B56" s="14" t="s">
        <v>4071</v>
      </c>
      <c r="D56" s="134" t="s">
        <v>4072</v>
      </c>
    </row>
    <row r="57" customFormat="false" ht="15" hidden="false" customHeight="true" outlineLevel="0" collapsed="false">
      <c r="B57" s="14" t="s">
        <v>4073</v>
      </c>
      <c r="D57" s="134" t="s">
        <v>4074</v>
      </c>
    </row>
    <row r="58" customFormat="false" ht="15" hidden="false" customHeight="true" outlineLevel="0" collapsed="false">
      <c r="B58" s="14" t="s">
        <v>4075</v>
      </c>
      <c r="D58" s="134" t="s">
        <v>4076</v>
      </c>
    </row>
    <row r="59" customFormat="false" ht="15" hidden="false" customHeight="true" outlineLevel="0" collapsed="false">
      <c r="B59" s="14" t="s">
        <v>4077</v>
      </c>
      <c r="D59" s="134" t="s">
        <v>4078</v>
      </c>
    </row>
    <row r="60" customFormat="false" ht="15" hidden="false" customHeight="true" outlineLevel="0" collapsed="false">
      <c r="B60" s="14" t="s">
        <v>4079</v>
      </c>
      <c r="D60" s="135" t="s">
        <v>4080</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4081</v>
      </c>
    </row>
    <row r="2" customFormat="false" ht="48" hidden="false" customHeight="true" outlineLevel="0" collapsed="false">
      <c r="B2" s="91" t="s">
        <v>4082</v>
      </c>
      <c r="C2" s="91"/>
      <c r="D2" s="91"/>
      <c r="E2" s="91"/>
      <c r="F2" s="91"/>
      <c r="G2" s="91"/>
    </row>
    <row r="4" customFormat="false" ht="15" hidden="false" customHeight="true" outlineLevel="0" collapsed="false">
      <c r="B4" s="111" t="s">
        <v>4083</v>
      </c>
    </row>
    <row r="5" customFormat="false" ht="15" hidden="false" customHeight="true" outlineLevel="0" collapsed="false">
      <c r="B5" s="136" t="s">
        <v>4084</v>
      </c>
      <c r="C5" s="136" t="s">
        <v>4085</v>
      </c>
      <c r="D5" s="136" t="s">
        <v>4086</v>
      </c>
      <c r="E5" s="136" t="s">
        <v>4087</v>
      </c>
      <c r="F5" s="136" t="s">
        <v>4088</v>
      </c>
    </row>
    <row r="6" customFormat="false" ht="15" hidden="false" customHeight="true" outlineLevel="0" collapsed="false">
      <c r="B6" s="1" t="s">
        <v>4089</v>
      </c>
      <c r="C6" s="94"/>
      <c r="D6" s="137"/>
      <c r="E6" s="137"/>
      <c r="F6" s="138"/>
    </row>
    <row r="7" customFormat="false" ht="15" hidden="false" customHeight="true" outlineLevel="0" collapsed="false">
      <c r="B7" s="1" t="s">
        <v>4090</v>
      </c>
      <c r="C7" s="94"/>
      <c r="D7" s="137"/>
      <c r="E7" s="137"/>
      <c r="F7" s="138"/>
    </row>
    <row r="8" customFormat="false" ht="15" hidden="false" customHeight="true" outlineLevel="0" collapsed="false">
      <c r="B8" s="1" t="s">
        <v>4091</v>
      </c>
      <c r="C8" s="94"/>
      <c r="D8" s="137"/>
      <c r="E8" s="137"/>
      <c r="F8" s="138"/>
    </row>
    <row r="9" customFormat="false" ht="15" hidden="false" customHeight="true" outlineLevel="0" collapsed="false">
      <c r="B9" s="1" t="s">
        <v>4092</v>
      </c>
      <c r="C9" s="94"/>
      <c r="D9" s="137"/>
      <c r="E9" s="137"/>
      <c r="F9" s="138"/>
    </row>
    <row r="10" customFormat="false" ht="15" hidden="false" customHeight="true" outlineLevel="0" collapsed="false">
      <c r="B10" s="1" t="s">
        <v>4093</v>
      </c>
      <c r="C10" s="94"/>
      <c r="D10" s="137"/>
      <c r="E10" s="137"/>
      <c r="F10" s="138"/>
    </row>
    <row r="11" customFormat="false" ht="15" hidden="false" customHeight="true" outlineLevel="0" collapsed="false">
      <c r="B11" s="1" t="s">
        <v>4094</v>
      </c>
      <c r="C11" s="94"/>
      <c r="D11" s="137"/>
      <c r="E11" s="137"/>
      <c r="F11" s="138"/>
    </row>
    <row r="12" customFormat="false" ht="15" hidden="false" customHeight="true" outlineLevel="0" collapsed="false">
      <c r="B12" s="1" t="s">
        <v>4095</v>
      </c>
      <c r="C12" s="94"/>
      <c r="D12" s="137"/>
      <c r="E12" s="137"/>
      <c r="F12" s="138"/>
    </row>
    <row r="13" customFormat="false" ht="15" hidden="false" customHeight="true" outlineLevel="0" collapsed="false">
      <c r="B13" s="1" t="s">
        <v>4096</v>
      </c>
      <c r="C13" s="94"/>
      <c r="D13" s="137"/>
      <c r="E13" s="137"/>
      <c r="F13" s="138"/>
    </row>
    <row r="15" customFormat="false" ht="15" hidden="false" customHeight="true" outlineLevel="0" collapsed="false">
      <c r="B15" s="111" t="s">
        <v>4097</v>
      </c>
      <c r="D15" s="139" t="n">
        <f aca="false">SUM(D6:D13)</f>
        <v>0</v>
      </c>
    </row>
    <row r="16" customFormat="false" ht="15" hidden="false" customHeight="true" outlineLevel="0" collapsed="false">
      <c r="B16" s="1" t="s">
        <v>4098</v>
      </c>
      <c r="D16" s="139" t="n">
        <f aca="false">SUM(E6:E13)</f>
        <v>0</v>
      </c>
    </row>
    <row r="17" customFormat="false" ht="15" hidden="false" customHeight="true" outlineLevel="0" collapsed="false">
      <c r="B17" s="1" t="s">
        <v>4099</v>
      </c>
      <c r="D17" s="140" t="str">
        <f aca="false">IF(COUNT(F6:F13)=0,"",SUMPRODUCT(F6:F13,(D6:D13&gt;0)*D6:D13+(1-(D6:D13&gt;0)))/SUMPRODUCT((F6:F13&lt;&gt;"")*((D6:D13&gt;0)*D6:D13+(1-(D6:D13&gt;0)))))</f>
        <v/>
      </c>
    </row>
    <row r="19" customFormat="false" ht="15" hidden="false" customHeight="true" outlineLevel="0" collapsed="false">
      <c r="B19" s="111" t="s">
        <v>4100</v>
      </c>
    </row>
    <row r="20" customFormat="false" ht="15" hidden="false" customHeight="true" outlineLevel="0" collapsed="false">
      <c r="B20" s="136" t="s">
        <v>4101</v>
      </c>
      <c r="C20" s="136" t="s">
        <v>4085</v>
      </c>
      <c r="D20" s="136" t="s">
        <v>4086</v>
      </c>
      <c r="E20" s="136" t="s">
        <v>4087</v>
      </c>
      <c r="F20" s="136" t="s">
        <v>4088</v>
      </c>
    </row>
    <row r="21" customFormat="false" ht="15" hidden="false" customHeight="true" outlineLevel="0" collapsed="false">
      <c r="B21" s="1" t="s">
        <v>4102</v>
      </c>
      <c r="C21" s="94"/>
      <c r="D21" s="137"/>
      <c r="E21" s="137"/>
      <c r="F21" s="138"/>
    </row>
    <row r="22" customFormat="false" ht="15" hidden="false" customHeight="true" outlineLevel="0" collapsed="false">
      <c r="B22" s="1" t="s">
        <v>4103</v>
      </c>
      <c r="C22" s="94"/>
      <c r="D22" s="137"/>
      <c r="E22" s="137"/>
      <c r="F22" s="138"/>
    </row>
    <row r="23" customFormat="false" ht="15" hidden="false" customHeight="true" outlineLevel="0" collapsed="false">
      <c r="B23" s="1" t="s">
        <v>4104</v>
      </c>
      <c r="C23" s="94"/>
      <c r="D23" s="137"/>
      <c r="E23" s="137"/>
      <c r="F23" s="138"/>
    </row>
    <row r="24" customFormat="false" ht="15" hidden="false" customHeight="true" outlineLevel="0" collapsed="false">
      <c r="B24" s="1" t="s">
        <v>4105</v>
      </c>
      <c r="C24" s="94"/>
      <c r="D24" s="137"/>
      <c r="E24" s="137"/>
      <c r="F24" s="138"/>
    </row>
    <row r="25" customFormat="false" ht="15" hidden="false" customHeight="true" outlineLevel="0" collapsed="false">
      <c r="B25" s="1" t="s">
        <v>4106</v>
      </c>
      <c r="C25" s="94"/>
      <c r="D25" s="137"/>
      <c r="E25" s="137"/>
      <c r="F25" s="138"/>
    </row>
    <row r="26" customFormat="false" ht="15" hidden="false" customHeight="true" outlineLevel="0" collapsed="false">
      <c r="B26" s="1" t="s">
        <v>4107</v>
      </c>
      <c r="C26" s="94"/>
      <c r="D26" s="137"/>
      <c r="E26" s="137"/>
      <c r="F26" s="138"/>
    </row>
    <row r="27" customFormat="false" ht="15" hidden="false" customHeight="true" outlineLevel="0" collapsed="false">
      <c r="B27" s="1" t="s">
        <v>4108</v>
      </c>
      <c r="C27" s="94"/>
      <c r="D27" s="137"/>
      <c r="E27" s="137"/>
      <c r="F27" s="138"/>
    </row>
    <row r="28" customFormat="false" ht="15" hidden="false" customHeight="true" outlineLevel="0" collapsed="false">
      <c r="B28" s="1" t="s">
        <v>4109</v>
      </c>
      <c r="C28" s="94"/>
      <c r="D28" s="137"/>
      <c r="E28" s="137"/>
      <c r="F28" s="138"/>
    </row>
    <row r="30" customFormat="false" ht="15" hidden="false" customHeight="true" outlineLevel="0" collapsed="false">
      <c r="B30" s="1" t="s">
        <v>4110</v>
      </c>
      <c r="D30" s="139" t="n">
        <f aca="false">SUM(D21:D28)</f>
        <v>0</v>
      </c>
    </row>
    <row r="31" customFormat="false" ht="15" hidden="false" customHeight="true" outlineLevel="0" collapsed="false">
      <c r="B31" s="1" t="s">
        <v>4111</v>
      </c>
      <c r="D31" s="139" t="n">
        <f aca="false">SUM(E21:E28)</f>
        <v>0</v>
      </c>
    </row>
    <row r="32" customFormat="false" ht="15" hidden="false" customHeight="true" outlineLevel="0" collapsed="false">
      <c r="B32" s="1" t="s">
        <v>4112</v>
      </c>
      <c r="D32" s="139" t="n">
        <f aca="false">Cards_Owed_Total+Loans_Owed_Total</f>
        <v>0</v>
      </c>
    </row>
    <row r="33" customFormat="false" ht="15" hidden="false" customHeight="true" outlineLevel="0" collapsed="false">
      <c r="B33" s="1" t="s">
        <v>4113</v>
      </c>
      <c r="D33" s="139" t="n">
        <f aca="false">Cards_Pay_Total+Loans_Pay_Total</f>
        <v>0</v>
      </c>
    </row>
    <row r="34" customFormat="false" ht="15" hidden="false" customHeight="false" outlineLevel="0" collapsed="false">
      <c r="B34" s="1" t="s">
        <v>4114</v>
      </c>
      <c r="D34" s="140" t="str">
        <f aca="false">IF(COUNT(F21:F28)=0,"",SUMPRODUCT(F21:F28,(D21:D28&gt;0)*D21:D28+(1-(D21:D28&gt;0)))/SUMPRODUCT((F21:F28&lt;&gt;"")*((D21:D28&gt;0)*D21:D28+(1-(D21:D28&gt;0)))))</f>
        <v/>
      </c>
    </row>
    <row r="35" customFormat="false" ht="15" hidden="false" customHeight="true" outlineLevel="0" collapsed="false">
      <c r="B35" s="111" t="s">
        <v>1165</v>
      </c>
    </row>
    <row r="36" customFormat="false" ht="27.75" hidden="false" customHeight="true" outlineLevel="0" collapsed="false">
      <c r="B36" s="136" t="s">
        <v>4115</v>
      </c>
      <c r="C36" s="136" t="s">
        <v>4116</v>
      </c>
      <c r="D36" s="136" t="s">
        <v>4117</v>
      </c>
      <c r="E36" s="136" t="s">
        <v>4118</v>
      </c>
      <c r="F36" s="136" t="s">
        <v>4119</v>
      </c>
      <c r="G36" s="136" t="s">
        <v>4120</v>
      </c>
    </row>
    <row r="37" customFormat="false" ht="15" hidden="false" customHeight="true" outlineLevel="0" collapsed="false">
      <c r="B37" s="1" t="s">
        <v>4121</v>
      </c>
      <c r="C37" s="94"/>
      <c r="D37" s="137"/>
      <c r="E37" s="137"/>
      <c r="F37" s="137"/>
      <c r="G37" s="141" t="str">
        <f aca="false">IF(E37="","",IF(E37&gt;0,IF(F37&lt;&gt;"",MIN(F37,E37),E37*AS_OwnShare),0))</f>
        <v/>
      </c>
    </row>
    <row r="38" customFormat="false" ht="15" hidden="false" customHeight="true" outlineLevel="0" collapsed="false">
      <c r="B38" s="1" t="s">
        <v>4122</v>
      </c>
      <c r="C38" s="94"/>
      <c r="D38" s="137"/>
      <c r="E38" s="137"/>
      <c r="F38" s="137"/>
      <c r="G38" s="141" t="str">
        <f aca="false">IF(E38="","",IF(E38&gt;0,IF(F38&lt;&gt;"",MIN(F38,E38),E38*AS_OwnShare),0))</f>
        <v/>
      </c>
    </row>
    <row r="39" customFormat="false" ht="15" hidden="false" customHeight="true" outlineLevel="0" collapsed="false">
      <c r="B39" s="1" t="s">
        <v>4123</v>
      </c>
      <c r="C39" s="94"/>
      <c r="D39" s="137"/>
      <c r="E39" s="137"/>
      <c r="F39" s="137"/>
      <c r="G39" s="141" t="str">
        <f aca="false">IF(E39="","",IF(E39&gt;0,IF(F39&lt;&gt;"",MIN(F39,E39),E39*AS_OwnShare),0))</f>
        <v/>
      </c>
    </row>
    <row r="40" customFormat="false" ht="15" hidden="false" customHeight="true" outlineLevel="0" collapsed="false">
      <c r="B40" s="1" t="s">
        <v>4124</v>
      </c>
      <c r="C40" s="94"/>
      <c r="D40" s="137"/>
      <c r="E40" s="137"/>
      <c r="F40" s="137"/>
      <c r="G40" s="141" t="str">
        <f aca="false">IF(E40="","",IF(E40&gt;0,IF(F40&lt;&gt;"",MIN(F40,E40),E40*AS_OwnShare),0))</f>
        <v/>
      </c>
    </row>
    <row r="41" customFormat="false" ht="15" hidden="false" customHeight="true" outlineLevel="0" collapsed="false">
      <c r="B41" s="1" t="s">
        <v>4125</v>
      </c>
      <c r="C41" s="94"/>
      <c r="D41" s="137"/>
      <c r="E41" s="137"/>
      <c r="F41" s="137"/>
      <c r="G41" s="141" t="str">
        <f aca="false">IF(E41="","",IF(E41&gt;0,IF(F41&lt;&gt;"",MIN(F41,E41),E41*AS_OwnShare),0))</f>
        <v/>
      </c>
    </row>
    <row r="42" customFormat="false" ht="15" hidden="false" customHeight="true" outlineLevel="0" collapsed="false">
      <c r="B42" s="1" t="s">
        <v>4126</v>
      </c>
      <c r="C42" s="94"/>
      <c r="D42" s="137"/>
      <c r="E42" s="137"/>
      <c r="F42" s="137"/>
      <c r="G42" s="141" t="str">
        <f aca="false">IF(E42="","",IF(E42&gt;0,IF(F42&lt;&gt;"",MIN(F42,E42),E42*AS_OwnShare),0))</f>
        <v/>
      </c>
    </row>
    <row r="43" customFormat="false" ht="15" hidden="false" customHeight="true" outlineLevel="0" collapsed="false">
      <c r="B43" s="1" t="s">
        <v>4127</v>
      </c>
      <c r="C43" s="94"/>
      <c r="D43" s="137"/>
      <c r="E43" s="137"/>
      <c r="F43" s="137"/>
      <c r="G43" s="141" t="str">
        <f aca="false">IF(E43="","",IF(E43&gt;0,IF(F43&lt;&gt;"",MIN(F43,E43),E43*AS_OwnShare),0))</f>
        <v/>
      </c>
    </row>
    <row r="44" customFormat="false" ht="15" hidden="false" customHeight="true" outlineLevel="0" collapsed="false">
      <c r="B44" s="1" t="s">
        <v>4128</v>
      </c>
      <c r="C44" s="94"/>
      <c r="D44" s="137"/>
      <c r="E44" s="137"/>
      <c r="F44" s="137"/>
      <c r="G44" s="141" t="str">
        <f aca="false">IF(E44="","",IF(E44&gt;0,IF(F44&lt;&gt;"",MIN(F44,E44),E44*AS_OwnShare),0))</f>
        <v/>
      </c>
    </row>
    <row r="46" customFormat="false" ht="15" hidden="false" customHeight="true" outlineLevel="0" collapsed="false">
      <c r="B46" s="1" t="s">
        <v>4129</v>
      </c>
      <c r="D46" s="139" t="n">
        <f aca="false">SUM(D37:D44)</f>
        <v>0</v>
      </c>
    </row>
    <row r="47" customFormat="false" ht="15" hidden="false" customHeight="true" outlineLevel="0" collapsed="false">
      <c r="B47" s="1" t="s">
        <v>4130</v>
      </c>
      <c r="D47" s="139" t="n">
        <f aca="false">SUM(E37:E44)</f>
        <v>0</v>
      </c>
    </row>
    <row r="48" customFormat="false" ht="15" hidden="false" customHeight="true" outlineLevel="0" collapsed="false">
      <c r="B48" s="1" t="s">
        <v>4131</v>
      </c>
      <c r="D48" s="139" t="n">
        <f aca="false">SUM(G37:G44)</f>
        <v>0</v>
      </c>
    </row>
    <row r="49" customFormat="false" ht="15" hidden="false" customHeight="false" outlineLevel="0" collapsed="false">
      <c r="B49" s="1" t="s">
        <v>4132</v>
      </c>
      <c r="D49" s="95" t="n">
        <f aca="false">IF(AND(SUMPRODUCT((E37:E44&gt;0)*ISNUMBER(F37:F44))&gt;0,OR(SUMPRODUCT(--(E37:E44&gt;0))=SUMPRODUCT((E37:E44&gt;0)*ISNUMBER(F37:F44)),Has_a_ownShare=1)),1,0)</f>
        <v>0</v>
      </c>
    </row>
    <row r="50" customFormat="false" ht="15" hidden="false" customHeight="true" outlineLevel="0" collapsed="false">
      <c r="B50" s="111" t="s">
        <v>4133</v>
      </c>
    </row>
    <row r="51" customFormat="false" ht="15" hidden="false" customHeight="true" outlineLevel="0" collapsed="false">
      <c r="B51" s="93" t="s">
        <v>4134</v>
      </c>
      <c r="C51" s="93" t="s">
        <v>4135</v>
      </c>
      <c r="D51" s="93" t="s">
        <v>4136</v>
      </c>
    </row>
    <row r="52" customFormat="false" ht="15" hidden="false" customHeight="true" outlineLevel="0" collapsed="false">
      <c r="B52" s="1" t="s">
        <v>4137</v>
      </c>
      <c r="C52" s="137"/>
      <c r="D52" s="94"/>
    </row>
    <row r="53" customFormat="false" ht="15" hidden="false" customHeight="true" outlineLevel="0" collapsed="false">
      <c r="B53" s="1" t="s">
        <v>4138</v>
      </c>
      <c r="C53" s="137"/>
      <c r="D53" s="94"/>
    </row>
    <row r="54" customFormat="false" ht="15" hidden="false" customHeight="true" outlineLevel="0" collapsed="false">
      <c r="B54" s="1" t="s">
        <v>4139</v>
      </c>
      <c r="C54" s="137"/>
      <c r="D54" s="94"/>
    </row>
    <row r="55" customFormat="false" ht="15" hidden="false" customHeight="true" outlineLevel="0" collapsed="false">
      <c r="B55" s="1" t="s">
        <v>4140</v>
      </c>
      <c r="C55" s="137"/>
      <c r="D55" s="94"/>
    </row>
    <row r="56" customFormat="false" ht="15" hidden="false" customHeight="true" outlineLevel="0" collapsed="false">
      <c r="B56" s="1" t="s">
        <v>4141</v>
      </c>
      <c r="D56" s="139" t="n">
        <f aca="false">SUM(C52:C55)</f>
        <v>0</v>
      </c>
    </row>
    <row r="57" customFormat="false" ht="15" hidden="false" customHeight="true" outlineLevel="0" collapsed="false">
      <c r="B57" s="93" t="s">
        <v>4134</v>
      </c>
      <c r="C57" s="93" t="s">
        <v>4142</v>
      </c>
      <c r="D57" s="93" t="s">
        <v>4143</v>
      </c>
    </row>
    <row r="58" customFormat="false" ht="15" hidden="false" customHeight="true" outlineLevel="0" collapsed="false">
      <c r="B58" s="1" t="s">
        <v>4144</v>
      </c>
      <c r="C58" s="137"/>
      <c r="D58" s="94"/>
    </row>
    <row r="59" customFormat="false" ht="15" hidden="false" customHeight="true" outlineLevel="0" collapsed="false">
      <c r="B59" s="1" t="s">
        <v>4145</v>
      </c>
      <c r="C59" s="137"/>
      <c r="D59" s="94"/>
    </row>
    <row r="60" customFormat="false" ht="15" hidden="false" customHeight="true" outlineLevel="0" collapsed="false">
      <c r="B60" s="1" t="s">
        <v>4146</v>
      </c>
      <c r="C60" s="137"/>
      <c r="D60" s="94"/>
    </row>
    <row r="61" customFormat="false" ht="15" hidden="false" customHeight="true" outlineLevel="0" collapsed="false">
      <c r="B61" s="1" t="s">
        <v>4147</v>
      </c>
      <c r="C61" s="137"/>
      <c r="D61" s="94"/>
    </row>
    <row r="62" customFormat="false" ht="15" hidden="false" customHeight="true" outlineLevel="0" collapsed="false">
      <c r="B62" s="1" t="s">
        <v>4148</v>
      </c>
      <c r="D62" s="139" t="n">
        <f aca="false">SUMPRODUCT((C58:C61&lt;&gt;"")*C58:C61)+IF(N('C21 Life cover'!$G$11)&gt;0,SUMPRODUCT((C58:C61="")*D58:D61)*N('C21 Life cover'!$G$11),0)</f>
        <v>0</v>
      </c>
    </row>
    <row r="63" customFormat="false" ht="15" hidden="false" customHeight="true" outlineLevel="0" collapsed="false">
      <c r="B63" s="1" t="s">
        <v>4149</v>
      </c>
      <c r="D63" s="139" t="n">
        <f aca="false">Cover_Life_Total+Cover_Work_Total</f>
        <v>0</v>
      </c>
    </row>
    <row r="64" customFormat="false" ht="15" hidden="false" customHeight="true" outlineLevel="0" collapsed="false">
      <c r="B64" s="93" t="s">
        <v>4134</v>
      </c>
      <c r="C64" s="93" t="s">
        <v>4150</v>
      </c>
      <c r="D64" s="93" t="s">
        <v>4136</v>
      </c>
    </row>
    <row r="65" customFormat="false" ht="15" hidden="false" customHeight="true" outlineLevel="0" collapsed="false">
      <c r="B65" s="1" t="s">
        <v>4151</v>
      </c>
      <c r="C65" s="137"/>
      <c r="D65" s="94"/>
    </row>
    <row r="66" customFormat="false" ht="15" hidden="false" customHeight="true" outlineLevel="0" collapsed="false">
      <c r="B66" s="1" t="s">
        <v>4152</v>
      </c>
      <c r="C66" s="137"/>
      <c r="D66" s="94"/>
    </row>
    <row r="67" customFormat="false" ht="15" hidden="false" customHeight="true" outlineLevel="0" collapsed="false">
      <c r="B67" s="1" t="s">
        <v>4153</v>
      </c>
      <c r="C67" s="137"/>
      <c r="D67" s="94"/>
    </row>
    <row r="68" customFormat="false" ht="15" hidden="false" customHeight="true" outlineLevel="0" collapsed="false">
      <c r="B68" s="1" t="s">
        <v>4154</v>
      </c>
      <c r="C68" s="137"/>
      <c r="D68" s="94"/>
    </row>
    <row r="69" customFormat="false" ht="15" hidden="false" customHeight="true" outlineLevel="0" collapsed="false">
      <c r="B69" s="1" t="s">
        <v>4155</v>
      </c>
      <c r="D69" s="139" t="n">
        <f aca="false">SUM(C65:C68)</f>
        <v>0</v>
      </c>
    </row>
    <row r="70" customFormat="false" ht="15" hidden="false" customHeight="true" outlineLevel="0" collapsed="false">
      <c r="B70" s="93" t="s">
        <v>4134</v>
      </c>
      <c r="C70" s="93" t="s">
        <v>4135</v>
      </c>
      <c r="D70" s="93" t="s">
        <v>4136</v>
      </c>
    </row>
    <row r="71" customFormat="false" ht="15" hidden="false" customHeight="true" outlineLevel="0" collapsed="false">
      <c r="B71" s="1" t="s">
        <v>4156</v>
      </c>
      <c r="C71" s="137"/>
      <c r="D71" s="94"/>
    </row>
    <row r="72" customFormat="false" ht="15" hidden="false" customHeight="true" outlineLevel="0" collapsed="false">
      <c r="B72" s="1" t="s">
        <v>4157</v>
      </c>
      <c r="C72" s="137"/>
      <c r="D72" s="94"/>
    </row>
    <row r="73" customFormat="false" ht="15" hidden="false" customHeight="true" outlineLevel="0" collapsed="false">
      <c r="B73" s="1" t="s">
        <v>4158</v>
      </c>
      <c r="C73" s="137"/>
      <c r="D73" s="94"/>
    </row>
    <row r="74" customFormat="false" ht="15" hidden="false" customHeight="true" outlineLevel="0" collapsed="false">
      <c r="B74" s="1" t="s">
        <v>4159</v>
      </c>
      <c r="C74" s="137"/>
      <c r="D74" s="94"/>
    </row>
    <row r="75" customFormat="false" ht="15" hidden="false" customHeight="true" outlineLevel="0" collapsed="false">
      <c r="B75" s="1" t="s">
        <v>4160</v>
      </c>
      <c r="D75" s="139" t="n">
        <f aca="false">SUM(C71:C74)</f>
        <v>0</v>
      </c>
    </row>
    <row r="76" customFormat="false" ht="15" hidden="false" customHeight="true" outlineLevel="0" collapsed="false">
      <c r="B76" s="93" t="s">
        <v>3428</v>
      </c>
      <c r="C76" s="93" t="s">
        <v>4161</v>
      </c>
    </row>
    <row r="77" customFormat="false" ht="15" hidden="false" customHeight="true" outlineLevel="0" collapsed="false">
      <c r="B77" s="1" t="s">
        <v>4162</v>
      </c>
      <c r="C77" s="137"/>
    </row>
    <row r="78" customFormat="false" ht="15" hidden="false" customHeight="true" outlineLevel="0" collapsed="false">
      <c r="B78" s="1" t="s">
        <v>4163</v>
      </c>
      <c r="C78" s="137"/>
    </row>
    <row r="79" customFormat="false" ht="15" hidden="false" customHeight="true" outlineLevel="0" collapsed="false">
      <c r="B79" s="1" t="s">
        <v>4164</v>
      </c>
      <c r="C79" s="137"/>
    </row>
    <row r="80" customFormat="false" ht="15" hidden="false" customHeight="true" outlineLevel="0" collapsed="false">
      <c r="B80" s="1" t="s">
        <v>4165</v>
      </c>
      <c r="C80" s="137"/>
    </row>
    <row r="81" customFormat="false" ht="15" hidden="false" customHeight="true" outlineLevel="0" collapsed="false">
      <c r="B81" s="1" t="s">
        <v>4166</v>
      </c>
      <c r="D81" s="139" t="n">
        <f aca="false">SUM(C77:C80)</f>
        <v>0</v>
      </c>
    </row>
    <row r="84" customFormat="false" ht="15" hidden="false" customHeight="false" outlineLevel="0" collapsed="false">
      <c r="B84" s="111" t="s">
        <v>4167</v>
      </c>
    </row>
    <row r="85" customFormat="false" ht="55.2" hidden="false" customHeight="false" outlineLevel="0" collapsed="false">
      <c r="B85" s="136" t="s">
        <v>532</v>
      </c>
      <c r="C85" s="136" t="s">
        <v>4085</v>
      </c>
      <c r="D85" s="136" t="s">
        <v>4168</v>
      </c>
      <c r="E85" s="136" t="s">
        <v>4087</v>
      </c>
      <c r="F85" s="136" t="s">
        <v>419</v>
      </c>
      <c r="G85" s="136" t="s">
        <v>4169</v>
      </c>
      <c r="H85" s="136" t="s">
        <v>4170</v>
      </c>
      <c r="I85" s="136" t="s">
        <v>4171</v>
      </c>
    </row>
    <row r="86" customFormat="false" ht="15" hidden="false" customHeight="false" outlineLevel="0" collapsed="false">
      <c r="B86" s="1" t="s">
        <v>4172</v>
      </c>
      <c r="C86" s="94"/>
      <c r="D86" s="137"/>
      <c r="E86" s="137"/>
      <c r="F86" s="94"/>
      <c r="G86" s="94"/>
      <c r="H86" s="142" t="n">
        <f aca="false">IF(N(G86)&gt;0,G86,AS_MortRate)</f>
        <v>0.0348</v>
      </c>
      <c r="I86" s="141" t="n">
        <f aca="false">IF(N(D86)&gt;0,IF(N(E86)&gt;0,E86,IF(H86/12&lt;&gt;0,D86*(H86/12)/(1-(1+H86/12)^-MAX(1,ROUND(IF(N(F86)&gt;0,F86,PR_FbMortYears)*12,0))),D86/MAX(1,ROUND(IF(N(F86)&gt;0,F86,PR_FbMortYears)*12,0)))),0)</f>
        <v>0</v>
      </c>
    </row>
    <row r="87" customFormat="false" ht="15" hidden="false" customHeight="false" outlineLevel="0" collapsed="false">
      <c r="B87" s="1" t="s">
        <v>4173</v>
      </c>
      <c r="C87" s="94"/>
      <c r="D87" s="137"/>
      <c r="E87" s="137"/>
      <c r="F87" s="94"/>
      <c r="G87" s="94"/>
      <c r="H87" s="142" t="n">
        <f aca="false">IF(N(G87)&gt;0,G87,AS_MortRate)</f>
        <v>0.0348</v>
      </c>
      <c r="I87" s="141" t="n">
        <f aca="false">IF(N(D87)&gt;0,IF(N(E87)&gt;0,E87,IF(H87/12&lt;&gt;0,D87*(H87/12)/(1-(1+H87/12)^-MAX(1,ROUND(IF(N(F87)&gt;0,F87,PR_FbMortYears)*12,0))),D87/MAX(1,ROUND(IF(N(F87)&gt;0,F87,PR_FbMortYears)*12,0)))),0)</f>
        <v>0</v>
      </c>
    </row>
    <row r="88" customFormat="false" ht="15" hidden="false" customHeight="false" outlineLevel="0" collapsed="false">
      <c r="B88" s="1" t="s">
        <v>4174</v>
      </c>
      <c r="C88" s="94"/>
      <c r="D88" s="137"/>
      <c r="E88" s="137"/>
      <c r="F88" s="94"/>
      <c r="G88" s="94"/>
      <c r="H88" s="142" t="n">
        <f aca="false">IF(N(G88)&gt;0,G88,AS_MortRate)</f>
        <v>0.0348</v>
      </c>
      <c r="I88" s="141" t="n">
        <f aca="false">IF(N(D88)&gt;0,IF(N(E88)&gt;0,E88,IF(H88/12&lt;&gt;0,D88*(H88/12)/(1-(1+H88/12)^-MAX(1,ROUND(IF(N(F88)&gt;0,F88,PR_FbMortYears)*12,0))),D88/MAX(1,ROUND(IF(N(F88)&gt;0,F88,PR_FbMortYears)*12,0)))),0)</f>
        <v>0</v>
      </c>
    </row>
    <row r="89" customFormat="false" ht="15" hidden="false" customHeight="false" outlineLevel="0" collapsed="false">
      <c r="B89" s="1" t="s">
        <v>4175</v>
      </c>
      <c r="C89" s="94"/>
      <c r="D89" s="137"/>
      <c r="E89" s="137"/>
      <c r="F89" s="94"/>
      <c r="G89" s="94"/>
      <c r="H89" s="142" t="n">
        <f aca="false">IF(N(G89)&gt;0,G89,AS_MortRate)</f>
        <v>0.0348</v>
      </c>
      <c r="I89" s="141" t="n">
        <f aca="false">IF(N(D89)&gt;0,IF(N(E89)&gt;0,E89,IF(H89/12&lt;&gt;0,D89*(H89/12)/(1-(1+H89/12)^-MAX(1,ROUND(IF(N(F89)&gt;0,F89,PR_FbMortYears)*12,0))),D89/MAX(1,ROUND(IF(N(F89)&gt;0,F89,PR_FbMortYears)*12,0)))),0)</f>
        <v>0</v>
      </c>
    </row>
    <row r="90" customFormat="false" ht="15" hidden="false" customHeight="false" outlineLevel="0" collapsed="false">
      <c r="B90" s="1" t="s">
        <v>4176</v>
      </c>
      <c r="D90" s="95" t="n">
        <f aca="false">SUMIF(D86:D89,"&gt;0")</f>
        <v>0</v>
      </c>
    </row>
    <row r="91" customFormat="false" ht="15" hidden="false" customHeight="false" outlineLevel="0" collapsed="false">
      <c r="B91" s="1" t="s">
        <v>4177</v>
      </c>
      <c r="D91" s="95" t="n">
        <f aca="false">SUM(I86:I89)</f>
        <v>0</v>
      </c>
    </row>
    <row r="92" customFormat="false" ht="15" hidden="false" customHeight="false" outlineLevel="0" collapsed="false">
      <c r="B92" s="1" t="s">
        <v>4178</v>
      </c>
      <c r="D92" s="143" t="n">
        <f aca="false">IF(D90&gt;0,SUMPRODUCT((D86:D89&gt;0)*D86:D89*H86:H89)/D90,0)</f>
        <v>0</v>
      </c>
    </row>
    <row r="93" customFormat="false" ht="15" hidden="false" customHeight="false" outlineLevel="0" collapsed="false">
      <c r="B93" s="1" t="s">
        <v>4179</v>
      </c>
      <c r="D93" s="95" t="n">
        <f aca="false">IF(SUMPRODUCT((N(+D86:D89)&gt;0)*(N(+E86:E89)&lt;=0)*(N(+F86:F89)&lt;=0))&gt;0,1,0)</f>
        <v>0</v>
      </c>
    </row>
    <row r="94" customFormat="false" ht="15" hidden="false" customHeight="false" outlineLevel="0" collapsed="false">
      <c r="B94" s="1" t="s">
        <v>4180</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4181</v>
      </c>
    </row>
    <row r="2" customFormat="false" ht="75" hidden="false" customHeight="true" outlineLevel="0" collapsed="false">
      <c r="B2" s="91" t="s">
        <v>4182</v>
      </c>
      <c r="C2" s="91"/>
      <c r="D2" s="91"/>
      <c r="E2" s="91"/>
      <c r="F2" s="91"/>
      <c r="G2" s="91"/>
      <c r="H2" s="91"/>
      <c r="I2" s="91"/>
      <c r="J2" s="91"/>
      <c r="K2" s="91"/>
    </row>
    <row r="3" customFormat="false" ht="15" hidden="false" customHeight="false" outlineLevel="0" collapsed="false">
      <c r="B3" s="23" t="s">
        <v>4183</v>
      </c>
    </row>
    <row r="4" customFormat="false" ht="15" hidden="false" customHeight="true" outlineLevel="0" collapsed="false">
      <c r="B4" s="111" t="s">
        <v>4184</v>
      </c>
      <c r="C4" s="94"/>
    </row>
    <row r="6" customFormat="false" ht="81.75" hidden="false" customHeight="true" outlineLevel="0" collapsed="false">
      <c r="B6" s="98" t="s">
        <v>4185</v>
      </c>
      <c r="C6" s="98" t="s">
        <v>4186</v>
      </c>
      <c r="D6" s="98" t="s">
        <v>4187</v>
      </c>
      <c r="E6" s="98" t="s">
        <v>4188</v>
      </c>
      <c r="F6" s="98" t="s">
        <v>4189</v>
      </c>
      <c r="G6" s="98" t="s">
        <v>4190</v>
      </c>
      <c r="H6" s="98" t="s">
        <v>4191</v>
      </c>
      <c r="I6" s="98" t="s">
        <v>4192</v>
      </c>
      <c r="J6" s="98" t="s">
        <v>4193</v>
      </c>
      <c r="K6" s="98" t="s">
        <v>4194</v>
      </c>
      <c r="L6" s="93" t="s">
        <v>4195</v>
      </c>
      <c r="M6" s="93" t="s">
        <v>4196</v>
      </c>
    </row>
    <row r="7" customFormat="false" ht="15" hidden="false" customHeight="true" outlineLevel="0" collapsed="false">
      <c r="B7" s="144" t="s">
        <v>4197</v>
      </c>
    </row>
    <row r="8" customFormat="false" ht="15" hidden="false" customHeight="true" outlineLevel="0" collapsed="false">
      <c r="B8" s="1" t="s">
        <v>4198</v>
      </c>
      <c r="C8" s="138" t="n">
        <v>0.02</v>
      </c>
      <c r="G8" s="94" t="s">
        <v>4199</v>
      </c>
      <c r="H8" s="23" t="s">
        <v>4200</v>
      </c>
      <c r="I8" s="23" t="s">
        <v>4201</v>
      </c>
      <c r="J8" s="23"/>
      <c r="K8" s="23" t="s">
        <v>4202</v>
      </c>
    </row>
    <row r="9" customFormat="false" ht="15" hidden="false" customHeight="true" outlineLevel="0" collapsed="false">
      <c r="B9" s="1" t="s">
        <v>4203</v>
      </c>
      <c r="C9" s="138" t="n">
        <v>0.03</v>
      </c>
      <c r="F9" s="138" t="n">
        <v>0.025</v>
      </c>
      <c r="G9" s="94" t="s">
        <v>4204</v>
      </c>
      <c r="H9" s="23" t="s">
        <v>4205</v>
      </c>
      <c r="I9" s="23" t="s">
        <v>4206</v>
      </c>
      <c r="J9" s="23" t="s">
        <v>4207</v>
      </c>
      <c r="K9" s="23" t="s">
        <v>4202</v>
      </c>
    </row>
    <row r="10" customFormat="false" ht="15" hidden="false" customHeight="true" outlineLevel="0" collapsed="false">
      <c r="B10" s="1" t="s">
        <v>4208</v>
      </c>
      <c r="C10" s="138" t="n">
        <v>0.01</v>
      </c>
      <c r="F10" s="138" t="n">
        <v>0.007</v>
      </c>
      <c r="G10" s="94" t="s">
        <v>4209</v>
      </c>
      <c r="H10" s="23" t="s">
        <v>4210</v>
      </c>
      <c r="I10" s="23" t="s">
        <v>4211</v>
      </c>
      <c r="J10" s="23"/>
      <c r="K10" s="23" t="s">
        <v>4202</v>
      </c>
    </row>
    <row r="11" customFormat="false" ht="15" hidden="false" customHeight="true" outlineLevel="0" collapsed="false">
      <c r="B11" s="1" t="s">
        <v>4212</v>
      </c>
      <c r="C11" s="145" t="n">
        <f aca="false">ROUND(((1+Set_invGross-IF(ISNUMBER(Suggest_Fund_Charges),Suggest_Fund_Charges,0.01))^Deemed_Disposal_Years-Exit_Tax*((1+Set_invGross-IF(ISNUMBER(Suggest_Fund_Charges),Suggest_Fund_Charges,0.01))^Deemed_Disposal_Years-1))^(1/Deemed_Disposal_Years)-1,3)</f>
        <v>0.026</v>
      </c>
      <c r="F11" s="145"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4213</v>
      </c>
      <c r="I11" s="23" t="s">
        <v>4206</v>
      </c>
      <c r="J11" s="23" t="s">
        <v>4214</v>
      </c>
      <c r="K11" s="23" t="s">
        <v>4202</v>
      </c>
    </row>
    <row r="12" customFormat="false" ht="15" hidden="false" customHeight="true" outlineLevel="0" collapsed="false">
      <c r="B12" s="1" t="s">
        <v>4215</v>
      </c>
      <c r="C12" s="138" t="n">
        <v>0.05</v>
      </c>
      <c r="G12" s="94" t="s">
        <v>4216</v>
      </c>
      <c r="H12" s="23" t="s">
        <v>4217</v>
      </c>
      <c r="I12" s="23" t="s">
        <v>4206</v>
      </c>
      <c r="J12" s="23" t="s">
        <v>4218</v>
      </c>
      <c r="K12" s="23" t="s">
        <v>4202</v>
      </c>
    </row>
    <row r="13" customFormat="false" ht="15" hidden="false" customHeight="true" outlineLevel="0" collapsed="false">
      <c r="B13" s="1" t="s">
        <v>4219</v>
      </c>
      <c r="C13" s="138" t="n">
        <v>0.045</v>
      </c>
      <c r="F13" s="138" t="n">
        <v>0.04</v>
      </c>
      <c r="G13" s="94" t="s">
        <v>4220</v>
      </c>
      <c r="H13" s="23" t="s">
        <v>4221</v>
      </c>
      <c r="I13" s="23" t="s">
        <v>4206</v>
      </c>
      <c r="J13" s="23" t="s">
        <v>4222</v>
      </c>
      <c r="K13" s="23" t="s">
        <v>4202</v>
      </c>
    </row>
    <row r="14" customFormat="false" ht="15" hidden="false" customHeight="true" outlineLevel="0" collapsed="false">
      <c r="B14" s="1" t="s">
        <v>4223</v>
      </c>
      <c r="C14" s="138" t="n">
        <v>0.0315</v>
      </c>
      <c r="F14" s="138" t="n">
        <v>0.028</v>
      </c>
      <c r="G14" s="94" t="s">
        <v>4224</v>
      </c>
      <c r="H14" s="23" t="s">
        <v>4221</v>
      </c>
      <c r="I14" s="23" t="s">
        <v>4206</v>
      </c>
      <c r="J14" s="23" t="s">
        <v>4225</v>
      </c>
      <c r="K14" s="23" t="s">
        <v>4202</v>
      </c>
    </row>
    <row r="15" customFormat="false" ht="15" hidden="false" customHeight="true" outlineLevel="0" collapsed="false">
      <c r="B15" s="144" t="s">
        <v>3362</v>
      </c>
    </row>
    <row r="16" customFormat="false" ht="15" hidden="false" customHeight="true" outlineLevel="0" collapsed="false">
      <c r="B16" s="1" t="s">
        <v>4226</v>
      </c>
      <c r="C16" s="138" t="n">
        <v>0.03</v>
      </c>
      <c r="G16" s="94" t="s">
        <v>4227</v>
      </c>
      <c r="H16" s="23" t="s">
        <v>4228</v>
      </c>
      <c r="I16" s="23" t="s">
        <v>4206</v>
      </c>
      <c r="J16" s="23" t="s">
        <v>4229</v>
      </c>
      <c r="K16" s="23" t="s">
        <v>4230</v>
      </c>
    </row>
    <row r="17" customFormat="false" ht="15" hidden="false" customHeight="true" outlineLevel="0" collapsed="false">
      <c r="B17" s="1" t="s">
        <v>4231</v>
      </c>
      <c r="C17" s="138" t="n">
        <v>0.02</v>
      </c>
      <c r="G17" s="94" t="s">
        <v>4232</v>
      </c>
      <c r="H17" s="23" t="s">
        <v>4233</v>
      </c>
      <c r="I17" s="23" t="s">
        <v>4206</v>
      </c>
      <c r="J17" s="23" t="s">
        <v>4234</v>
      </c>
      <c r="K17" s="23" t="s">
        <v>4230</v>
      </c>
    </row>
    <row r="18" customFormat="false" ht="15" hidden="false" customHeight="true" outlineLevel="0" collapsed="false">
      <c r="B18" s="1" t="s">
        <v>4235</v>
      </c>
      <c r="C18" s="138" t="n">
        <v>0.01</v>
      </c>
      <c r="G18" s="94" t="s">
        <v>4236</v>
      </c>
      <c r="H18" s="23" t="s">
        <v>4237</v>
      </c>
      <c r="I18" s="23" t="s">
        <v>4206</v>
      </c>
      <c r="J18" s="23"/>
      <c r="K18" s="23" t="s">
        <v>4230</v>
      </c>
    </row>
    <row r="19" customFormat="false" ht="15" hidden="false" customHeight="true" outlineLevel="0" collapsed="false">
      <c r="B19" s="144" t="s">
        <v>4238</v>
      </c>
    </row>
    <row r="20" customFormat="false" ht="15" hidden="false" customHeight="true" outlineLevel="0" collapsed="false">
      <c r="B20" s="1" t="s">
        <v>4239</v>
      </c>
      <c r="C20" s="138" t="n">
        <v>0.5</v>
      </c>
      <c r="G20" s="94" t="s">
        <v>4240</v>
      </c>
      <c r="H20" s="23" t="s">
        <v>4241</v>
      </c>
      <c r="I20" s="23" t="s">
        <v>4206</v>
      </c>
      <c r="J20" s="23" t="s">
        <v>4242</v>
      </c>
      <c r="K20" s="23" t="s">
        <v>4243</v>
      </c>
    </row>
    <row r="21" customFormat="false" ht="15" hidden="false" customHeight="true" outlineLevel="0" collapsed="false">
      <c r="B21" s="1" t="s">
        <v>4244</v>
      </c>
      <c r="C21" s="94" t="n">
        <v>25</v>
      </c>
      <c r="G21" s="94" t="s">
        <v>4245</v>
      </c>
      <c r="H21" s="23" t="s">
        <v>4246</v>
      </c>
      <c r="I21" s="23" t="s">
        <v>4206</v>
      </c>
      <c r="J21" s="23" t="s">
        <v>4247</v>
      </c>
      <c r="K21" s="23" t="s">
        <v>4248</v>
      </c>
    </row>
    <row r="22" customFormat="false" ht="15" hidden="false" customHeight="true" outlineLevel="0" collapsed="false">
      <c r="B22" s="1" t="s">
        <v>4249</v>
      </c>
      <c r="C22" s="138" t="n">
        <v>0.8</v>
      </c>
      <c r="G22" s="94" t="s">
        <v>4250</v>
      </c>
      <c r="H22" s="23" t="s">
        <v>4251</v>
      </c>
      <c r="I22" s="23" t="s">
        <v>4206</v>
      </c>
      <c r="J22" s="23"/>
      <c r="K22" s="23" t="s">
        <v>4243</v>
      </c>
    </row>
    <row r="23" customFormat="false" ht="15" hidden="false" customHeight="true" outlineLevel="0" collapsed="false">
      <c r="B23" s="1" t="s">
        <v>4252</v>
      </c>
      <c r="C23" s="138" t="n">
        <v>0.25</v>
      </c>
      <c r="G23" s="94" t="s">
        <v>4253</v>
      </c>
      <c r="H23" s="23" t="s">
        <v>4254</v>
      </c>
      <c r="I23" s="23" t="s">
        <v>4255</v>
      </c>
      <c r="J23" s="23"/>
      <c r="K23" s="23" t="s">
        <v>4243</v>
      </c>
    </row>
    <row r="24" customFormat="false" ht="15" hidden="false" customHeight="true" outlineLevel="0" collapsed="false">
      <c r="B24" s="144" t="s">
        <v>4256</v>
      </c>
    </row>
    <row r="25" customFormat="false" ht="15" hidden="false" customHeight="true" outlineLevel="0" collapsed="false">
      <c r="B25" s="1" t="s">
        <v>4257</v>
      </c>
      <c r="C25" s="94" t="n">
        <v>6</v>
      </c>
      <c r="G25" s="94" t="s">
        <v>4258</v>
      </c>
      <c r="H25" s="23" t="s">
        <v>4259</v>
      </c>
      <c r="I25" s="23" t="s">
        <v>4206</v>
      </c>
      <c r="J25" s="23" t="s">
        <v>4260</v>
      </c>
      <c r="K25" s="23" t="s">
        <v>4261</v>
      </c>
    </row>
    <row r="26" customFormat="false" ht="15" hidden="false" customHeight="true" outlineLevel="0" collapsed="false">
      <c r="B26" s="1" t="s">
        <v>4262</v>
      </c>
      <c r="C26" s="94" t="n">
        <v>3</v>
      </c>
      <c r="G26" s="94" t="s">
        <v>4263</v>
      </c>
      <c r="H26" s="23" t="s">
        <v>4264</v>
      </c>
      <c r="I26" s="23" t="s">
        <v>4206</v>
      </c>
      <c r="J26" s="23"/>
      <c r="K26" s="23" t="s">
        <v>4261</v>
      </c>
    </row>
    <row r="27" customFormat="false" ht="15" hidden="false" customHeight="true" outlineLevel="0" collapsed="false">
      <c r="B27" s="1" t="s">
        <v>4265</v>
      </c>
      <c r="C27" s="94" t="n">
        <v>5</v>
      </c>
      <c r="G27" s="94" t="s">
        <v>4266</v>
      </c>
      <c r="H27" s="23" t="s">
        <v>4267</v>
      </c>
      <c r="I27" s="23" t="s">
        <v>4206</v>
      </c>
      <c r="J27" s="23" t="s">
        <v>4268</v>
      </c>
      <c r="K27" s="23" t="s">
        <v>4269</v>
      </c>
    </row>
    <row r="28" customFormat="false" ht="15" hidden="false" customHeight="true" outlineLevel="0" collapsed="false">
      <c r="B28" s="1" t="s">
        <v>4270</v>
      </c>
      <c r="C28" s="138" t="n">
        <v>0.4</v>
      </c>
      <c r="G28" s="94" t="s">
        <v>4271</v>
      </c>
      <c r="H28" s="23" t="s">
        <v>4272</v>
      </c>
      <c r="I28" s="23" t="s">
        <v>4206</v>
      </c>
      <c r="J28" s="23"/>
      <c r="K28" s="23" t="s">
        <v>4273</v>
      </c>
    </row>
    <row r="29" customFormat="false" ht="15" hidden="false" customHeight="true" outlineLevel="0" collapsed="false">
      <c r="B29" s="1" t="s">
        <v>4274</v>
      </c>
      <c r="C29" s="138" t="n">
        <v>0.5</v>
      </c>
      <c r="G29" s="94" t="s">
        <v>4275</v>
      </c>
      <c r="H29" s="23" t="s">
        <v>4276</v>
      </c>
      <c r="I29" s="23" t="s">
        <v>4206</v>
      </c>
      <c r="J29" s="23" t="s">
        <v>4277</v>
      </c>
      <c r="K29" s="23" t="s">
        <v>4273</v>
      </c>
    </row>
    <row r="30" customFormat="false" ht="15" hidden="false" customHeight="true" outlineLevel="0" collapsed="false">
      <c r="B30" s="1" t="s">
        <v>4278</v>
      </c>
      <c r="C30" s="137" t="n">
        <v>300</v>
      </c>
      <c r="G30" s="94" t="s">
        <v>4279</v>
      </c>
      <c r="H30" s="23" t="s">
        <v>4276</v>
      </c>
      <c r="I30" s="23" t="s">
        <v>4206</v>
      </c>
      <c r="J30" s="23" t="s">
        <v>4280</v>
      </c>
      <c r="K30" s="23" t="s">
        <v>4281</v>
      </c>
    </row>
    <row r="31" customFormat="false" ht="15" hidden="false" customHeight="true" outlineLevel="0" collapsed="false">
      <c r="B31" s="144" t="s">
        <v>80</v>
      </c>
    </row>
    <row r="32" customFormat="false" ht="15" hidden="false" customHeight="true" outlineLevel="0" collapsed="false">
      <c r="B32" s="1" t="s">
        <v>4282</v>
      </c>
      <c r="C32" s="138" t="n">
        <v>0.6</v>
      </c>
      <c r="G32" s="94" t="s">
        <v>4283</v>
      </c>
      <c r="H32" s="23" t="s">
        <v>4284</v>
      </c>
      <c r="I32" s="23" t="s">
        <v>4206</v>
      </c>
      <c r="J32" s="23"/>
      <c r="K32" s="23" t="s">
        <v>4285</v>
      </c>
    </row>
    <row r="33" customFormat="false" ht="15" hidden="false" customHeight="true" outlineLevel="0" collapsed="false">
      <c r="B33" s="1" t="s">
        <v>4286</v>
      </c>
      <c r="C33" s="94" t="n">
        <v>15</v>
      </c>
      <c r="G33" s="94" t="s">
        <v>4287</v>
      </c>
      <c r="H33" s="23" t="s">
        <v>4284</v>
      </c>
      <c r="I33" s="23" t="s">
        <v>4206</v>
      </c>
      <c r="J33" s="23"/>
      <c r="K33" s="23" t="s">
        <v>4288</v>
      </c>
    </row>
    <row r="34" customFormat="false" ht="15" hidden="false" customHeight="true" outlineLevel="0" collapsed="false">
      <c r="B34" s="144" t="s">
        <v>4289</v>
      </c>
    </row>
    <row r="35" customFormat="false" ht="15" hidden="false" customHeight="true" outlineLevel="0" collapsed="false">
      <c r="B35" s="1" t="s">
        <v>4290</v>
      </c>
      <c r="C35" s="146" t="n">
        <v>0.02</v>
      </c>
      <c r="D35" s="146" t="n">
        <v>0.04</v>
      </c>
      <c r="E35" s="146" t="n">
        <v>0.06</v>
      </c>
      <c r="G35" s="94" t="s">
        <v>4291</v>
      </c>
      <c r="H35" s="23" t="s">
        <v>4292</v>
      </c>
      <c r="I35" s="23" t="s">
        <v>4206</v>
      </c>
      <c r="J35" s="23" t="s">
        <v>4293</v>
      </c>
      <c r="K35" s="23" t="s">
        <v>4294</v>
      </c>
    </row>
    <row r="36" customFormat="false" ht="15" hidden="false" customHeight="true" outlineLevel="0" collapsed="false">
      <c r="B36" s="1" t="s">
        <v>4295</v>
      </c>
      <c r="C36" s="146" t="n">
        <v>0.05</v>
      </c>
      <c r="D36" s="146" t="n">
        <v>0.1</v>
      </c>
      <c r="E36" s="146" t="n">
        <v>0.16</v>
      </c>
      <c r="G36" s="94" t="s">
        <v>4291</v>
      </c>
      <c r="H36" s="23" t="s">
        <v>4292</v>
      </c>
      <c r="I36" s="23" t="s">
        <v>4206</v>
      </c>
      <c r="J36" s="23" t="s">
        <v>4296</v>
      </c>
      <c r="K36" s="23" t="s">
        <v>4294</v>
      </c>
    </row>
    <row r="37" customFormat="false" ht="15" hidden="false" customHeight="true" outlineLevel="0" collapsed="false">
      <c r="B37" s="1" t="s">
        <v>4297</v>
      </c>
      <c r="C37" s="146" t="n">
        <v>0.5</v>
      </c>
      <c r="D37" s="146" t="n">
        <v>0.3</v>
      </c>
      <c r="E37" s="146" t="n">
        <v>0.2</v>
      </c>
      <c r="G37" s="94" t="s">
        <v>4298</v>
      </c>
      <c r="H37" s="23" t="s">
        <v>4299</v>
      </c>
      <c r="I37" s="23" t="s">
        <v>4206</v>
      </c>
      <c r="J37" s="23"/>
      <c r="K37" s="23" t="s">
        <v>4294</v>
      </c>
    </row>
    <row r="38" customFormat="false" ht="15" hidden="false" customHeight="true" outlineLevel="0" collapsed="false">
      <c r="B38" s="144" t="s">
        <v>4300</v>
      </c>
    </row>
    <row r="39" customFormat="false" ht="15" hidden="false" customHeight="true" outlineLevel="0" collapsed="false">
      <c r="B39" s="1" t="s">
        <v>4301</v>
      </c>
      <c r="C39" s="94" t="s">
        <v>4302</v>
      </c>
      <c r="G39" s="94" t="s">
        <v>4303</v>
      </c>
      <c r="H39" s="23" t="s">
        <v>4304</v>
      </c>
      <c r="I39" s="23" t="s">
        <v>4206</v>
      </c>
      <c r="J39" s="23" t="s">
        <v>4305</v>
      </c>
      <c r="K39" s="23" t="s">
        <v>4306</v>
      </c>
    </row>
    <row r="40" customFormat="false" ht="15" hidden="false" customHeight="true" outlineLevel="0" collapsed="false">
      <c r="B40" s="1" t="s">
        <v>4307</v>
      </c>
      <c r="C40" s="94" t="s">
        <v>4302</v>
      </c>
      <c r="G40" s="94" t="s">
        <v>4308</v>
      </c>
      <c r="H40" s="23" t="s">
        <v>4309</v>
      </c>
      <c r="I40" s="23" t="s">
        <v>4206</v>
      </c>
      <c r="J40" s="23" t="s">
        <v>4310</v>
      </c>
      <c r="K40" s="23" t="s">
        <v>4306</v>
      </c>
    </row>
    <row r="41" customFormat="false" ht="15" hidden="false" customHeight="true" outlineLevel="0" collapsed="false">
      <c r="B41" s="1" t="s">
        <v>4311</v>
      </c>
      <c r="C41" s="94" t="s">
        <v>4312</v>
      </c>
      <c r="G41" s="94" t="s">
        <v>4313</v>
      </c>
      <c r="H41" s="23" t="s">
        <v>4314</v>
      </c>
      <c r="I41" s="23" t="s">
        <v>4206</v>
      </c>
      <c r="J41" s="23"/>
      <c r="K41" s="23" t="s">
        <v>4306</v>
      </c>
    </row>
    <row r="42" customFormat="false" ht="15" hidden="false" customHeight="true" outlineLevel="0" collapsed="false">
      <c r="B42" s="1" t="s">
        <v>4315</v>
      </c>
      <c r="C42" s="94" t="s">
        <v>1932</v>
      </c>
      <c r="G42" s="94" t="s">
        <v>4316</v>
      </c>
      <c r="H42" s="23" t="s">
        <v>4317</v>
      </c>
      <c r="I42" s="23" t="s">
        <v>4206</v>
      </c>
      <c r="J42" s="23"/>
      <c r="K42" s="23" t="s">
        <v>4306</v>
      </c>
    </row>
    <row r="43" customFormat="false" ht="15" hidden="false" customHeight="true" outlineLevel="0" collapsed="false">
      <c r="B43" s="1" t="s">
        <v>4318</v>
      </c>
      <c r="C43" s="94" t="n">
        <v>5</v>
      </c>
      <c r="G43" s="94" t="s">
        <v>4319</v>
      </c>
      <c r="H43" s="23" t="s">
        <v>4320</v>
      </c>
      <c r="I43" s="23" t="s">
        <v>4206</v>
      </c>
      <c r="J43" s="23"/>
      <c r="K43" s="23" t="s">
        <v>4321</v>
      </c>
    </row>
    <row r="44" customFormat="false" ht="15" hidden="false" customHeight="true" outlineLevel="0" collapsed="false">
      <c r="B44" s="1" t="s">
        <v>4322</v>
      </c>
      <c r="C44" s="94" t="n">
        <v>2</v>
      </c>
      <c r="G44" s="94" t="s">
        <v>4323</v>
      </c>
      <c r="H44" s="23" t="s">
        <v>4324</v>
      </c>
      <c r="I44" s="23" t="s">
        <v>4206</v>
      </c>
      <c r="J44" s="23"/>
      <c r="K44" s="23" t="s">
        <v>4325</v>
      </c>
    </row>
    <row r="45" customFormat="false" ht="15" hidden="false" customHeight="true" outlineLevel="0" collapsed="false">
      <c r="B45" s="144" t="s">
        <v>4326</v>
      </c>
    </row>
    <row r="46" customFormat="false" ht="15" hidden="false" customHeight="true" outlineLevel="0" collapsed="false">
      <c r="B46" s="1" t="s">
        <v>4327</v>
      </c>
      <c r="C46" s="138" t="n">
        <v>0.0348</v>
      </c>
      <c r="D46" s="138"/>
      <c r="G46" s="94" t="s">
        <v>4328</v>
      </c>
      <c r="H46" s="23" t="s">
        <v>4329</v>
      </c>
      <c r="I46" s="23" t="s">
        <v>4330</v>
      </c>
      <c r="J46" s="23" t="s">
        <v>4331</v>
      </c>
      <c r="K46" s="23" t="s">
        <v>4332</v>
      </c>
      <c r="L46" s="23" t="str">
        <f aca="false">IF(D46&lt;&gt;"","Suggested by "&amp;IF(Partner_Name="","your provider",Partner_Name),G46)</f>
        <v>Central Bank of Ireland: average rate on new mortgages, Jul 2026</v>
      </c>
      <c r="M46" s="96" t="n">
        <f aca="false">IF(D46&lt;&gt;"",D46,IF(C46&lt;&gt;"",C46,""))</f>
        <v>0.0348</v>
      </c>
    </row>
    <row r="47" customFormat="false" ht="15" hidden="false" customHeight="true" outlineLevel="0" collapsed="false">
      <c r="B47" s="1" t="s">
        <v>4333</v>
      </c>
      <c r="C47" s="138" t="n">
        <v>0.0672</v>
      </c>
      <c r="D47" s="138"/>
      <c r="G47" s="94" t="s">
        <v>4334</v>
      </c>
      <c r="H47" s="23" t="s">
        <v>4329</v>
      </c>
      <c r="I47" s="23" t="s">
        <v>4330</v>
      </c>
      <c r="J47" s="23" t="s">
        <v>4335</v>
      </c>
      <c r="K47" s="23" t="s">
        <v>4332</v>
      </c>
      <c r="L47" s="23" t="str">
        <f aca="false">IF(D47&lt;&gt;"","Suggested by "&amp;IF(Partner_Name="","your provider",Partner_Name),G47)</f>
        <v>Central Bank of Ireland: average rate on new consumer loans, Jul 2026</v>
      </c>
      <c r="M47" s="96" t="n">
        <f aca="false">IF(D47&lt;&gt;"",D47,IF(C47&lt;&gt;"",C47,""))</f>
        <v>0.0672</v>
      </c>
    </row>
    <row r="48" customFormat="false" ht="15" hidden="false" customHeight="true" outlineLevel="0" collapsed="false">
      <c r="B48" s="1" t="s">
        <v>4336</v>
      </c>
      <c r="C48" s="138"/>
      <c r="D48" s="138"/>
      <c r="G48" s="94" t="s">
        <v>4337</v>
      </c>
      <c r="H48" s="23" t="s">
        <v>4329</v>
      </c>
      <c r="I48" s="23" t="s">
        <v>4338</v>
      </c>
      <c r="J48" s="23" t="s">
        <v>4339</v>
      </c>
      <c r="K48" s="23" t="s">
        <v>4332</v>
      </c>
      <c r="L48" s="23" t="str">
        <f aca="false">IF(D48&lt;&gt;"","Suggested by "&amp;IF(Partner_Name="","your provider",Partner_Name),G48)</f>
        <v>No published average</v>
      </c>
      <c r="M48" s="96" t="str">
        <f aca="false">IF(D48&lt;&gt;"",D48,IF(C48&lt;&gt;"",C48,""))</f>
        <v/>
      </c>
    </row>
    <row r="49" customFormat="false" ht="15" hidden="false" customHeight="true" outlineLevel="0" collapsed="false">
      <c r="B49" s="1" t="s">
        <v>4340</v>
      </c>
      <c r="C49" s="138" t="n">
        <v>0.0192</v>
      </c>
      <c r="D49" s="138"/>
      <c r="G49" s="94" t="s">
        <v>4341</v>
      </c>
      <c r="H49" s="23" t="s">
        <v>4329</v>
      </c>
      <c r="I49" s="23" t="s">
        <v>4330</v>
      </c>
      <c r="J49" s="23" t="s">
        <v>4342</v>
      </c>
      <c r="K49" s="23" t="s">
        <v>4332</v>
      </c>
      <c r="L49" s="23" t="str">
        <f aca="false">IF(D49&lt;&gt;"","Suggested by "&amp;IF(Partner_Name="","your provider",Partner_Name),G49)</f>
        <v>Central Bank of Ireland: average rate on new fixed-term household deposits, Jul 2026</v>
      </c>
      <c r="M49" s="96" t="n">
        <f aca="false">IF(D49&lt;&gt;"",D49,IF(C49&lt;&gt;"",C49,""))</f>
        <v>0.0192</v>
      </c>
    </row>
    <row r="50" customFormat="false" ht="15" hidden="false" customHeight="true" outlineLevel="0" collapsed="false">
      <c r="B50" s="1" t="s">
        <v>4343</v>
      </c>
      <c r="C50" s="137"/>
      <c r="D50" s="137"/>
      <c r="G50" s="94" t="s">
        <v>4344</v>
      </c>
      <c r="H50" s="23" t="s">
        <v>4344</v>
      </c>
      <c r="I50" s="23" t="s">
        <v>4338</v>
      </c>
      <c r="J50" s="23"/>
      <c r="K50" s="23" t="s">
        <v>4345</v>
      </c>
      <c r="L50" s="23" t="str">
        <f aca="false">IF(D50&lt;&gt;"","Suggested by "&amp;IF(Partner_Name="","your provider",Partner_Name),G50)</f>
        <v>No published figure</v>
      </c>
      <c r="M50" s="97" t="str">
        <f aca="false">IF(D50&lt;&gt;"",D50,IF(C50&lt;&gt;"",C50,""))</f>
        <v/>
      </c>
    </row>
    <row r="51" customFormat="false" ht="15" hidden="false" customHeight="true" outlineLevel="0" collapsed="false">
      <c r="B51" s="1" t="s">
        <v>4346</v>
      </c>
      <c r="C51" s="138" t="n">
        <v>0.01</v>
      </c>
      <c r="D51" s="138"/>
      <c r="G51" s="94" t="s">
        <v>4347</v>
      </c>
      <c r="H51" s="23" t="s">
        <v>4348</v>
      </c>
      <c r="I51" s="23" t="s">
        <v>4206</v>
      </c>
      <c r="J51" s="23" t="s">
        <v>4349</v>
      </c>
      <c r="K51" s="23" t="s">
        <v>4332</v>
      </c>
      <c r="L51" s="23" t="str">
        <f aca="false">IF(D51&lt;&gt;"","Suggested by "&amp;IF(Partner_Name="","your provider",Partner_Name),G51)</f>
        <v>Pensions Authority pension calculator assumption</v>
      </c>
      <c r="M51" s="96" t="n">
        <f aca="false">IF(D51&lt;&gt;"",D51,IF(C51&lt;&gt;"",C51,""))</f>
        <v>0.01</v>
      </c>
    </row>
    <row r="52" customFormat="false" ht="15" hidden="false" customHeight="true" outlineLevel="0" collapsed="false">
      <c r="B52" s="144" t="s">
        <v>4350</v>
      </c>
    </row>
    <row r="53" customFormat="false" ht="15" hidden="false" customHeight="true" outlineLevel="0" collapsed="false">
      <c r="B53" s="1" t="s">
        <v>4351</v>
      </c>
      <c r="C53" s="94" t="n">
        <v>83</v>
      </c>
      <c r="G53" s="94" t="s">
        <v>4352</v>
      </c>
      <c r="H53" s="23" t="s">
        <v>4353</v>
      </c>
      <c r="I53" s="23" t="s">
        <v>4354</v>
      </c>
      <c r="J53" s="23"/>
      <c r="K53" s="23" t="s">
        <v>4355</v>
      </c>
    </row>
    <row r="54" customFormat="false" ht="15" hidden="false" customHeight="true" outlineLevel="0" collapsed="false">
      <c r="B54" s="1" t="s">
        <v>4356</v>
      </c>
      <c r="C54" s="94" t="n">
        <v>86</v>
      </c>
      <c r="G54" s="94" t="s">
        <v>4352</v>
      </c>
      <c r="H54" s="23" t="s">
        <v>4353</v>
      </c>
      <c r="I54" s="23" t="s">
        <v>4357</v>
      </c>
      <c r="J54" s="23"/>
      <c r="K54" s="23" t="s">
        <v>4355</v>
      </c>
    </row>
    <row r="55" customFormat="false" ht="15" hidden="false" customHeight="true" outlineLevel="0" collapsed="false">
      <c r="B55" s="144" t="s">
        <v>4358</v>
      </c>
    </row>
    <row r="56" customFormat="false" ht="15" hidden="false" customHeight="true" outlineLevel="0" collapsed="false">
      <c r="B56" s="1" t="s">
        <v>4359</v>
      </c>
      <c r="C56" s="112" t="n">
        <v>0.039</v>
      </c>
      <c r="G56" s="1" t="s">
        <v>4360</v>
      </c>
    </row>
    <row r="57" customFormat="false" ht="15" hidden="false" customHeight="true" outlineLevel="0" collapsed="false">
      <c r="B57" s="1" t="s">
        <v>4361</v>
      </c>
      <c r="C57" s="147" t="n">
        <v>0.23</v>
      </c>
      <c r="G57" s="1" t="s">
        <v>4362</v>
      </c>
      <c r="H57" s="1" t="s">
        <v>4363</v>
      </c>
      <c r="I57" s="1" t="s">
        <v>4364</v>
      </c>
    </row>
    <row r="59" customFormat="false" ht="15" hidden="false" customHeight="false" outlineLevel="0" collapsed="false">
      <c r="B59" s="1" t="s">
        <v>4365</v>
      </c>
      <c r="C59" s="94" t="n">
        <v>60</v>
      </c>
      <c r="G59" s="94" t="s">
        <v>4366</v>
      </c>
      <c r="H59" s="23" t="s">
        <v>4367</v>
      </c>
      <c r="I59" s="23" t="s">
        <v>4206</v>
      </c>
      <c r="J59" s="23" t="s">
        <v>4368</v>
      </c>
      <c r="K59" s="23" t="s">
        <v>4369</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4370</v>
      </c>
    </row>
    <row r="2" customFormat="false" ht="15" hidden="false" customHeight="true" outlineLevel="0" collapsed="false">
      <c r="B2" s="148" t="s">
        <v>4371</v>
      </c>
    </row>
    <row r="3" customFormat="false" ht="39.75" hidden="false" customHeight="true" outlineLevel="0" collapsed="false">
      <c r="B3" s="149" t="s">
        <v>4372</v>
      </c>
      <c r="C3" s="149"/>
      <c r="D3" s="149"/>
      <c r="E3" s="149"/>
      <c r="F3" s="149"/>
      <c r="G3" s="149"/>
    </row>
    <row r="4" customFormat="false" ht="15" hidden="false" customHeight="false" outlineLevel="0" collapsed="false">
      <c r="B4" s="23" t="s">
        <v>4373</v>
      </c>
    </row>
    <row r="5" customFormat="false" ht="15" hidden="false" customHeight="true" outlineLevel="0" collapsed="false">
      <c r="B5" s="15" t="s">
        <v>4374</v>
      </c>
      <c r="C5" s="16"/>
      <c r="D5" s="16"/>
      <c r="E5" s="16"/>
      <c r="F5" s="16"/>
      <c r="G5" s="16"/>
      <c r="H5" s="16"/>
    </row>
    <row r="6" customFormat="false" ht="15" hidden="false" customHeight="true" outlineLevel="0" collapsed="false">
      <c r="B6" s="18" t="s">
        <v>4375</v>
      </c>
      <c r="C6" s="18" t="s">
        <v>1523</v>
      </c>
      <c r="D6" s="18" t="s">
        <v>4376</v>
      </c>
      <c r="E6" s="18" t="s">
        <v>4377</v>
      </c>
      <c r="F6" s="18" t="s">
        <v>4378</v>
      </c>
      <c r="G6" s="18" t="s">
        <v>4379</v>
      </c>
      <c r="H6" s="18" t="s">
        <v>4380</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0" t="s">
        <v>4381</v>
      </c>
    </row>
    <row r="8" customFormat="false" ht="15" hidden="false" customHeight="true" outlineLevel="0" collapsed="false">
      <c r="B8" s="15" t="s">
        <v>4382</v>
      </c>
      <c r="C8" s="16"/>
      <c r="D8" s="16"/>
      <c r="E8" s="16"/>
      <c r="F8" s="16"/>
      <c r="G8" s="16"/>
      <c r="H8" s="16"/>
    </row>
    <row r="9" customFormat="false" ht="15" hidden="false" customHeight="true" outlineLevel="0" collapsed="false">
      <c r="B9" s="18" t="s">
        <v>4375</v>
      </c>
      <c r="C9" s="18" t="s">
        <v>1523</v>
      </c>
      <c r="D9" s="18" t="s">
        <v>4376</v>
      </c>
      <c r="E9" s="18" t="s">
        <v>4377</v>
      </c>
      <c r="F9" s="18" t="s">
        <v>4378</v>
      </c>
      <c r="G9" s="18" t="s">
        <v>4379</v>
      </c>
      <c r="H9" s="18" t="s">
        <v>4380</v>
      </c>
    </row>
    <row r="10" customFormat="false" ht="24" hidden="false" customHeight="true" outlineLevel="0" collapsed="false">
      <c r="B10" s="9" t="s">
        <v>4383</v>
      </c>
      <c r="C10" s="151" t="n">
        <v>44000</v>
      </c>
      <c r="D10" s="19" t="s">
        <v>4384</v>
      </c>
      <c r="E10" s="150" t="s">
        <v>4385</v>
      </c>
      <c r="F10" s="19" t="s">
        <v>4386</v>
      </c>
      <c r="G10" s="152" t="s">
        <v>4387</v>
      </c>
      <c r="H10" s="150" t="s">
        <v>4388</v>
      </c>
    </row>
    <row r="11" customFormat="false" ht="24" hidden="false" customHeight="true" outlineLevel="0" collapsed="false">
      <c r="B11" s="9" t="s">
        <v>4389</v>
      </c>
      <c r="C11" s="151" t="n">
        <v>48000</v>
      </c>
      <c r="D11" s="19" t="s">
        <v>4390</v>
      </c>
      <c r="E11" s="150" t="s">
        <v>4391</v>
      </c>
      <c r="F11" s="19" t="s">
        <v>4386</v>
      </c>
      <c r="G11" s="152" t="s">
        <v>4392</v>
      </c>
      <c r="H11" s="150" t="s">
        <v>4393</v>
      </c>
    </row>
    <row r="12" customFormat="false" ht="24" hidden="false" customHeight="true" outlineLevel="0" collapsed="false">
      <c r="B12" s="9" t="s">
        <v>4394</v>
      </c>
      <c r="C12" s="151" t="n">
        <v>53000</v>
      </c>
      <c r="D12" s="19" t="s">
        <v>4390</v>
      </c>
      <c r="E12" s="150" t="s">
        <v>4385</v>
      </c>
      <c r="F12" s="19" t="s">
        <v>4386</v>
      </c>
      <c r="G12" s="152" t="s">
        <v>4387</v>
      </c>
      <c r="H12" s="150" t="s">
        <v>4395</v>
      </c>
    </row>
    <row r="13" customFormat="false" ht="24" hidden="false" customHeight="true" outlineLevel="0" collapsed="false">
      <c r="B13" s="9" t="s">
        <v>4396</v>
      </c>
      <c r="C13" s="151" t="n">
        <v>35000</v>
      </c>
      <c r="D13" s="19" t="s">
        <v>4390</v>
      </c>
      <c r="E13" s="150" t="s">
        <v>4385</v>
      </c>
      <c r="F13" s="19" t="s">
        <v>4386</v>
      </c>
      <c r="G13" s="152" t="s">
        <v>4387</v>
      </c>
      <c r="H13" s="150" t="s">
        <v>4397</v>
      </c>
    </row>
    <row r="14" customFormat="false" ht="24" hidden="false" customHeight="true" outlineLevel="0" collapsed="false">
      <c r="B14" s="9" t="s">
        <v>4398</v>
      </c>
      <c r="C14" s="153" t="n">
        <v>0.2</v>
      </c>
      <c r="D14" s="19" t="s">
        <v>4390</v>
      </c>
      <c r="E14" s="150" t="s">
        <v>4385</v>
      </c>
      <c r="F14" s="19" t="s">
        <v>4206</v>
      </c>
      <c r="G14" s="152" t="s">
        <v>4387</v>
      </c>
      <c r="H14" s="150" t="s">
        <v>4399</v>
      </c>
    </row>
    <row r="15" customFormat="false" ht="24" hidden="false" customHeight="true" outlineLevel="0" collapsed="false">
      <c r="B15" s="9" t="s">
        <v>4400</v>
      </c>
      <c r="C15" s="153" t="n">
        <v>0.4</v>
      </c>
      <c r="D15" s="19" t="s">
        <v>4401</v>
      </c>
      <c r="E15" s="150" t="s">
        <v>4385</v>
      </c>
      <c r="F15" s="19" t="s">
        <v>4206</v>
      </c>
      <c r="G15" s="152" t="s">
        <v>4387</v>
      </c>
      <c r="H15" s="150" t="s">
        <v>4399</v>
      </c>
    </row>
    <row r="16" customFormat="false" ht="24" hidden="false" customHeight="true" outlineLevel="0" collapsed="false">
      <c r="B16" s="9" t="s">
        <v>4402</v>
      </c>
      <c r="C16" s="151" t="n">
        <v>2000</v>
      </c>
      <c r="D16" s="19" t="s">
        <v>4390</v>
      </c>
      <c r="E16" s="150" t="s">
        <v>4385</v>
      </c>
      <c r="F16" s="19" t="s">
        <v>4206</v>
      </c>
      <c r="G16" s="152" t="s">
        <v>4387</v>
      </c>
      <c r="H16" s="150" t="s">
        <v>4403</v>
      </c>
    </row>
    <row r="17" customFormat="false" ht="24" hidden="false" customHeight="true" outlineLevel="0" collapsed="false">
      <c r="B17" s="9" t="s">
        <v>4404</v>
      </c>
      <c r="C17" s="151" t="n">
        <v>4000</v>
      </c>
      <c r="D17" s="19" t="s">
        <v>4390</v>
      </c>
      <c r="E17" s="150" t="s">
        <v>4385</v>
      </c>
      <c r="F17" s="19" t="s">
        <v>4206</v>
      </c>
      <c r="G17" s="152" t="s">
        <v>4387</v>
      </c>
      <c r="H17" s="150" t="s">
        <v>4403</v>
      </c>
    </row>
    <row r="18" customFormat="false" ht="24" hidden="false" customHeight="true" outlineLevel="0" collapsed="false">
      <c r="B18" s="9" t="s">
        <v>4405</v>
      </c>
      <c r="C18" s="151" t="n">
        <v>2000</v>
      </c>
      <c r="D18" s="19" t="s">
        <v>4390</v>
      </c>
      <c r="E18" s="150" t="s">
        <v>4406</v>
      </c>
      <c r="F18" s="19" t="s">
        <v>4206</v>
      </c>
      <c r="G18" s="152" t="s">
        <v>4387</v>
      </c>
      <c r="H18" s="150" t="s">
        <v>4407</v>
      </c>
    </row>
    <row r="19" customFormat="false" ht="24" hidden="false" customHeight="true" outlineLevel="0" collapsed="false">
      <c r="B19" s="9" t="s">
        <v>4408</v>
      </c>
      <c r="C19" s="153" t="n">
        <v>0.2</v>
      </c>
      <c r="D19" s="19" t="s">
        <v>4390</v>
      </c>
      <c r="E19" s="150" t="s">
        <v>4409</v>
      </c>
      <c r="F19" s="19" t="s">
        <v>4206</v>
      </c>
      <c r="G19" s="152" t="s">
        <v>4387</v>
      </c>
      <c r="H19" s="150" t="s">
        <v>4407</v>
      </c>
    </row>
    <row r="20" customFormat="false" ht="24" hidden="false" customHeight="true" outlineLevel="0" collapsed="false">
      <c r="B20" s="9" t="s">
        <v>4410</v>
      </c>
      <c r="C20" s="151" t="n">
        <v>1900</v>
      </c>
      <c r="D20" s="19" t="s">
        <v>4390</v>
      </c>
      <c r="E20" s="150" t="s">
        <v>4391</v>
      </c>
      <c r="F20" s="19" t="s">
        <v>4386</v>
      </c>
      <c r="G20" s="152" t="s">
        <v>4392</v>
      </c>
      <c r="H20" s="150" t="s">
        <v>4393</v>
      </c>
    </row>
    <row r="21" customFormat="false" ht="24" hidden="false" customHeight="true" outlineLevel="0" collapsed="false">
      <c r="B21" s="9" t="s">
        <v>4411</v>
      </c>
      <c r="C21" s="151" t="n">
        <v>1000</v>
      </c>
      <c r="D21" s="19" t="s">
        <v>4390</v>
      </c>
      <c r="E21" s="150" t="s">
        <v>4391</v>
      </c>
      <c r="F21" s="19" t="s">
        <v>4412</v>
      </c>
      <c r="G21" s="152" t="s">
        <v>4392</v>
      </c>
      <c r="H21" s="150" t="s">
        <v>4413</v>
      </c>
    </row>
    <row r="22" customFormat="false" ht="24" hidden="false" customHeight="true" outlineLevel="0" collapsed="false">
      <c r="B22" s="9" t="s">
        <v>4414</v>
      </c>
      <c r="C22" s="151" t="n">
        <v>2000</v>
      </c>
      <c r="D22" s="19" t="s">
        <v>4390</v>
      </c>
      <c r="E22" s="150" t="s">
        <v>4391</v>
      </c>
      <c r="F22" s="19" t="s">
        <v>4412</v>
      </c>
      <c r="G22" s="152" t="s">
        <v>4392</v>
      </c>
      <c r="H22" s="150" t="s">
        <v>4413</v>
      </c>
    </row>
    <row r="23" customFormat="false" ht="24" hidden="false" customHeight="true" outlineLevel="0" collapsed="false">
      <c r="B23" s="9" t="s">
        <v>4415</v>
      </c>
      <c r="C23" s="151" t="n">
        <v>1950</v>
      </c>
      <c r="D23" s="19" t="s">
        <v>4390</v>
      </c>
      <c r="E23" s="150" t="s">
        <v>4391</v>
      </c>
      <c r="F23" s="19" t="s">
        <v>4206</v>
      </c>
      <c r="G23" s="152" t="s">
        <v>4416</v>
      </c>
      <c r="H23" s="150" t="s">
        <v>4417</v>
      </c>
    </row>
    <row r="24" customFormat="false" ht="15" hidden="false" customHeight="true" outlineLevel="0" collapsed="false">
      <c r="B24" s="15" t="s">
        <v>4418</v>
      </c>
      <c r="C24" s="16"/>
      <c r="D24" s="16"/>
      <c r="E24" s="16"/>
      <c r="F24" s="16"/>
      <c r="G24" s="16"/>
      <c r="H24" s="16"/>
    </row>
    <row r="25" customFormat="false" ht="15" hidden="false" customHeight="true" outlineLevel="0" collapsed="false">
      <c r="B25" s="18" t="s">
        <v>4375</v>
      </c>
      <c r="C25" s="18" t="s">
        <v>1523</v>
      </c>
      <c r="D25" s="18" t="s">
        <v>4376</v>
      </c>
      <c r="E25" s="18" t="s">
        <v>4377</v>
      </c>
      <c r="F25" s="18" t="s">
        <v>4378</v>
      </c>
      <c r="G25" s="18" t="s">
        <v>4379</v>
      </c>
      <c r="H25" s="18" t="s">
        <v>4380</v>
      </c>
    </row>
    <row r="26" customFormat="false" ht="24" hidden="false" customHeight="true" outlineLevel="0" collapsed="false">
      <c r="B26" s="9" t="s">
        <v>4419</v>
      </c>
      <c r="C26" s="151" t="n">
        <v>13000</v>
      </c>
      <c r="D26" s="19" t="s">
        <v>4390</v>
      </c>
      <c r="E26" s="150" t="s">
        <v>4385</v>
      </c>
      <c r="F26" s="19" t="s">
        <v>4206</v>
      </c>
      <c r="G26" s="152" t="s">
        <v>4387</v>
      </c>
      <c r="H26" s="150" t="s">
        <v>4420</v>
      </c>
    </row>
    <row r="27" customFormat="false" ht="24" hidden="false" customHeight="true" outlineLevel="0" collapsed="false">
      <c r="B27" s="9" t="s">
        <v>4421</v>
      </c>
      <c r="C27" s="151" t="n">
        <v>12012</v>
      </c>
      <c r="D27" s="19" t="s">
        <v>4390</v>
      </c>
      <c r="E27" s="150" t="s">
        <v>4385</v>
      </c>
      <c r="F27" s="19" t="s">
        <v>4386</v>
      </c>
      <c r="G27" s="152" t="s">
        <v>4387</v>
      </c>
      <c r="H27" s="150" t="s">
        <v>4422</v>
      </c>
    </row>
    <row r="28" customFormat="false" ht="24" hidden="false" customHeight="true" outlineLevel="0" collapsed="false">
      <c r="B28" s="9" t="s">
        <v>4423</v>
      </c>
      <c r="C28" s="151" t="n">
        <v>28700</v>
      </c>
      <c r="D28" s="19" t="s">
        <v>4390</v>
      </c>
      <c r="E28" s="150" t="s">
        <v>4385</v>
      </c>
      <c r="F28" s="19" t="s">
        <v>4386</v>
      </c>
      <c r="G28" s="152" t="s">
        <v>4387</v>
      </c>
      <c r="H28" s="150" t="s">
        <v>4422</v>
      </c>
    </row>
    <row r="29" customFormat="false" ht="24" hidden="false" customHeight="true" outlineLevel="0" collapsed="false">
      <c r="B29" s="9" t="s">
        <v>4424</v>
      </c>
      <c r="C29" s="151" t="n">
        <v>70044</v>
      </c>
      <c r="D29" s="19" t="s">
        <v>4390</v>
      </c>
      <c r="E29" s="150" t="s">
        <v>4385</v>
      </c>
      <c r="F29" s="19" t="s">
        <v>4386</v>
      </c>
      <c r="G29" s="152" t="s">
        <v>4387</v>
      </c>
      <c r="H29" s="150" t="s">
        <v>4422</v>
      </c>
    </row>
    <row r="30" customFormat="false" ht="24" hidden="false" customHeight="true" outlineLevel="0" collapsed="false">
      <c r="B30" s="9" t="s">
        <v>4425</v>
      </c>
      <c r="C30" s="154" t="n">
        <v>0.005</v>
      </c>
      <c r="D30" s="19" t="s">
        <v>4390</v>
      </c>
      <c r="E30" s="150" t="s">
        <v>4385</v>
      </c>
      <c r="F30" s="19" t="s">
        <v>4206</v>
      </c>
      <c r="G30" s="152" t="s">
        <v>4387</v>
      </c>
      <c r="H30" s="150" t="s">
        <v>4422</v>
      </c>
    </row>
    <row r="31" customFormat="false" ht="24" hidden="false" customHeight="true" outlineLevel="0" collapsed="false">
      <c r="B31" s="9" t="s">
        <v>4426</v>
      </c>
      <c r="C31" s="154" t="n">
        <v>0.02</v>
      </c>
      <c r="D31" s="19" t="s">
        <v>4390</v>
      </c>
      <c r="E31" s="150" t="s">
        <v>4385</v>
      </c>
      <c r="F31" s="19" t="s">
        <v>4206</v>
      </c>
      <c r="G31" s="152" t="s">
        <v>4387</v>
      </c>
      <c r="H31" s="150" t="s">
        <v>4422</v>
      </c>
    </row>
    <row r="32" customFormat="false" ht="24" hidden="false" customHeight="true" outlineLevel="0" collapsed="false">
      <c r="B32" s="9" t="s">
        <v>4427</v>
      </c>
      <c r="C32" s="154" t="n">
        <v>0.03</v>
      </c>
      <c r="D32" s="19" t="s">
        <v>4390</v>
      </c>
      <c r="E32" s="150" t="s">
        <v>4385</v>
      </c>
      <c r="F32" s="19" t="s">
        <v>4206</v>
      </c>
      <c r="G32" s="152" t="s">
        <v>4387</v>
      </c>
      <c r="H32" s="150" t="s">
        <v>4422</v>
      </c>
    </row>
    <row r="33" customFormat="false" ht="24" hidden="false" customHeight="true" outlineLevel="0" collapsed="false">
      <c r="B33" s="9" t="s">
        <v>4428</v>
      </c>
      <c r="C33" s="154" t="n">
        <v>0.08</v>
      </c>
      <c r="D33" s="19" t="s">
        <v>4390</v>
      </c>
      <c r="E33" s="150" t="s">
        <v>4385</v>
      </c>
      <c r="F33" s="19" t="s">
        <v>4206</v>
      </c>
      <c r="G33" s="152" t="s">
        <v>4387</v>
      </c>
      <c r="H33" s="150" t="s">
        <v>4422</v>
      </c>
    </row>
    <row r="34" customFormat="false" ht="39.75" hidden="false" customHeight="true" outlineLevel="0" collapsed="false">
      <c r="B34" s="17" t="s">
        <v>4429</v>
      </c>
      <c r="C34" s="17"/>
      <c r="D34" s="17"/>
      <c r="E34" s="150" t="s">
        <v>4385</v>
      </c>
    </row>
    <row r="35" customFormat="false" ht="15" hidden="false" customHeight="true" outlineLevel="0" collapsed="false">
      <c r="B35" s="15" t="s">
        <v>4430</v>
      </c>
      <c r="C35" s="16"/>
      <c r="D35" s="16"/>
      <c r="E35" s="16"/>
      <c r="F35" s="16"/>
      <c r="G35" s="16"/>
      <c r="H35" s="16"/>
    </row>
    <row r="36" customFormat="false" ht="15" hidden="false" customHeight="true" outlineLevel="0" collapsed="false">
      <c r="B36" s="18" t="s">
        <v>4375</v>
      </c>
      <c r="C36" s="18" t="s">
        <v>1523</v>
      </c>
      <c r="D36" s="18" t="s">
        <v>4376</v>
      </c>
      <c r="E36" s="18" t="s">
        <v>4377</v>
      </c>
      <c r="F36" s="18" t="s">
        <v>4378</v>
      </c>
      <c r="G36" s="18" t="s">
        <v>4379</v>
      </c>
      <c r="H36" s="18" t="s">
        <v>4380</v>
      </c>
    </row>
    <row r="37" customFormat="false" ht="24" hidden="false" customHeight="true" outlineLevel="0" collapsed="false">
      <c r="B37" s="9" t="s">
        <v>4431</v>
      </c>
      <c r="C37" s="155" t="n">
        <v>0.0435</v>
      </c>
      <c r="D37" s="19" t="s">
        <v>4390</v>
      </c>
      <c r="E37" s="150" t="s">
        <v>4432</v>
      </c>
      <c r="F37" s="19" t="s">
        <v>4433</v>
      </c>
      <c r="G37" s="152" t="s">
        <v>4387</v>
      </c>
      <c r="H37" s="150" t="s">
        <v>4434</v>
      </c>
    </row>
    <row r="38" customFormat="false" ht="24" hidden="false" customHeight="true" outlineLevel="0" collapsed="false">
      <c r="B38" s="9" t="s">
        <v>4435</v>
      </c>
      <c r="C38" s="156" t="n">
        <v>0.042375</v>
      </c>
      <c r="D38" s="19" t="s">
        <v>4436</v>
      </c>
      <c r="E38" s="150" t="s">
        <v>4432</v>
      </c>
      <c r="F38" s="19" t="s">
        <v>4206</v>
      </c>
      <c r="G38" s="152" t="s">
        <v>4387</v>
      </c>
      <c r="H38" s="150" t="s">
        <v>4437</v>
      </c>
    </row>
    <row r="39" customFormat="false" ht="24" hidden="false" customHeight="true" outlineLevel="0" collapsed="false">
      <c r="B39" s="9" t="s">
        <v>4438</v>
      </c>
      <c r="C39" s="151" t="n">
        <v>352</v>
      </c>
      <c r="D39" s="19" t="s">
        <v>4390</v>
      </c>
      <c r="E39" s="150" t="s">
        <v>4439</v>
      </c>
      <c r="F39" s="19" t="s">
        <v>4206</v>
      </c>
      <c r="G39" s="152" t="s">
        <v>4387</v>
      </c>
      <c r="H39" s="150" t="s">
        <v>4440</v>
      </c>
    </row>
    <row r="40" customFormat="false" ht="24" hidden="false" customHeight="true" outlineLevel="0" collapsed="false">
      <c r="B40" s="9" t="s">
        <v>4441</v>
      </c>
      <c r="C40" s="151" t="n">
        <v>12</v>
      </c>
      <c r="D40" s="19" t="s">
        <v>4390</v>
      </c>
      <c r="E40" s="150" t="s">
        <v>4409</v>
      </c>
      <c r="F40" s="19" t="s">
        <v>4206</v>
      </c>
      <c r="G40" s="152" t="s">
        <v>4387</v>
      </c>
      <c r="H40" s="150" t="s">
        <v>4440</v>
      </c>
    </row>
    <row r="41" customFormat="false" ht="24" hidden="false" customHeight="true" outlineLevel="0" collapsed="false">
      <c r="B41" s="9" t="s">
        <v>4442</v>
      </c>
      <c r="C41" s="151" t="n">
        <v>424</v>
      </c>
      <c r="D41" s="19" t="s">
        <v>4390</v>
      </c>
      <c r="E41" s="150" t="s">
        <v>4409</v>
      </c>
      <c r="F41" s="19" t="s">
        <v>4206</v>
      </c>
      <c r="G41" s="152" t="s">
        <v>4387</v>
      </c>
      <c r="H41" s="150" t="s">
        <v>4440</v>
      </c>
    </row>
    <row r="42" customFormat="false" ht="24" hidden="false" customHeight="true" outlineLevel="0" collapsed="false">
      <c r="B42" s="9" t="s">
        <v>4443</v>
      </c>
      <c r="C42" s="157" t="n">
        <v>6</v>
      </c>
      <c r="D42" s="19" t="s">
        <v>4390</v>
      </c>
      <c r="E42" s="150" t="s">
        <v>4409</v>
      </c>
      <c r="F42" s="19" t="s">
        <v>4206</v>
      </c>
      <c r="G42" s="152" t="s">
        <v>4387</v>
      </c>
      <c r="H42" s="150" t="s">
        <v>4440</v>
      </c>
    </row>
    <row r="43" customFormat="false" ht="39.75" hidden="false" customHeight="true" outlineLevel="0" collapsed="false">
      <c r="B43" s="17" t="s">
        <v>4444</v>
      </c>
      <c r="C43" s="17"/>
      <c r="D43" s="17"/>
      <c r="E43" s="150" t="s">
        <v>4445</v>
      </c>
    </row>
    <row r="44" customFormat="false" ht="15" hidden="false" customHeight="true" outlineLevel="0" collapsed="false">
      <c r="B44" s="15" t="s">
        <v>4446</v>
      </c>
      <c r="C44" s="16"/>
      <c r="D44" s="16"/>
      <c r="E44" s="16"/>
      <c r="F44" s="16"/>
      <c r="G44" s="16"/>
      <c r="H44" s="16"/>
    </row>
    <row r="45" customFormat="false" ht="15" hidden="false" customHeight="true" outlineLevel="0" collapsed="false">
      <c r="B45" s="18" t="s">
        <v>4375</v>
      </c>
      <c r="C45" s="18" t="s">
        <v>1523</v>
      </c>
      <c r="D45" s="18" t="s">
        <v>4376</v>
      </c>
      <c r="E45" s="18" t="s">
        <v>4377</v>
      </c>
      <c r="F45" s="18" t="s">
        <v>4378</v>
      </c>
      <c r="G45" s="18" t="s">
        <v>4379</v>
      </c>
      <c r="H45" s="18" t="s">
        <v>4380</v>
      </c>
    </row>
    <row r="46" customFormat="false" ht="15" hidden="false" customHeight="true" outlineLevel="0" collapsed="false">
      <c r="B46" s="9" t="s">
        <v>4447</v>
      </c>
      <c r="C46" s="158" t="n">
        <v>0</v>
      </c>
      <c r="D46" s="153" t="n">
        <v>0.15</v>
      </c>
      <c r="E46" s="159" t="s">
        <v>4448</v>
      </c>
      <c r="F46" s="14" t="s">
        <v>4449</v>
      </c>
      <c r="G46" s="160" t="s">
        <v>4392</v>
      </c>
      <c r="H46" s="159" t="s">
        <v>4450</v>
      </c>
    </row>
    <row r="47" customFormat="false" ht="15" hidden="false" customHeight="true" outlineLevel="0" collapsed="false">
      <c r="B47" s="9" t="s">
        <v>4451</v>
      </c>
      <c r="C47" s="158" t="n">
        <v>30</v>
      </c>
      <c r="D47" s="153" t="n">
        <v>0.2</v>
      </c>
      <c r="E47" s="159" t="s">
        <v>4448</v>
      </c>
      <c r="F47" s="14" t="s">
        <v>4449</v>
      </c>
      <c r="G47" s="160" t="s">
        <v>4392</v>
      </c>
      <c r="H47" s="159" t="s">
        <v>4450</v>
      </c>
    </row>
    <row r="48" customFormat="false" ht="15" hidden="false" customHeight="true" outlineLevel="0" collapsed="false">
      <c r="B48" s="9" t="s">
        <v>4452</v>
      </c>
      <c r="C48" s="158" t="n">
        <v>40</v>
      </c>
      <c r="D48" s="153" t="n">
        <v>0.25</v>
      </c>
      <c r="E48" s="159" t="s">
        <v>4448</v>
      </c>
      <c r="F48" s="14" t="s">
        <v>4449</v>
      </c>
      <c r="G48" s="160" t="s">
        <v>4392</v>
      </c>
      <c r="H48" s="159" t="s">
        <v>4450</v>
      </c>
    </row>
    <row r="49" customFormat="false" ht="15" hidden="false" customHeight="true" outlineLevel="0" collapsed="false">
      <c r="B49" s="9" t="s">
        <v>4453</v>
      </c>
      <c r="C49" s="158" t="n">
        <v>50</v>
      </c>
      <c r="D49" s="153" t="n">
        <v>0.3</v>
      </c>
      <c r="E49" s="159" t="s">
        <v>4448</v>
      </c>
      <c r="F49" s="14" t="s">
        <v>4449</v>
      </c>
      <c r="G49" s="160" t="s">
        <v>4392</v>
      </c>
      <c r="H49" s="159" t="s">
        <v>4450</v>
      </c>
    </row>
    <row r="50" customFormat="false" ht="15" hidden="false" customHeight="true" outlineLevel="0" collapsed="false">
      <c r="B50" s="9" t="s">
        <v>4454</v>
      </c>
      <c r="C50" s="158" t="n">
        <v>55</v>
      </c>
      <c r="D50" s="153" t="n">
        <v>0.35</v>
      </c>
      <c r="E50" s="159" t="s">
        <v>4448</v>
      </c>
      <c r="F50" s="14" t="s">
        <v>4449</v>
      </c>
      <c r="G50" s="160" t="s">
        <v>4392</v>
      </c>
      <c r="H50" s="159" t="s">
        <v>4450</v>
      </c>
    </row>
    <row r="51" customFormat="false" ht="15" hidden="false" customHeight="true" outlineLevel="0" collapsed="false">
      <c r="B51" s="9" t="s">
        <v>4455</v>
      </c>
      <c r="C51" s="158" t="n">
        <v>60</v>
      </c>
      <c r="D51" s="153" t="n">
        <v>0.4</v>
      </c>
      <c r="E51" s="159" t="s">
        <v>4448</v>
      </c>
      <c r="F51" s="14" t="s">
        <v>4449</v>
      </c>
      <c r="G51" s="160" t="s">
        <v>4392</v>
      </c>
      <c r="H51" s="159" t="s">
        <v>4450</v>
      </c>
    </row>
    <row r="52" customFormat="false" ht="24" hidden="false" customHeight="true" outlineLevel="0" collapsed="false">
      <c r="B52" s="9" t="s">
        <v>4456</v>
      </c>
      <c r="C52" s="151" t="n">
        <v>115000</v>
      </c>
      <c r="D52" s="19" t="s">
        <v>138</v>
      </c>
      <c r="E52" s="150" t="s">
        <v>4448</v>
      </c>
      <c r="F52" s="19" t="s">
        <v>4449</v>
      </c>
      <c r="G52" s="152" t="s">
        <v>4392</v>
      </c>
      <c r="H52" s="150" t="s">
        <v>4457</v>
      </c>
    </row>
    <row r="53" customFormat="false" ht="24" hidden="false" customHeight="true" outlineLevel="0" collapsed="false">
      <c r="B53" s="9" t="s">
        <v>4458</v>
      </c>
      <c r="C53" s="153" t="n">
        <v>0.25</v>
      </c>
      <c r="D53" s="19" t="s">
        <v>59</v>
      </c>
      <c r="E53" s="150" t="s">
        <v>4459</v>
      </c>
      <c r="F53" s="19" t="s">
        <v>4460</v>
      </c>
      <c r="G53" s="152" t="s">
        <v>4392</v>
      </c>
      <c r="H53" s="150" t="s">
        <v>4461</v>
      </c>
    </row>
    <row r="54" customFormat="false" ht="24" hidden="false" customHeight="true" outlineLevel="0" collapsed="false">
      <c r="B54" s="9" t="s">
        <v>4462</v>
      </c>
      <c r="C54" s="151" t="n">
        <v>200000</v>
      </c>
      <c r="D54" s="19" t="s">
        <v>59</v>
      </c>
      <c r="E54" s="150" t="s">
        <v>4459</v>
      </c>
      <c r="F54" s="19" t="s">
        <v>4460</v>
      </c>
      <c r="G54" s="152" t="s">
        <v>4392</v>
      </c>
      <c r="H54" s="150" t="s">
        <v>4461</v>
      </c>
    </row>
    <row r="55" customFormat="false" ht="24" hidden="false" customHeight="true" outlineLevel="0" collapsed="false">
      <c r="B55" s="9" t="s">
        <v>4463</v>
      </c>
      <c r="C55" s="151" t="n">
        <v>500000</v>
      </c>
      <c r="D55" s="19" t="s">
        <v>59</v>
      </c>
      <c r="E55" s="150" t="s">
        <v>4459</v>
      </c>
      <c r="F55" s="19" t="s">
        <v>4460</v>
      </c>
      <c r="G55" s="152" t="s">
        <v>4392</v>
      </c>
      <c r="H55" s="150" t="s">
        <v>4461</v>
      </c>
    </row>
    <row r="56" customFormat="false" ht="24" hidden="false" customHeight="true" outlineLevel="0" collapsed="false">
      <c r="B56" s="9" t="s">
        <v>4464</v>
      </c>
      <c r="C56" s="153" t="n">
        <v>0.2</v>
      </c>
      <c r="D56" s="19" t="s">
        <v>59</v>
      </c>
      <c r="E56" s="150" t="s">
        <v>4459</v>
      </c>
      <c r="F56" s="19" t="s">
        <v>4460</v>
      </c>
      <c r="G56" s="152" t="s">
        <v>4392</v>
      </c>
      <c r="H56" s="150" t="s">
        <v>4461</v>
      </c>
    </row>
    <row r="57" customFormat="false" ht="24" hidden="false" customHeight="true" outlineLevel="0" collapsed="false">
      <c r="B57" s="9" t="s">
        <v>4465</v>
      </c>
      <c r="C57" s="151" t="n">
        <v>2200000</v>
      </c>
      <c r="D57" s="19" t="s">
        <v>4466</v>
      </c>
      <c r="E57" s="150" t="s">
        <v>4459</v>
      </c>
      <c r="F57" s="19" t="s">
        <v>4386</v>
      </c>
      <c r="G57" s="152" t="s">
        <v>4392</v>
      </c>
      <c r="H57" s="150" t="s">
        <v>4467</v>
      </c>
    </row>
    <row r="58" customFormat="false" ht="24" hidden="false" customHeight="true" outlineLevel="0" collapsed="false">
      <c r="B58" s="9" t="s">
        <v>4468</v>
      </c>
      <c r="C58" s="153" t="n">
        <v>0.4</v>
      </c>
      <c r="D58" s="19" t="s">
        <v>4466</v>
      </c>
      <c r="E58" s="150" t="s">
        <v>4459</v>
      </c>
      <c r="F58" s="19" t="s">
        <v>4469</v>
      </c>
      <c r="G58" s="152" t="s">
        <v>4392</v>
      </c>
      <c r="H58" s="150" t="s">
        <v>4467</v>
      </c>
    </row>
    <row r="59" customFormat="false" ht="24" hidden="false" customHeight="true" outlineLevel="0" collapsed="false">
      <c r="B59" s="9" t="s">
        <v>4470</v>
      </c>
      <c r="C59" s="157" t="n">
        <v>60</v>
      </c>
      <c r="D59" s="19" t="s">
        <v>4466</v>
      </c>
      <c r="E59" s="150" t="s">
        <v>4471</v>
      </c>
      <c r="F59" s="19" t="s">
        <v>4469</v>
      </c>
      <c r="G59" s="152" t="s">
        <v>4472</v>
      </c>
      <c r="H59" s="150" t="s">
        <v>4473</v>
      </c>
    </row>
    <row r="60" customFormat="false" ht="39.75" hidden="false" customHeight="true" outlineLevel="0" collapsed="false">
      <c r="B60" s="17" t="s">
        <v>4474</v>
      </c>
      <c r="C60" s="17"/>
      <c r="D60" s="17"/>
      <c r="E60" s="150" t="s">
        <v>4475</v>
      </c>
    </row>
    <row r="61" customFormat="false" ht="15" hidden="false" customHeight="true" outlineLevel="0" collapsed="false">
      <c r="B61" s="15" t="s">
        <v>4476</v>
      </c>
      <c r="C61" s="16"/>
      <c r="D61" s="16"/>
      <c r="E61" s="16"/>
      <c r="F61" s="16"/>
      <c r="G61" s="16"/>
      <c r="H61" s="16"/>
    </row>
    <row r="62" customFormat="false" ht="15" hidden="false" customHeight="true" outlineLevel="0" collapsed="false">
      <c r="B62" s="18" t="s">
        <v>4375</v>
      </c>
      <c r="C62" s="18" t="s">
        <v>1523</v>
      </c>
      <c r="D62" s="18" t="s">
        <v>4376</v>
      </c>
      <c r="E62" s="18" t="s">
        <v>4377</v>
      </c>
      <c r="F62" s="18" t="s">
        <v>4378</v>
      </c>
      <c r="G62" s="18" t="s">
        <v>4379</v>
      </c>
      <c r="H62" s="18" t="s">
        <v>4380</v>
      </c>
    </row>
    <row r="63" customFormat="false" ht="24" hidden="false" customHeight="true" outlineLevel="0" collapsed="false">
      <c r="B63" s="9" t="s">
        <v>4477</v>
      </c>
      <c r="C63" s="161" t="n">
        <v>299.3</v>
      </c>
      <c r="D63" s="19" t="s">
        <v>4478</v>
      </c>
      <c r="E63" s="150" t="s">
        <v>4479</v>
      </c>
      <c r="F63" s="19" t="s">
        <v>4386</v>
      </c>
      <c r="G63" s="152" t="s">
        <v>4387</v>
      </c>
      <c r="H63" s="150" t="s">
        <v>4480</v>
      </c>
    </row>
    <row r="64" customFormat="false" ht="24" hidden="false" customHeight="true" outlineLevel="0" collapsed="false">
      <c r="B64" s="9" t="s">
        <v>4481</v>
      </c>
      <c r="C64" s="161" t="n">
        <f aca="false">State_Pension_Week*Weeks_Per_Year</f>
        <v>15563.6</v>
      </c>
      <c r="D64" s="19" t="s">
        <v>4482</v>
      </c>
      <c r="E64" s="150" t="s">
        <v>4479</v>
      </c>
      <c r="F64" s="19" t="s">
        <v>4386</v>
      </c>
      <c r="G64" s="152" t="s">
        <v>4387</v>
      </c>
      <c r="H64" s="150" t="s">
        <v>4480</v>
      </c>
    </row>
    <row r="65" customFormat="false" ht="24" hidden="false" customHeight="true" outlineLevel="0" collapsed="false">
      <c r="B65" s="9" t="s">
        <v>4483</v>
      </c>
      <c r="C65" s="157" t="n">
        <v>66</v>
      </c>
      <c r="D65" s="19" t="s">
        <v>4484</v>
      </c>
      <c r="E65" s="150" t="s">
        <v>4485</v>
      </c>
      <c r="F65" s="19" t="s">
        <v>4469</v>
      </c>
      <c r="G65" s="152" t="s">
        <v>4387</v>
      </c>
      <c r="H65" s="150" t="s">
        <v>4486</v>
      </c>
    </row>
    <row r="66" customFormat="false" ht="24" hidden="false" customHeight="true" outlineLevel="0" collapsed="false">
      <c r="B66" s="9" t="s">
        <v>4487</v>
      </c>
      <c r="C66" s="161" t="n">
        <v>259.5</v>
      </c>
      <c r="D66" s="19" t="s">
        <v>78</v>
      </c>
      <c r="E66" s="150" t="s">
        <v>4488</v>
      </c>
      <c r="F66" s="19" t="s">
        <v>4386</v>
      </c>
      <c r="G66" s="152" t="s">
        <v>4392</v>
      </c>
      <c r="H66" s="150" t="s">
        <v>4489</v>
      </c>
    </row>
    <row r="67" customFormat="false" ht="24" hidden="false" customHeight="true" outlineLevel="0" collapsed="false">
      <c r="B67" s="9" t="s">
        <v>4490</v>
      </c>
      <c r="C67" s="161" t="n">
        <v>299.3</v>
      </c>
      <c r="D67" s="19" t="s">
        <v>4491</v>
      </c>
      <c r="E67" s="150" t="s">
        <v>4409</v>
      </c>
      <c r="F67" s="19" t="s">
        <v>4386</v>
      </c>
      <c r="G67" s="152" t="s">
        <v>4392</v>
      </c>
      <c r="H67" s="150" t="s">
        <v>4489</v>
      </c>
    </row>
    <row r="68" customFormat="false" ht="24" hidden="false" customHeight="true" outlineLevel="0" collapsed="false">
      <c r="B68" s="9" t="s">
        <v>4492</v>
      </c>
      <c r="C68" s="161" t="n">
        <v>254</v>
      </c>
      <c r="D68" s="19" t="s">
        <v>81</v>
      </c>
      <c r="E68" s="150" t="s">
        <v>4493</v>
      </c>
      <c r="F68" s="19" t="s">
        <v>4386</v>
      </c>
      <c r="G68" s="152" t="s">
        <v>4392</v>
      </c>
      <c r="H68" s="150" t="s">
        <v>4494</v>
      </c>
    </row>
    <row r="69" customFormat="false" ht="24" hidden="false" customHeight="true" outlineLevel="0" collapsed="false">
      <c r="B69" s="9" t="s">
        <v>4495</v>
      </c>
      <c r="C69" s="153" t="n">
        <v>0.75</v>
      </c>
      <c r="D69" s="19" t="s">
        <v>81</v>
      </c>
      <c r="E69" s="150" t="s">
        <v>4496</v>
      </c>
      <c r="F69" s="19" t="s">
        <v>4497</v>
      </c>
      <c r="G69" s="152" t="s">
        <v>4498</v>
      </c>
      <c r="H69" s="150" t="s">
        <v>4499</v>
      </c>
    </row>
    <row r="70" customFormat="false" ht="24" hidden="false" customHeight="true" outlineLevel="0" collapsed="false">
      <c r="B70" s="9" t="s">
        <v>4500</v>
      </c>
      <c r="C70" s="157" t="n">
        <v>52</v>
      </c>
      <c r="D70" s="19" t="s">
        <v>4501</v>
      </c>
      <c r="E70" s="150" t="s">
        <v>4502</v>
      </c>
      <c r="F70" s="19" t="s">
        <v>4338</v>
      </c>
      <c r="G70" s="150" t="s">
        <v>3</v>
      </c>
      <c r="H70" s="150" t="s">
        <v>4338</v>
      </c>
    </row>
    <row r="71" customFormat="false" ht="15" hidden="false" customHeight="true" outlineLevel="0" collapsed="false">
      <c r="B71" s="15" t="s">
        <v>4503</v>
      </c>
      <c r="C71" s="16"/>
      <c r="D71" s="16"/>
      <c r="E71" s="16"/>
      <c r="F71" s="16"/>
      <c r="G71" s="16"/>
      <c r="H71" s="16"/>
    </row>
    <row r="72" customFormat="false" ht="15" hidden="false" customHeight="true" outlineLevel="0" collapsed="false">
      <c r="B72" s="18" t="s">
        <v>4375</v>
      </c>
      <c r="C72" s="18" t="s">
        <v>1523</v>
      </c>
      <c r="D72" s="18" t="s">
        <v>4376</v>
      </c>
      <c r="E72" s="18" t="s">
        <v>4377</v>
      </c>
      <c r="F72" s="18" t="s">
        <v>4378</v>
      </c>
      <c r="G72" s="18" t="s">
        <v>4379</v>
      </c>
      <c r="H72" s="18" t="s">
        <v>4380</v>
      </c>
    </row>
    <row r="73" customFormat="false" ht="24" hidden="false" customHeight="true" outlineLevel="0" collapsed="false">
      <c r="B73" s="9" t="s">
        <v>4504</v>
      </c>
      <c r="C73" s="153" t="n">
        <v>0.33</v>
      </c>
      <c r="D73" s="19" t="s">
        <v>4505</v>
      </c>
      <c r="E73" s="150" t="s">
        <v>4506</v>
      </c>
      <c r="F73" s="19" t="s">
        <v>4206</v>
      </c>
      <c r="G73" s="152" t="s">
        <v>4392</v>
      </c>
      <c r="H73" s="150" t="s">
        <v>4507</v>
      </c>
    </row>
    <row r="74" customFormat="false" ht="24" hidden="false" customHeight="true" outlineLevel="0" collapsed="false">
      <c r="B74" s="9" t="s">
        <v>4508</v>
      </c>
      <c r="C74" s="153" t="n">
        <v>0.38</v>
      </c>
      <c r="D74" s="19" t="s">
        <v>4505</v>
      </c>
      <c r="E74" s="150" t="s">
        <v>4509</v>
      </c>
      <c r="F74" s="19" t="s">
        <v>4386</v>
      </c>
      <c r="G74" s="152" t="s">
        <v>4387</v>
      </c>
      <c r="H74" s="150" t="s">
        <v>4510</v>
      </c>
    </row>
    <row r="75" customFormat="false" ht="24" hidden="false" customHeight="true" outlineLevel="0" collapsed="false">
      <c r="B75" s="9" t="s">
        <v>4511</v>
      </c>
      <c r="C75" s="157" t="n">
        <v>8</v>
      </c>
      <c r="D75" s="19" t="s">
        <v>4512</v>
      </c>
      <c r="E75" s="150" t="s">
        <v>4513</v>
      </c>
      <c r="F75" s="19" t="s">
        <v>4206</v>
      </c>
      <c r="G75" s="152" t="s">
        <v>4392</v>
      </c>
      <c r="H75" s="150" t="s">
        <v>4514</v>
      </c>
    </row>
    <row r="76" customFormat="false" ht="24" hidden="false" customHeight="true" outlineLevel="0" collapsed="false">
      <c r="B76" s="9" t="s">
        <v>4515</v>
      </c>
      <c r="C76" s="153" t="n">
        <v>0.01</v>
      </c>
      <c r="D76" s="19" t="s">
        <v>4516</v>
      </c>
      <c r="E76" s="150" t="s">
        <v>4517</v>
      </c>
      <c r="F76" s="19" t="s">
        <v>4206</v>
      </c>
      <c r="G76" s="152" t="s">
        <v>4387</v>
      </c>
      <c r="H76" s="150" t="s">
        <v>4518</v>
      </c>
    </row>
    <row r="77" customFormat="false" ht="15" hidden="false" customHeight="true" outlineLevel="0" collapsed="false">
      <c r="B77" s="15" t="s">
        <v>4519</v>
      </c>
      <c r="C77" s="16"/>
      <c r="D77" s="16"/>
      <c r="E77" s="16"/>
      <c r="F77" s="16"/>
      <c r="G77" s="16"/>
      <c r="H77" s="16"/>
    </row>
    <row r="78" customFormat="false" ht="15" hidden="false" customHeight="true" outlineLevel="0" collapsed="false">
      <c r="B78" s="18" t="s">
        <v>4375</v>
      </c>
      <c r="C78" s="18" t="s">
        <v>1523</v>
      </c>
      <c r="D78" s="18" t="s">
        <v>4376</v>
      </c>
      <c r="E78" s="18" t="s">
        <v>4377</v>
      </c>
      <c r="F78" s="18" t="s">
        <v>4378</v>
      </c>
      <c r="G78" s="18" t="s">
        <v>4379</v>
      </c>
      <c r="H78" s="18" t="s">
        <v>4380</v>
      </c>
    </row>
    <row r="79" customFormat="false" ht="24" hidden="false" customHeight="true" outlineLevel="0" collapsed="false">
      <c r="B79" s="9" t="s">
        <v>4520</v>
      </c>
      <c r="C79" s="162" t="n">
        <v>4</v>
      </c>
      <c r="D79" s="19" t="s">
        <v>34</v>
      </c>
      <c r="E79" s="150" t="s">
        <v>4521</v>
      </c>
      <c r="F79" s="19" t="s">
        <v>4522</v>
      </c>
      <c r="G79" s="152" t="s">
        <v>4387</v>
      </c>
      <c r="H79" s="150" t="s">
        <v>4523</v>
      </c>
    </row>
    <row r="80" customFormat="false" ht="24" hidden="false" customHeight="true" outlineLevel="0" collapsed="false">
      <c r="B80" s="9" t="s">
        <v>4524</v>
      </c>
      <c r="C80" s="162" t="n">
        <v>3.5</v>
      </c>
      <c r="D80" s="19" t="s">
        <v>34</v>
      </c>
      <c r="E80" s="150" t="s">
        <v>4521</v>
      </c>
      <c r="F80" s="19" t="s">
        <v>4522</v>
      </c>
      <c r="G80" s="152" t="s">
        <v>4387</v>
      </c>
      <c r="H80" s="150" t="s">
        <v>4523</v>
      </c>
    </row>
    <row r="81" customFormat="false" ht="24" hidden="false" customHeight="true" outlineLevel="0" collapsed="false">
      <c r="B81" s="9" t="s">
        <v>4525</v>
      </c>
      <c r="C81" s="153" t="n">
        <v>0.9</v>
      </c>
      <c r="D81" s="19" t="s">
        <v>4526</v>
      </c>
      <c r="E81" s="150" t="s">
        <v>4521</v>
      </c>
      <c r="F81" s="19" t="s">
        <v>4522</v>
      </c>
      <c r="G81" s="152" t="s">
        <v>4387</v>
      </c>
      <c r="H81" s="150" t="s">
        <v>4527</v>
      </c>
    </row>
    <row r="82" customFormat="false" ht="24" hidden="false" customHeight="true" outlineLevel="0" collapsed="false">
      <c r="B82" s="9" t="s">
        <v>4528</v>
      </c>
      <c r="C82" s="153" t="n">
        <f aca="false">1-LTV_Max</f>
        <v>0.1</v>
      </c>
      <c r="D82" s="19" t="s">
        <v>4529</v>
      </c>
      <c r="E82" s="150" t="s">
        <v>4530</v>
      </c>
      <c r="F82" s="19" t="s">
        <v>4522</v>
      </c>
      <c r="G82" s="152" t="s">
        <v>4387</v>
      </c>
      <c r="H82" s="150" t="s">
        <v>4531</v>
      </c>
    </row>
    <row r="83" customFormat="false" ht="39.75" hidden="false" customHeight="true" outlineLevel="0" collapsed="false">
      <c r="B83" s="17" t="s">
        <v>4532</v>
      </c>
      <c r="C83" s="17"/>
      <c r="D83" s="17"/>
      <c r="E83" s="150" t="s">
        <v>4533</v>
      </c>
    </row>
    <row r="84" customFormat="false" ht="24" hidden="false" customHeight="true" outlineLevel="0" collapsed="false">
      <c r="B84" s="9" t="s">
        <v>4534</v>
      </c>
      <c r="C84" s="153" t="n">
        <v>0.01</v>
      </c>
      <c r="D84" s="19" t="s">
        <v>4535</v>
      </c>
      <c r="E84" s="150" t="s">
        <v>4536</v>
      </c>
      <c r="F84" s="19" t="s">
        <v>4537</v>
      </c>
      <c r="G84" s="152" t="s">
        <v>4392</v>
      </c>
      <c r="H84" s="150" t="s">
        <v>4538</v>
      </c>
    </row>
    <row r="85" customFormat="false" ht="24" hidden="false" customHeight="true" outlineLevel="0" collapsed="false">
      <c r="B85" s="9" t="s">
        <v>4539</v>
      </c>
      <c r="C85" s="151" t="n">
        <v>1000000</v>
      </c>
      <c r="D85" s="19" t="s">
        <v>4535</v>
      </c>
      <c r="E85" s="150" t="s">
        <v>4536</v>
      </c>
      <c r="F85" s="19" t="s">
        <v>4537</v>
      </c>
      <c r="G85" s="152" t="s">
        <v>4392</v>
      </c>
      <c r="H85" s="150" t="s">
        <v>4538</v>
      </c>
    </row>
    <row r="86" customFormat="false" ht="24" hidden="false" customHeight="true" outlineLevel="0" collapsed="false">
      <c r="B86" s="9" t="s">
        <v>4540</v>
      </c>
      <c r="C86" s="153" t="n">
        <v>0.02</v>
      </c>
      <c r="D86" s="19" t="s">
        <v>4535</v>
      </c>
      <c r="E86" s="150" t="s">
        <v>4536</v>
      </c>
      <c r="F86" s="19" t="s">
        <v>4537</v>
      </c>
      <c r="G86" s="152" t="s">
        <v>4392</v>
      </c>
      <c r="H86" s="150" t="s">
        <v>4538</v>
      </c>
    </row>
    <row r="87" customFormat="false" ht="24" hidden="false" customHeight="true" outlineLevel="0" collapsed="false">
      <c r="B87" s="9" t="s">
        <v>4541</v>
      </c>
      <c r="C87" s="151" t="n">
        <v>1500000</v>
      </c>
      <c r="D87" s="19" t="s">
        <v>4535</v>
      </c>
      <c r="E87" s="150" t="s">
        <v>4536</v>
      </c>
      <c r="F87" s="19" t="s">
        <v>4537</v>
      </c>
      <c r="G87" s="152" t="s">
        <v>4392</v>
      </c>
      <c r="H87" s="150" t="s">
        <v>4538</v>
      </c>
    </row>
    <row r="88" customFormat="false" ht="24" hidden="false" customHeight="true" outlineLevel="0" collapsed="false">
      <c r="B88" s="9" t="s">
        <v>4542</v>
      </c>
      <c r="C88" s="153" t="n">
        <v>0.06</v>
      </c>
      <c r="D88" s="19" t="s">
        <v>4535</v>
      </c>
      <c r="E88" s="150" t="s">
        <v>4536</v>
      </c>
      <c r="F88" s="19" t="s">
        <v>4537</v>
      </c>
      <c r="G88" s="152" t="s">
        <v>4392</v>
      </c>
      <c r="H88" s="150" t="s">
        <v>4538</v>
      </c>
    </row>
    <row r="89" customFormat="false" ht="39.75" hidden="false" customHeight="true" outlineLevel="0" collapsed="false">
      <c r="B89" s="17" t="s">
        <v>4543</v>
      </c>
      <c r="C89" s="17"/>
      <c r="D89" s="17"/>
      <c r="E89" s="150" t="s">
        <v>4544</v>
      </c>
    </row>
    <row r="90" customFormat="false" ht="15" hidden="false" customHeight="true" outlineLevel="0" collapsed="false">
      <c r="B90" s="15" t="s">
        <v>4545</v>
      </c>
      <c r="C90" s="16"/>
      <c r="D90" s="16"/>
      <c r="E90" s="16"/>
      <c r="F90" s="16"/>
      <c r="G90" s="16"/>
      <c r="H90" s="16"/>
    </row>
    <row r="91" customFormat="false" ht="15" hidden="false" customHeight="true" outlineLevel="0" collapsed="false">
      <c r="B91" s="18" t="s">
        <v>4375</v>
      </c>
      <c r="C91" s="18" t="s">
        <v>1523</v>
      </c>
      <c r="D91" s="18" t="s">
        <v>4376</v>
      </c>
      <c r="E91" s="18" t="s">
        <v>4377</v>
      </c>
      <c r="F91" s="18" t="s">
        <v>4378</v>
      </c>
      <c r="G91" s="18" t="s">
        <v>4379</v>
      </c>
      <c r="H91" s="18" t="s">
        <v>4380</v>
      </c>
    </row>
    <row r="92" customFormat="false" ht="24" hidden="false" customHeight="true" outlineLevel="0" collapsed="false">
      <c r="B92" s="9" t="s">
        <v>4546</v>
      </c>
      <c r="C92" s="153" t="n">
        <v>0.7</v>
      </c>
      <c r="D92" s="19" t="s">
        <v>76</v>
      </c>
      <c r="E92" s="150" t="s">
        <v>4547</v>
      </c>
      <c r="F92" s="19" t="s">
        <v>4338</v>
      </c>
      <c r="G92" s="150" t="s">
        <v>3</v>
      </c>
      <c r="H92" s="150" t="s">
        <v>4338</v>
      </c>
    </row>
    <row r="93" customFormat="false" ht="24" hidden="false" customHeight="true" outlineLevel="0" collapsed="false">
      <c r="B93" s="9" t="s">
        <v>4548</v>
      </c>
      <c r="C93" s="153" t="n">
        <v>0.4</v>
      </c>
      <c r="D93" s="19" t="s">
        <v>76</v>
      </c>
      <c r="E93" s="150" t="s">
        <v>4549</v>
      </c>
      <c r="F93" s="19" t="s">
        <v>4338</v>
      </c>
      <c r="G93" s="150" t="s">
        <v>3</v>
      </c>
      <c r="H93" s="150" t="s">
        <v>4338</v>
      </c>
    </row>
    <row r="94" customFormat="false" ht="24" hidden="false" customHeight="true" outlineLevel="0" collapsed="false">
      <c r="B94" s="9" t="s">
        <v>4550</v>
      </c>
      <c r="C94" s="157" t="n">
        <v>365</v>
      </c>
      <c r="D94" s="19" t="s">
        <v>4551</v>
      </c>
      <c r="E94" s="150" t="s">
        <v>4552</v>
      </c>
      <c r="F94" s="19" t="s">
        <v>4338</v>
      </c>
      <c r="G94" s="150" t="s">
        <v>3</v>
      </c>
      <c r="H94" s="150" t="s">
        <v>4338</v>
      </c>
    </row>
    <row r="95" customFormat="false" ht="24" hidden="false" customHeight="true" outlineLevel="0" collapsed="false">
      <c r="B95" s="9" t="s">
        <v>4553</v>
      </c>
      <c r="C95" s="153" t="n">
        <v>0.8</v>
      </c>
      <c r="D95" s="19" t="s">
        <v>4554</v>
      </c>
      <c r="E95" s="150" t="s">
        <v>4552</v>
      </c>
      <c r="F95" s="19" t="s">
        <v>4338</v>
      </c>
      <c r="G95" s="150" t="s">
        <v>3</v>
      </c>
      <c r="H95" s="150" t="s">
        <v>4338</v>
      </c>
    </row>
    <row r="96" customFormat="false" ht="15" hidden="false" customHeight="true" outlineLevel="0" collapsed="false">
      <c r="B96" s="15" t="s">
        <v>4555</v>
      </c>
      <c r="C96" s="16"/>
      <c r="D96" s="16"/>
      <c r="E96" s="16"/>
      <c r="F96" s="16"/>
      <c r="G96" s="16"/>
      <c r="H96" s="16"/>
    </row>
    <row r="97" customFormat="false" ht="15" hidden="false" customHeight="true" outlineLevel="0" collapsed="false">
      <c r="B97" s="18" t="s">
        <v>4375</v>
      </c>
      <c r="C97" s="18" t="s">
        <v>1523</v>
      </c>
      <c r="D97" s="18" t="s">
        <v>4376</v>
      </c>
      <c r="E97" s="18" t="s">
        <v>4377</v>
      </c>
      <c r="F97" s="18" t="s">
        <v>4378</v>
      </c>
      <c r="G97" s="18" t="s">
        <v>4379</v>
      </c>
      <c r="H97" s="18" t="s">
        <v>4380</v>
      </c>
    </row>
    <row r="98" customFormat="false" ht="24" hidden="false" customHeight="true" outlineLevel="0" collapsed="false">
      <c r="B98" s="9" t="s">
        <v>4556</v>
      </c>
      <c r="C98" s="157" t="n">
        <v>1200</v>
      </c>
      <c r="D98" s="19" t="s">
        <v>4557</v>
      </c>
      <c r="E98" s="150" t="s">
        <v>4558</v>
      </c>
      <c r="F98" s="19" t="s">
        <v>4338</v>
      </c>
      <c r="G98" s="150" t="s">
        <v>3</v>
      </c>
      <c r="H98" s="150" t="s">
        <v>4338</v>
      </c>
    </row>
    <row r="99" customFormat="false" ht="24" hidden="false" customHeight="true" outlineLevel="0" collapsed="false">
      <c r="B99" s="9" t="s">
        <v>4559</v>
      </c>
      <c r="C99" s="157" t="n">
        <v>60</v>
      </c>
      <c r="D99" s="19" t="s">
        <v>150</v>
      </c>
      <c r="E99" s="150" t="s">
        <v>4558</v>
      </c>
      <c r="F99" s="19" t="s">
        <v>4338</v>
      </c>
      <c r="G99" s="150" t="s">
        <v>3</v>
      </c>
      <c r="H99" s="150" t="s">
        <v>4338</v>
      </c>
    </row>
    <row r="100" customFormat="false" ht="24" hidden="false" customHeight="true" outlineLevel="0" collapsed="false">
      <c r="B100" s="9" t="s">
        <v>4560</v>
      </c>
      <c r="C100" s="157" t="n">
        <v>5</v>
      </c>
      <c r="D100" s="19" t="s">
        <v>83</v>
      </c>
      <c r="E100" s="150" t="s">
        <v>4558</v>
      </c>
      <c r="F100" s="19" t="s">
        <v>4338</v>
      </c>
      <c r="G100" s="150" t="s">
        <v>3</v>
      </c>
      <c r="H100" s="150" t="s">
        <v>4338</v>
      </c>
    </row>
    <row r="101" customFormat="false" ht="24" hidden="false" customHeight="true" outlineLevel="0" collapsed="false">
      <c r="B101" s="9" t="s">
        <v>4561</v>
      </c>
      <c r="C101" s="157" t="n">
        <v>10</v>
      </c>
      <c r="D101" s="19" t="s">
        <v>83</v>
      </c>
      <c r="E101" s="150" t="s">
        <v>4558</v>
      </c>
      <c r="F101" s="19" t="s">
        <v>4338</v>
      </c>
      <c r="G101" s="150" t="s">
        <v>3</v>
      </c>
      <c r="H101" s="150" t="s">
        <v>4338</v>
      </c>
    </row>
    <row r="102" customFormat="false" ht="24" hidden="false" customHeight="true" outlineLevel="0" collapsed="false">
      <c r="B102" s="9" t="s">
        <v>4562</v>
      </c>
      <c r="C102" s="157" t="n">
        <v>15</v>
      </c>
      <c r="D102" s="19" t="s">
        <v>83</v>
      </c>
      <c r="E102" s="150" t="s">
        <v>4558</v>
      </c>
      <c r="F102" s="19" t="s">
        <v>4338</v>
      </c>
      <c r="G102" s="150" t="s">
        <v>3</v>
      </c>
      <c r="H102" s="150" t="s">
        <v>4338</v>
      </c>
    </row>
    <row r="103" customFormat="false" ht="24" hidden="false" customHeight="true" outlineLevel="0" collapsed="false">
      <c r="B103" s="9" t="s">
        <v>4563</v>
      </c>
      <c r="C103" s="163" t="n">
        <v>1.645</v>
      </c>
      <c r="D103" s="19" t="s">
        <v>76</v>
      </c>
      <c r="E103" s="150" t="s">
        <v>4564</v>
      </c>
      <c r="F103" s="19" t="s">
        <v>4338</v>
      </c>
      <c r="G103" s="150" t="s">
        <v>3</v>
      </c>
      <c r="H103" s="150" t="s">
        <v>4565</v>
      </c>
    </row>
    <row r="104" customFormat="false" ht="15" hidden="false" customHeight="true" outlineLevel="0" collapsed="false">
      <c r="B104" s="9" t="s">
        <v>4566</v>
      </c>
      <c r="C104" s="158" t="s">
        <v>2913</v>
      </c>
      <c r="D104" s="14" t="s">
        <v>76</v>
      </c>
      <c r="E104" s="159" t="s">
        <v>4567</v>
      </c>
      <c r="G104" s="56" t="s">
        <v>3</v>
      </c>
    </row>
    <row r="105" customFormat="false" ht="15" hidden="false" customHeight="true" outlineLevel="0" collapsed="false">
      <c r="B105" s="9" t="s">
        <v>4568</v>
      </c>
      <c r="C105" s="158" t="s">
        <v>2915</v>
      </c>
      <c r="D105" s="14" t="s">
        <v>76</v>
      </c>
      <c r="E105" s="159" t="s">
        <v>4567</v>
      </c>
      <c r="G105" s="56" t="s">
        <v>3</v>
      </c>
    </row>
    <row r="106" customFormat="false" ht="15" hidden="false" customHeight="true" outlineLevel="0" collapsed="false">
      <c r="B106" s="9" t="s">
        <v>4569</v>
      </c>
      <c r="C106" s="158" t="s">
        <v>4570</v>
      </c>
      <c r="D106" s="14" t="s">
        <v>76</v>
      </c>
      <c r="E106" s="159" t="s">
        <v>4567</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4571</v>
      </c>
      <c r="D121" s="19" t="s">
        <v>122</v>
      </c>
      <c r="E121" s="19" t="s">
        <v>123</v>
      </c>
    </row>
    <row r="123" customFormat="false" ht="15" hidden="false" customHeight="true" outlineLevel="0" collapsed="false">
      <c r="B123" s="15" t="s">
        <v>4572</v>
      </c>
    </row>
    <row r="124" customFormat="false" ht="81.75" hidden="false" customHeight="true" outlineLevel="0" collapsed="false">
      <c r="B124" s="115"/>
    </row>
    <row r="125" customFormat="false" ht="15" hidden="false" customHeight="true" outlineLevel="0" collapsed="false">
      <c r="C125" s="164"/>
    </row>
    <row r="126" customFormat="false" ht="15" hidden="false" customHeight="true" outlineLevel="0" collapsed="false">
      <c r="B126" s="18"/>
      <c r="C126" s="18"/>
      <c r="D126" s="18"/>
      <c r="E126" s="18"/>
      <c r="F126" s="18"/>
      <c r="G126" s="18"/>
      <c r="H126" s="18"/>
    </row>
    <row r="127" customFormat="false" ht="15" hidden="false" customHeight="true" outlineLevel="0" collapsed="false">
      <c r="C127" s="165"/>
    </row>
    <row r="128" customFormat="false" ht="15" hidden="false" customHeight="true" outlineLevel="0" collapsed="false">
      <c r="C128" s="165"/>
    </row>
    <row r="129" customFormat="false" ht="15" hidden="false" customHeight="true" outlineLevel="0" collapsed="false">
      <c r="C129" s="165"/>
    </row>
    <row r="130" customFormat="false" ht="15" hidden="false" customHeight="true" outlineLevel="0" collapsed="false">
      <c r="C130" s="165"/>
    </row>
    <row r="131" customFormat="false" ht="15" hidden="false" customHeight="true" outlineLevel="0" collapsed="false">
      <c r="C131" s="166"/>
    </row>
    <row r="132" customFormat="false" ht="15" hidden="false" customHeight="true" outlineLevel="0" collapsed="false">
      <c r="C132" s="165"/>
    </row>
    <row r="133" customFormat="false" ht="15" hidden="false" customHeight="true" outlineLevel="0" collapsed="false">
      <c r="C133" s="147"/>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2026-10-08T14:54:09Z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