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omments4.xml" ContentType="application/vnd.openxmlformats-officedocument.spreadsheetml.comments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9.xml" ContentType="application/vnd.openxmlformats-officedocument.drawingml.chartshapes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0.xml" ContentType="application/vnd.openxmlformats-officedocument.drawingml.chartshapes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4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  <Override PartName="/xl/charts/colors9.xml" ContentType="application/vnd.ms-office.chartcolorstyle+xml"/>
  <Override PartName="/xl/charts/style9.xml" ContentType="application/vnd.ms-office.chartstyle+xml"/>
  <Override PartName="/xl/charts/colors10.xml" ContentType="application/vnd.ms-office.chartcolorstyle+xml"/>
  <Override PartName="/xl/charts/style10.xml" ContentType="application/vnd.ms-office.chartstyle+xml"/>
  <Override PartName="/xl/charts/colors11.xml" ContentType="application/vnd.ms-office.chartcolorstyle+xml"/>
  <Override PartName="/xl/charts/style11.xml" ContentType="application/vnd.ms-office.chartstyle+xml"/>
  <Override PartName="/xl/charts/colors12.xml" ContentType="application/vnd.ms-office.chartcolorstyle+xml"/>
  <Override PartName="/xl/charts/style12.xml" ContentType="application/vnd.ms-office.chartstyle+xml"/>
  <Override PartName="/xl/charts/colors13.xml" ContentType="application/vnd.ms-office.chartcolorstyle+xml"/>
  <Override PartName="/xl/charts/style13.xml" ContentType="application/vnd.ms-office.chartstyle+xml"/>
  <Override PartName="/xl/charts/colors14.xml" ContentType="application/vnd.ms-office.chartcolorstyle+xml"/>
  <Override PartName="/xl/charts/style14.xml" ContentType="application/vnd.ms-office.chartstyle+xml"/>
  <Override PartName="/xl/charts/colors15.xml" ContentType="application/vnd.ms-office.chartcolorstyle+xml"/>
  <Override PartName="/xl/charts/style15.xml" ContentType="application/vnd.ms-office.chartstyle+xml"/>
  <Override PartName="/xl/charts/colors16.xml" ContentType="application/vnd.ms-office.chartcolorstyle+xml"/>
  <Override PartName="/xl/charts/style16.xml" ContentType="application/vnd.ms-office.chartstyle+xml"/>
  <Override PartName="/xl/charts/colors17.xml" ContentType="application/vnd.ms-office.chartcolorstyle+xml"/>
  <Override PartName="/xl/charts/style17.xml" ContentType="application/vnd.ms-office.chartstyle+xml"/>
  <Override PartName="/xl/charts/colors18.xml" ContentType="application/vnd.ms-office.chartcolorstyle+xml"/>
  <Override PartName="/xl/charts/style18.xml" ContentType="application/vnd.ms-office.chartstyle+xml"/>
  <Override PartName="/xl/charts/colors19.xml" ContentType="application/vnd.ms-office.chartcolorstyle+xml"/>
  <Override PartName="/xl/charts/style19.xml" ContentType="application/vnd.ms-office.chartstyle+xml"/>
  <Override PartName="/xl/charts/colors20.xml" ContentType="application/vnd.ms-office.chartcolorstyle+xml"/>
  <Override PartName="/xl/charts/style20.xml" ContentType="application/vnd.ms-office.chartstyle+xml"/>
  <Override PartName="/xl/charts/colors21.xml" ContentType="application/vnd.ms-office.chartcolorstyle+xml"/>
  <Override PartName="/xl/charts/style21.xml" ContentType="application/vnd.ms-office.chartstyle+xml"/>
  <Override PartName="/xl/charts/colors22.xml" ContentType="application/vnd.ms-office.chartcolorstyle+xml"/>
  <Override PartName="/xl/charts/style22.xml" ContentType="application/vnd.ms-office.chartstyle+xml"/>
  <Override PartName="/xl/charts/colors23.xml" ContentType="application/vnd.ms-office.chartcolorstyle+xml"/>
  <Override PartName="/xl/charts/style23.xml" ContentType="application/vnd.ms-office.chartstyle+xml"/>
  <Override PartName="/xl/charts/colors24.xml" ContentType="application/vnd.ms-office.chartcolorstyle+xml"/>
  <Override PartName="/xl/charts/style24.xml" ContentType="application/vnd.ms-office.chartstyle+xml"/>
  <Override PartName="/xl/charts/colors25.xml" ContentType="application/vnd.ms-office.chartcolorstyle+xml"/>
  <Override PartName="/xl/charts/style25.xml" ContentType="application/vnd.ms-office.chartstyle+xml"/>
  <Override PartName="/xl/charts/colors26.xml" ContentType="application/vnd.ms-office.chartcolorstyle+xml"/>
  <Override PartName="/xl/charts/style26.xml" ContentType="application/vnd.ms-office.chartstyle+xml"/>
  <Override PartName="/xl/charts/colors27.xml" ContentType="application/vnd.ms-office.chartcolorstyle+xml"/>
  <Override PartName="/xl/charts/style27.xml" ContentType="application/vnd.ms-office.chartstyle+xml"/>
  <Override PartName="/xl/charts/colors28.xml" ContentType="application/vnd.ms-office.chartcolorstyle+xml"/>
  <Override PartName="/xl/charts/style28.xml" ContentType="application/vnd.ms-office.chartstyle+xml"/>
  <Override PartName="/xl/charts/colors29.xml" ContentType="application/vnd.ms-office.chartcolorstyle+xml"/>
  <Override PartName="/xl/charts/style29.xml" ContentType="application/vnd.ms-office.chartstyle+xml"/>
  <Override PartName="/xl/charts/colors30.xml" ContentType="application/vnd.ms-office.chartcolorstyle+xml"/>
  <Override PartName="/xl/charts/style30.xml" ContentType="application/vnd.ms-office.chartstyle+xml"/>
  <Override PartName="/xl/charts/colors31.xml" ContentType="application/vnd.ms-office.chartcolorstyle+xml"/>
  <Override PartName="/xl/charts/style31.xml" ContentType="application/vnd.ms-office.chartstyle+xml"/>
  <Override PartName="/xl/charts/colors32.xml" ContentType="application/vnd.ms-office.chartcolorstyle+xml"/>
  <Override PartName="/xl/charts/style32.xml" ContentType="application/vnd.ms-office.chartstyle+xml"/>
  <Override PartName="/xl/charts/colors33.xml" ContentType="application/vnd.ms-office.chartcolorstyle+xml"/>
  <Override PartName="/xl/charts/style33.xml" ContentType="application/vnd.ms-office.chartstyle+xml"/>
  <Override PartName="/xl/charts/colors34.xml" ContentType="application/vnd.ms-office.chartcolorstyle+xml"/>
  <Override PartName="/xl/charts/style34.xml" ContentType="application/vnd.ms-office.chartstyle+xml"/>
  <Override PartName="/xl/charts/colors35.xml" ContentType="application/vnd.ms-office.chartcolorstyle+xml"/>
  <Override PartName="/xl/charts/style35.xml" ContentType="application/vnd.ms-office.chartstyle+xml"/>
  <Override PartName="/xl/charts/colors36.xml" ContentType="application/vnd.ms-office.chartcolorstyle+xml"/>
  <Override PartName="/xl/charts/style36.xml" ContentType="application/vnd.ms-office.chartstyle+xml"/>
  <Override PartName="/xl/charts/colors37.xml" ContentType="application/vnd.ms-office.chartcolorstyle+xml"/>
  <Override PartName="/xl/charts/style37.xml" ContentType="application/vnd.ms-office.chartstyle+xml"/>
  <Override PartName="/xl/charts/colors38.xml" ContentType="application/vnd.ms-office.chartcolorstyle+xml"/>
  <Override PartName="/xl/charts/style38.xml" ContentType="application/vnd.ms-office.chartstyle+xml"/>
  <Override PartName="/xl/charts/colors39.xml" ContentType="application/vnd.ms-office.chartcolorstyle+xml"/>
  <Override PartName="/xl/charts/style39.xml" ContentType="application/vnd.ms-office.chartstyle+xml"/>
  <Override PartName="/xl/charts/colors40.xml" ContentType="application/vnd.ms-office.chartcolorstyle+xml"/>
  <Override PartName="/xl/charts/style40.xml" ContentType="application/vnd.ms-office.chartstyle+xml"/>
  <Override PartName="/xl/charts/colors41.xml" ContentType="application/vnd.ms-office.chartcolorstyle+xml"/>
  <Override PartName="/xl/charts/style4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0" yWindow="135" windowWidth="19155" windowHeight="12285" firstSheet="1" activeTab="1"/>
  </bookViews>
  <sheets>
    <sheet name="__FDSCACHE__" sheetId="8" state="veryHidden" r:id="rId1"/>
    <sheet name="Ships" sheetId="2" r:id="rId2"/>
    <sheet name="Reviews" sheetId="29" r:id="rId3"/>
    <sheet name="New Ship Q" sheetId="27" r:id="rId4"/>
    <sheet name="Ship Table" sheetId="26" r:id="rId5"/>
    <sheet name="Ship Trends" sheetId="7" r:id="rId6"/>
    <sheet name="Annual" sheetId="15" r:id="rId7"/>
    <sheet name="M&amp;A" sheetId="10" r:id="rId8"/>
    <sheet name="China 2" sheetId="20" r:id="rId9"/>
    <sheet name="China 1" sheetId="24" r:id="rId10"/>
    <sheet name="Orders OLD" sheetId="17" r:id="rId11"/>
    <sheet name="CPI" sheetId="4" r:id="rId12"/>
  </sheets>
  <externalReferences>
    <externalReference r:id="rId13"/>
    <externalReference r:id="rId14"/>
  </externalReferences>
  <definedNames>
    <definedName name="_xlnm._FilterDatabase" localSheetId="1" hidden="1">Ships!$B$2:$AJ$2</definedName>
  </definedNames>
  <calcPr calcId="145621" iterate="1"/>
</workbook>
</file>

<file path=xl/calcChain.xml><?xml version="1.0" encoding="utf-8"?>
<calcChain xmlns="http://schemas.openxmlformats.org/spreadsheetml/2006/main">
  <c r="F34" i="29" l="1"/>
  <c r="G34" i="29"/>
  <c r="H34" i="29"/>
  <c r="I34" i="29"/>
  <c r="J34" i="29"/>
  <c r="F35" i="29"/>
  <c r="G35" i="29"/>
  <c r="H35" i="29"/>
  <c r="I35" i="29"/>
  <c r="J35" i="29"/>
  <c r="F36" i="29"/>
  <c r="G36" i="29"/>
  <c r="H36" i="29"/>
  <c r="I36" i="29"/>
  <c r="J36" i="29"/>
  <c r="G33" i="29"/>
  <c r="H33" i="29"/>
  <c r="I33" i="29"/>
  <c r="J33" i="29"/>
  <c r="F33" i="29"/>
  <c r="G41" i="29"/>
  <c r="H41" i="29"/>
  <c r="I41" i="29"/>
  <c r="J41" i="29"/>
  <c r="F41" i="29"/>
  <c r="G40" i="29"/>
  <c r="H40" i="29"/>
  <c r="I40" i="29"/>
  <c r="J40" i="29"/>
  <c r="F40" i="29"/>
  <c r="G39" i="29"/>
  <c r="H39" i="29"/>
  <c r="H37" i="29" s="1"/>
  <c r="I39" i="29"/>
  <c r="J39" i="29"/>
  <c r="F39" i="29"/>
  <c r="E6" i="29"/>
  <c r="E9" i="29"/>
  <c r="E10" i="29"/>
  <c r="E7" i="29"/>
  <c r="E8" i="29"/>
  <c r="E12" i="29"/>
  <c r="E11" i="29"/>
  <c r="E20" i="29"/>
  <c r="E17" i="29"/>
  <c r="E19" i="29"/>
  <c r="E15" i="29"/>
  <c r="E21" i="29"/>
  <c r="E13" i="29"/>
  <c r="E18" i="29"/>
  <c r="E16" i="29"/>
  <c r="E14" i="29"/>
  <c r="E31" i="29"/>
  <c r="E32" i="29"/>
  <c r="E26" i="29"/>
  <c r="E25" i="29"/>
  <c r="E30" i="29"/>
  <c r="E22" i="29"/>
  <c r="E27" i="29"/>
  <c r="E24" i="29"/>
  <c r="E28" i="29"/>
  <c r="E29" i="29"/>
  <c r="E23" i="29"/>
  <c r="E5" i="29"/>
  <c r="AC64" i="26"/>
  <c r="AC65" i="26"/>
  <c r="AC63" i="26"/>
  <c r="Q60" i="26"/>
  <c r="Q61" i="26"/>
  <c r="Q59" i="26"/>
  <c r="Q58" i="26"/>
  <c r="AJ355" i="2"/>
  <c r="AJ354" i="2"/>
  <c r="AJ248" i="2"/>
  <c r="AJ247" i="2"/>
  <c r="AJ231" i="2"/>
  <c r="AJ216" i="2"/>
  <c r="AJ170" i="2"/>
  <c r="AJ169" i="2"/>
  <c r="AJ116" i="2"/>
  <c r="AJ99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J29" i="2"/>
  <c r="R155" i="2"/>
  <c r="S155" i="2" s="1"/>
  <c r="O155" i="2"/>
  <c r="AC155" i="2"/>
  <c r="K155" i="2" s="1"/>
  <c r="J37" i="29" l="1"/>
  <c r="F37" i="29"/>
  <c r="G37" i="29"/>
  <c r="I37" i="29"/>
  <c r="E41" i="29"/>
  <c r="E40" i="29"/>
  <c r="E39" i="29"/>
  <c r="E37" i="29" l="1"/>
  <c r="AA54" i="26" l="1"/>
  <c r="Q53" i="26"/>
  <c r="D39" i="26"/>
  <c r="E39" i="26"/>
  <c r="F39" i="26"/>
  <c r="CQ39" i="26" s="1"/>
  <c r="G39" i="26"/>
  <c r="H39" i="26"/>
  <c r="I39" i="26"/>
  <c r="J39" i="26"/>
  <c r="K39" i="26"/>
  <c r="L39" i="26"/>
  <c r="M39" i="26"/>
  <c r="D37" i="26"/>
  <c r="E37" i="26"/>
  <c r="F37" i="26"/>
  <c r="CQ37" i="26" s="1"/>
  <c r="G37" i="26"/>
  <c r="H37" i="26"/>
  <c r="I37" i="26"/>
  <c r="J37" i="26"/>
  <c r="K37" i="26"/>
  <c r="L37" i="26"/>
  <c r="M37" i="26"/>
  <c r="D36" i="26"/>
  <c r="E36" i="26"/>
  <c r="F36" i="26"/>
  <c r="CQ36" i="26" s="1"/>
  <c r="G36" i="26"/>
  <c r="H36" i="26"/>
  <c r="I36" i="26"/>
  <c r="J36" i="26"/>
  <c r="K36" i="26"/>
  <c r="L36" i="26"/>
  <c r="M36" i="26"/>
  <c r="D44" i="26"/>
  <c r="E44" i="26"/>
  <c r="F44" i="26"/>
  <c r="CQ44" i="26" s="1"/>
  <c r="G44" i="26"/>
  <c r="H44" i="26"/>
  <c r="I44" i="26"/>
  <c r="J44" i="26"/>
  <c r="K44" i="26"/>
  <c r="L44" i="26"/>
  <c r="M44" i="26"/>
  <c r="D42" i="26"/>
  <c r="E42" i="26"/>
  <c r="F42" i="26"/>
  <c r="CQ42" i="26" s="1"/>
  <c r="G42" i="26"/>
  <c r="H42" i="26"/>
  <c r="I42" i="26"/>
  <c r="J42" i="26"/>
  <c r="K42" i="26"/>
  <c r="L42" i="26"/>
  <c r="M42" i="26"/>
  <c r="M52" i="26"/>
  <c r="M61" i="26" s="1"/>
  <c r="L52" i="26"/>
  <c r="K52" i="26"/>
  <c r="M45" i="26"/>
  <c r="L45" i="26"/>
  <c r="K45" i="26"/>
  <c r="J45" i="26"/>
  <c r="I45" i="26"/>
  <c r="H45" i="26"/>
  <c r="G45" i="26"/>
  <c r="F45" i="26"/>
  <c r="CF45" i="26" s="1"/>
  <c r="E45" i="26"/>
  <c r="D45" i="26"/>
  <c r="M40" i="26"/>
  <c r="L40" i="26"/>
  <c r="K40" i="26"/>
  <c r="K60" i="26" s="1"/>
  <c r="J40" i="26"/>
  <c r="I40" i="26"/>
  <c r="H40" i="26"/>
  <c r="G40" i="26"/>
  <c r="G60" i="26" s="1"/>
  <c r="F40" i="26"/>
  <c r="E40" i="26"/>
  <c r="D40" i="26"/>
  <c r="M29" i="26"/>
  <c r="M59" i="26" s="1"/>
  <c r="L29" i="26"/>
  <c r="L59" i="26" s="1"/>
  <c r="K29" i="26"/>
  <c r="K59" i="26" s="1"/>
  <c r="J29" i="26"/>
  <c r="I29" i="26"/>
  <c r="I59" i="26" s="1"/>
  <c r="H29" i="26"/>
  <c r="H59" i="26" s="1"/>
  <c r="G29" i="26"/>
  <c r="G59" i="26" s="1"/>
  <c r="F29" i="26"/>
  <c r="E29" i="26"/>
  <c r="E59" i="26" s="1"/>
  <c r="D29" i="26"/>
  <c r="M17" i="26"/>
  <c r="M58" i="26" s="1"/>
  <c r="L17" i="26"/>
  <c r="L58" i="26" s="1"/>
  <c r="K17" i="26"/>
  <c r="K58" i="26" s="1"/>
  <c r="J17" i="26"/>
  <c r="J58" i="26" s="1"/>
  <c r="I17" i="26"/>
  <c r="I58" i="26" s="1"/>
  <c r="H17" i="26"/>
  <c r="H58" i="26" s="1"/>
  <c r="G17" i="26"/>
  <c r="G58" i="26" s="1"/>
  <c r="F17" i="26"/>
  <c r="E17" i="26"/>
  <c r="E58" i="26" s="1"/>
  <c r="D17" i="26"/>
  <c r="J52" i="26"/>
  <c r="J61" i="26" s="1"/>
  <c r="I52" i="26"/>
  <c r="I61" i="26" s="1"/>
  <c r="H52" i="26"/>
  <c r="H61" i="26" s="1"/>
  <c r="G52" i="26"/>
  <c r="F52" i="26"/>
  <c r="E52" i="26"/>
  <c r="E61" i="26" s="1"/>
  <c r="D52" i="26"/>
  <c r="R384" i="2"/>
  <c r="S384" i="2" s="1"/>
  <c r="AC384" i="2"/>
  <c r="K384" i="2" s="1"/>
  <c r="R383" i="2"/>
  <c r="S383" i="2" s="1"/>
  <c r="AC383" i="2"/>
  <c r="K383" i="2" s="1"/>
  <c r="R382" i="2"/>
  <c r="S382" i="2" s="1"/>
  <c r="AC382" i="2"/>
  <c r="K382" i="2" s="1"/>
  <c r="R416" i="2"/>
  <c r="S416" i="2" s="1"/>
  <c r="R417" i="2"/>
  <c r="S417" i="2" s="1"/>
  <c r="AC417" i="2"/>
  <c r="K417" i="2" s="1"/>
  <c r="AC416" i="2"/>
  <c r="K416" i="2" s="1"/>
  <c r="R415" i="2"/>
  <c r="S415" i="2" s="1"/>
  <c r="AC415" i="2"/>
  <c r="K415" i="2" s="1"/>
  <c r="AC414" i="2"/>
  <c r="K414" i="2" s="1"/>
  <c r="O30" i="2"/>
  <c r="O31" i="2"/>
  <c r="O49" i="2"/>
  <c r="O48" i="2"/>
  <c r="O50" i="2"/>
  <c r="O51" i="2"/>
  <c r="O64" i="2"/>
  <c r="O65" i="2"/>
  <c r="O66" i="2"/>
  <c r="O75" i="2"/>
  <c r="O76" i="2"/>
  <c r="O99" i="2"/>
  <c r="O100" i="2"/>
  <c r="O101" i="2"/>
  <c r="O121" i="2"/>
  <c r="O32" i="2"/>
  <c r="O33" i="2"/>
  <c r="O156" i="2"/>
  <c r="O170" i="2"/>
  <c r="O182" i="2"/>
  <c r="O183" i="2"/>
  <c r="O184" i="2"/>
  <c r="O217" i="2"/>
  <c r="O218" i="2"/>
  <c r="O219" i="2"/>
  <c r="O220" i="2"/>
  <c r="O231" i="2"/>
  <c r="O247" i="2"/>
  <c r="O248" i="2"/>
  <c r="O249" i="2"/>
  <c r="O250" i="2"/>
  <c r="O251" i="2"/>
  <c r="O252" i="2"/>
  <c r="O253" i="2"/>
  <c r="O254" i="2"/>
  <c r="O255" i="2"/>
  <c r="O256" i="2"/>
  <c r="O272" i="2"/>
  <c r="O271" i="2"/>
  <c r="O270" i="2"/>
  <c r="O269" i="2"/>
  <c r="O294" i="2"/>
  <c r="O293" i="2"/>
  <c r="O292" i="2"/>
  <c r="O299" i="2"/>
  <c r="O300" i="2"/>
  <c r="O301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35" i="2"/>
  <c r="O334" i="2"/>
  <c r="O359" i="2"/>
  <c r="O365" i="2"/>
  <c r="O367" i="2"/>
  <c r="O366" i="2"/>
  <c r="O287" i="2"/>
  <c r="O389" i="2"/>
  <c r="O388" i="2"/>
  <c r="O385" i="2"/>
  <c r="O408" i="2"/>
  <c r="O409" i="2"/>
  <c r="O407" i="2"/>
  <c r="O397" i="2"/>
  <c r="O398" i="2"/>
  <c r="O399" i="2"/>
  <c r="O400" i="2"/>
  <c r="O401" i="2"/>
  <c r="O402" i="2"/>
  <c r="O403" i="2"/>
  <c r="O404" i="2"/>
  <c r="O396" i="2"/>
  <c r="O413" i="2"/>
  <c r="O412" i="2"/>
  <c r="AC413" i="2"/>
  <c r="K413" i="2" s="1"/>
  <c r="R412" i="2"/>
  <c r="S412" i="2" s="1"/>
  <c r="AC412" i="2"/>
  <c r="K412" i="2" s="1"/>
  <c r="R411" i="2"/>
  <c r="S411" i="2" s="1"/>
  <c r="AC411" i="2"/>
  <c r="K411" i="2" s="1"/>
  <c r="R410" i="2"/>
  <c r="S410" i="2" s="1"/>
  <c r="AC410" i="2"/>
  <c r="K410" i="2" s="1"/>
  <c r="R393" i="2"/>
  <c r="S393" i="2" s="1"/>
  <c r="R394" i="2"/>
  <c r="S394" i="2" s="1"/>
  <c r="R395" i="2"/>
  <c r="S395" i="2" s="1"/>
  <c r="R391" i="2"/>
  <c r="S391" i="2" s="1"/>
  <c r="R392" i="2"/>
  <c r="S392" i="2" s="1"/>
  <c r="R390" i="2"/>
  <c r="S390" i="2" s="1"/>
  <c r="AC395" i="2"/>
  <c r="K395" i="2" s="1"/>
  <c r="AC394" i="2"/>
  <c r="K394" i="2" s="1"/>
  <c r="AC393" i="2"/>
  <c r="K393" i="2" s="1"/>
  <c r="AC392" i="2"/>
  <c r="K392" i="2" s="1"/>
  <c r="AC391" i="2"/>
  <c r="K391" i="2" s="1"/>
  <c r="AC390" i="2"/>
  <c r="K390" i="2" s="1"/>
  <c r="S277" i="2"/>
  <c r="AC277" i="2"/>
  <c r="K277" i="2" s="1"/>
  <c r="R379" i="2"/>
  <c r="S379" i="2" s="1"/>
  <c r="AC379" i="2"/>
  <c r="K379" i="2" s="1"/>
  <c r="R378" i="2"/>
  <c r="S378" i="2" s="1"/>
  <c r="AC378" i="2"/>
  <c r="K378" i="2" s="1"/>
  <c r="R377" i="2"/>
  <c r="S377" i="2" s="1"/>
  <c r="AC377" i="2"/>
  <c r="K377" i="2" s="1"/>
  <c r="S364" i="2"/>
  <c r="AC364" i="2"/>
  <c r="K364" i="2" s="1"/>
  <c r="R380" i="2"/>
  <c r="S380" i="2" s="1"/>
  <c r="AC380" i="2"/>
  <c r="K380" i="2" s="1"/>
  <c r="AC170" i="2"/>
  <c r="AC171" i="2"/>
  <c r="AC172" i="2"/>
  <c r="AC173" i="2"/>
  <c r="AC174" i="2"/>
  <c r="AC175" i="2"/>
  <c r="AC176" i="2"/>
  <c r="AC279" i="2"/>
  <c r="AC177" i="2"/>
  <c r="AC178" i="2"/>
  <c r="AC179" i="2"/>
  <c r="AC180" i="2"/>
  <c r="AC181" i="2"/>
  <c r="Q176" i="2"/>
  <c r="R176" i="2" s="1"/>
  <c r="S176" i="2" s="1"/>
  <c r="K176" i="2"/>
  <c r="R156" i="2"/>
  <c r="S156" i="2" s="1"/>
  <c r="AC156" i="2"/>
  <c r="K156" i="2" s="1"/>
  <c r="R66" i="2"/>
  <c r="S66" i="2" s="1"/>
  <c r="AC66" i="2"/>
  <c r="K66" i="2" s="1"/>
  <c r="R184" i="2"/>
  <c r="S184" i="2" s="1"/>
  <c r="AC184" i="2"/>
  <c r="K184" i="2" s="1"/>
  <c r="R76" i="2"/>
  <c r="S76" i="2" s="1"/>
  <c r="AC76" i="2"/>
  <c r="K76" i="2" s="1"/>
  <c r="R272" i="2"/>
  <c r="S272" i="2" s="1"/>
  <c r="AC272" i="2"/>
  <c r="K272" i="2" s="1"/>
  <c r="R101" i="2"/>
  <c r="S101" i="2" s="1"/>
  <c r="AC101" i="2"/>
  <c r="K101" i="2" s="1"/>
  <c r="R294" i="2"/>
  <c r="S294" i="2" s="1"/>
  <c r="AC294" i="2"/>
  <c r="K294" i="2" s="1"/>
  <c r="AC307" i="2"/>
  <c r="AC308" i="2"/>
  <c r="AC309" i="2"/>
  <c r="K309" i="2" s="1"/>
  <c r="AC310" i="2"/>
  <c r="K310" i="2" s="1"/>
  <c r="AC311" i="2"/>
  <c r="AC312" i="2"/>
  <c r="K312" i="2" s="1"/>
  <c r="AC313" i="2"/>
  <c r="K313" i="2" s="1"/>
  <c r="AC314" i="2"/>
  <c r="K314" i="2" s="1"/>
  <c r="AC315" i="2"/>
  <c r="K315" i="2" s="1"/>
  <c r="AC316" i="2"/>
  <c r="K316" i="2" s="1"/>
  <c r="AC317" i="2"/>
  <c r="K317" i="2" s="1"/>
  <c r="AC318" i="2"/>
  <c r="K318" i="2" s="1"/>
  <c r="AC319" i="2"/>
  <c r="K319" i="2" s="1"/>
  <c r="AC365" i="2"/>
  <c r="AC366" i="2"/>
  <c r="AC367" i="2"/>
  <c r="AC320" i="2"/>
  <c r="AC321" i="2"/>
  <c r="AC322" i="2"/>
  <c r="AC323" i="2"/>
  <c r="AC324" i="2"/>
  <c r="AC325" i="2"/>
  <c r="AC326" i="2"/>
  <c r="AC327" i="2"/>
  <c r="AC328" i="2"/>
  <c r="R319" i="2"/>
  <c r="S319" i="2" s="1"/>
  <c r="R318" i="2"/>
  <c r="S318" i="2" s="1"/>
  <c r="R317" i="2"/>
  <c r="S317" i="2" s="1"/>
  <c r="R316" i="2"/>
  <c r="S316" i="2" s="1"/>
  <c r="R315" i="2"/>
  <c r="S315" i="2" s="1"/>
  <c r="R314" i="2"/>
  <c r="S314" i="2" s="1"/>
  <c r="R313" i="2"/>
  <c r="S313" i="2" s="1"/>
  <c r="R310" i="2"/>
  <c r="S310" i="2" s="1"/>
  <c r="R312" i="2"/>
  <c r="S312" i="2" s="1"/>
  <c r="R309" i="2"/>
  <c r="S309" i="2" s="1"/>
  <c r="R117" i="2"/>
  <c r="S117" i="2" s="1"/>
  <c r="AC117" i="2"/>
  <c r="K117" i="2" s="1"/>
  <c r="R256" i="2"/>
  <c r="S256" i="2" s="1"/>
  <c r="AC256" i="2"/>
  <c r="K256" i="2" s="1"/>
  <c r="R255" i="2"/>
  <c r="S255" i="2" s="1"/>
  <c r="AC255" i="2"/>
  <c r="K255" i="2" s="1"/>
  <c r="R253" i="2"/>
  <c r="S253" i="2" s="1"/>
  <c r="AC253" i="2"/>
  <c r="K253" i="2" s="1"/>
  <c r="R252" i="2"/>
  <c r="S252" i="2" s="1"/>
  <c r="AC252" i="2"/>
  <c r="K252" i="2" s="1"/>
  <c r="R250" i="2"/>
  <c r="S250" i="2" s="1"/>
  <c r="AC250" i="2"/>
  <c r="K250" i="2" s="1"/>
  <c r="R398" i="2"/>
  <c r="S398" i="2" s="1"/>
  <c r="AC398" i="2"/>
  <c r="K398" i="2" s="1"/>
  <c r="R397" i="2"/>
  <c r="S397" i="2" s="1"/>
  <c r="AC397" i="2"/>
  <c r="K397" i="2" s="1"/>
  <c r="R409" i="2"/>
  <c r="S409" i="2" s="1"/>
  <c r="AC409" i="2"/>
  <c r="K409" i="2" s="1"/>
  <c r="AC405" i="2"/>
  <c r="K405" i="2" s="1"/>
  <c r="N406" i="2"/>
  <c r="AC406" i="2"/>
  <c r="K406" i="2" s="1"/>
  <c r="R407" i="2"/>
  <c r="S407" i="2" s="1"/>
  <c r="AC407" i="2"/>
  <c r="K407" i="2" s="1"/>
  <c r="CQ52" i="26" l="1"/>
  <c r="F61" i="26"/>
  <c r="CG52" i="26"/>
  <c r="G61" i="26"/>
  <c r="CD17" i="26"/>
  <c r="D58" i="26"/>
  <c r="CQ29" i="26"/>
  <c r="F59" i="26"/>
  <c r="CJ29" i="26"/>
  <c r="J59" i="26"/>
  <c r="CD40" i="26"/>
  <c r="D60" i="26"/>
  <c r="CH40" i="26"/>
  <c r="H60" i="26"/>
  <c r="CL40" i="26"/>
  <c r="L60" i="26"/>
  <c r="CK52" i="26"/>
  <c r="K61" i="26"/>
  <c r="D53" i="26"/>
  <c r="D54" i="26" s="1"/>
  <c r="D55" i="26" s="1"/>
  <c r="D61" i="26"/>
  <c r="E60" i="26"/>
  <c r="I60" i="26"/>
  <c r="M60" i="26"/>
  <c r="L53" i="26"/>
  <c r="L54" i="26" s="1"/>
  <c r="L55" i="26" s="1"/>
  <c r="L61" i="26"/>
  <c r="CQ17" i="26"/>
  <c r="F58" i="26"/>
  <c r="CD29" i="26"/>
  <c r="D59" i="26"/>
  <c r="CQ40" i="26"/>
  <c r="F60" i="26"/>
  <c r="J60" i="26"/>
  <c r="CT29" i="26"/>
  <c r="CT45" i="26"/>
  <c r="CT17" i="26"/>
  <c r="CT40" i="26"/>
  <c r="CT36" i="26"/>
  <c r="CT52" i="26"/>
  <c r="CT42" i="26"/>
  <c r="CT39" i="26"/>
  <c r="CQ45" i="26"/>
  <c r="E53" i="26"/>
  <c r="E54" i="26" s="1"/>
  <c r="E55" i="26" s="1"/>
  <c r="BS52" i="26"/>
  <c r="J53" i="26"/>
  <c r="J54" i="26" s="1"/>
  <c r="J55" i="26" s="1"/>
  <c r="CG40" i="26"/>
  <c r="CK40" i="26"/>
  <c r="CE45" i="26"/>
  <c r="CI45" i="26"/>
  <c r="I53" i="26"/>
  <c r="I54" i="26" s="1"/>
  <c r="I55" i="26" s="1"/>
  <c r="M53" i="26"/>
  <c r="M54" i="26" s="1"/>
  <c r="M55" i="26" s="1"/>
  <c r="W44" i="26"/>
  <c r="BS44" i="26"/>
  <c r="CG17" i="26"/>
  <c r="CL17" i="26"/>
  <c r="CH36" i="26"/>
  <c r="CJ39" i="26"/>
  <c r="U52" i="26"/>
  <c r="U61" i="26" s="1"/>
  <c r="CL39" i="26"/>
  <c r="CL42" i="26"/>
  <c r="U42" i="26"/>
  <c r="BH42" i="26" s="1"/>
  <c r="CD42" i="26"/>
  <c r="CJ36" i="26"/>
  <c r="F53" i="26"/>
  <c r="F54" i="26" s="1"/>
  <c r="F55" i="26" s="1"/>
  <c r="H53" i="26"/>
  <c r="H54" i="26" s="1"/>
  <c r="H55" i="26" s="1"/>
  <c r="K53" i="26"/>
  <c r="K54" i="26" s="1"/>
  <c r="K55" i="26" s="1"/>
  <c r="G53" i="26"/>
  <c r="G54" i="26" s="1"/>
  <c r="G55" i="26" s="1"/>
  <c r="U17" i="26"/>
  <c r="U58" i="26" s="1"/>
  <c r="S29" i="26"/>
  <c r="CJ44" i="26"/>
  <c r="BR42" i="26"/>
  <c r="V44" i="26"/>
  <c r="CD44" i="26"/>
  <c r="U36" i="26"/>
  <c r="CJ37" i="26"/>
  <c r="W39" i="26"/>
  <c r="CF52" i="26"/>
  <c r="BH36" i="26"/>
  <c r="CF29" i="26"/>
  <c r="CD36" i="26"/>
  <c r="Y52" i="26"/>
  <c r="CH17" i="26"/>
  <c r="CJ45" i="26"/>
  <c r="CL37" i="26"/>
  <c r="CD37" i="26"/>
  <c r="BT17" i="26"/>
  <c r="BX17" i="26"/>
  <c r="BT40" i="26"/>
  <c r="CJ42" i="26"/>
  <c r="Y36" i="26"/>
  <c r="S39" i="26"/>
  <c r="CH42" i="26"/>
  <c r="Y42" i="26"/>
  <c r="AH52" i="26"/>
  <c r="BQ37" i="26"/>
  <c r="CD52" i="26"/>
  <c r="BU45" i="26"/>
  <c r="CH52" i="26"/>
  <c r="BR17" i="26"/>
  <c r="R17" i="26"/>
  <c r="CE17" i="26"/>
  <c r="BV17" i="26"/>
  <c r="V17" i="26"/>
  <c r="CI17" i="26"/>
  <c r="BZ17" i="26"/>
  <c r="Z17" i="26"/>
  <c r="CM17" i="26"/>
  <c r="BT29" i="26"/>
  <c r="CG29" i="26"/>
  <c r="BX29" i="26"/>
  <c r="X29" i="26"/>
  <c r="CK29" i="26"/>
  <c r="BR40" i="26"/>
  <c r="R40" i="26"/>
  <c r="CE40" i="26"/>
  <c r="BV40" i="26"/>
  <c r="CI40" i="26"/>
  <c r="CI39" i="26"/>
  <c r="V40" i="26"/>
  <c r="BZ40" i="26"/>
  <c r="CM40" i="26"/>
  <c r="CM39" i="26"/>
  <c r="BT45" i="26"/>
  <c r="CG45" i="26"/>
  <c r="BX45" i="26"/>
  <c r="CK45" i="26"/>
  <c r="X45" i="26"/>
  <c r="AX45" i="26" s="1"/>
  <c r="BX44" i="26"/>
  <c r="X44" i="26"/>
  <c r="AX44" i="26" s="1"/>
  <c r="CK44" i="26"/>
  <c r="BT44" i="26"/>
  <c r="T44" i="26"/>
  <c r="CG44" i="26"/>
  <c r="U44" i="26"/>
  <c r="AU44" i="26" s="1"/>
  <c r="BW36" i="26"/>
  <c r="W36" i="26"/>
  <c r="AW36" i="26" s="1"/>
  <c r="BS36" i="26"/>
  <c r="S36" i="26"/>
  <c r="AS36" i="26" s="1"/>
  <c r="CF36" i="26"/>
  <c r="T36" i="26"/>
  <c r="BZ37" i="26"/>
  <c r="Z37" i="26"/>
  <c r="AZ37" i="26" s="1"/>
  <c r="CM37" i="26"/>
  <c r="BV37" i="26"/>
  <c r="V37" i="26"/>
  <c r="AV37" i="26" s="1"/>
  <c r="BR37" i="26"/>
  <c r="R37" i="26"/>
  <c r="BY39" i="26"/>
  <c r="BU39" i="26"/>
  <c r="CH39" i="26"/>
  <c r="U39" i="26"/>
  <c r="AU39" i="26" s="1"/>
  <c r="BQ39" i="26"/>
  <c r="R39" i="26"/>
  <c r="AR39" i="26" s="1"/>
  <c r="CD39" i="26"/>
  <c r="CI37" i="26"/>
  <c r="T45" i="26"/>
  <c r="R42" i="26"/>
  <c r="AR42" i="26" s="1"/>
  <c r="CE52" i="26"/>
  <c r="BR52" i="26"/>
  <c r="R52" i="26"/>
  <c r="R61" i="26" s="1"/>
  <c r="S52" i="26"/>
  <c r="S61" i="26" s="1"/>
  <c r="V52" i="26"/>
  <c r="V61" i="26" s="1"/>
  <c r="CI52" i="26"/>
  <c r="BV42" i="26"/>
  <c r="BV52" i="26"/>
  <c r="S17" i="26"/>
  <c r="CF17" i="26"/>
  <c r="W17" i="26"/>
  <c r="BW17" i="26"/>
  <c r="CJ17" i="26"/>
  <c r="U29" i="26"/>
  <c r="Y29" i="26"/>
  <c r="CL29" i="26"/>
  <c r="S40" i="26"/>
  <c r="BS40" i="26"/>
  <c r="CF37" i="26"/>
  <c r="W40" i="26"/>
  <c r="CJ40" i="26"/>
  <c r="R45" i="26"/>
  <c r="AR45" i="26" s="1"/>
  <c r="CD45" i="26"/>
  <c r="U45" i="26"/>
  <c r="AU45" i="26" s="1"/>
  <c r="CH45" i="26"/>
  <c r="CH44" i="26"/>
  <c r="CL45" i="26"/>
  <c r="CL44" i="26"/>
  <c r="Y45" i="26"/>
  <c r="AY45" i="26" s="1"/>
  <c r="CM52" i="26"/>
  <c r="Z52" i="26"/>
  <c r="Z61" i="26" s="1"/>
  <c r="AM61" i="26" s="1"/>
  <c r="BX42" i="26"/>
  <c r="CK42" i="26"/>
  <c r="X42" i="26"/>
  <c r="AX42" i="26" s="1"/>
  <c r="BT42" i="26"/>
  <c r="T42" i="26"/>
  <c r="CG42" i="26"/>
  <c r="S44" i="26"/>
  <c r="CF44" i="26"/>
  <c r="CM36" i="26"/>
  <c r="Z36" i="26"/>
  <c r="AZ36" i="26" s="1"/>
  <c r="V36" i="26"/>
  <c r="AV36" i="26" s="1"/>
  <c r="CI36" i="26"/>
  <c r="R36" i="26"/>
  <c r="AR36" i="26" s="1"/>
  <c r="CE36" i="26"/>
  <c r="CH37" i="26"/>
  <c r="U37" i="26"/>
  <c r="AU37" i="26" s="1"/>
  <c r="X39" i="26"/>
  <c r="AX39" i="26" s="1"/>
  <c r="CK39" i="26"/>
  <c r="T39" i="26"/>
  <c r="CG39" i="26"/>
  <c r="BT39" i="26"/>
  <c r="BZ52" i="26"/>
  <c r="BX39" i="26"/>
  <c r="CH29" i="26"/>
  <c r="CF40" i="26"/>
  <c r="CF39" i="26"/>
  <c r="CE37" i="26"/>
  <c r="BI44" i="26"/>
  <c r="Z40" i="26"/>
  <c r="Y37" i="26"/>
  <c r="AY37" i="26" s="1"/>
  <c r="BV44" i="26"/>
  <c r="BS17" i="26"/>
  <c r="CE39" i="26"/>
  <c r="CL52" i="26"/>
  <c r="Y39" i="26"/>
  <c r="AY39" i="26" s="1"/>
  <c r="X36" i="26"/>
  <c r="AX36" i="26" s="1"/>
  <c r="T29" i="26"/>
  <c r="T59" i="26" s="1"/>
  <c r="X17" i="26"/>
  <c r="BW40" i="26"/>
  <c r="BR29" i="26"/>
  <c r="R29" i="26"/>
  <c r="CE29" i="26"/>
  <c r="BV29" i="26"/>
  <c r="V29" i="26"/>
  <c r="CI29" i="26"/>
  <c r="BZ29" i="26"/>
  <c r="Z29" i="26"/>
  <c r="CM29" i="26"/>
  <c r="BX40" i="26"/>
  <c r="X40" i="26"/>
  <c r="BR45" i="26"/>
  <c r="BV45" i="26"/>
  <c r="BZ45" i="26"/>
  <c r="Z45" i="26"/>
  <c r="AZ45" i="26" s="1"/>
  <c r="BS42" i="26"/>
  <c r="BZ44" i="26"/>
  <c r="CM44" i="26"/>
  <c r="CI44" i="26"/>
  <c r="BR44" i="26"/>
  <c r="CE44" i="26"/>
  <c r="BX37" i="26"/>
  <c r="X37" i="26"/>
  <c r="AX37" i="26" s="1"/>
  <c r="CK37" i="26"/>
  <c r="BT37" i="26"/>
  <c r="CG37" i="26"/>
  <c r="BW42" i="26"/>
  <c r="CK17" i="26"/>
  <c r="CL36" i="26"/>
  <c r="CG36" i="26"/>
  <c r="CM45" i="26"/>
  <c r="CF42" i="26"/>
  <c r="CJ52" i="26"/>
  <c r="Z44" i="26"/>
  <c r="AZ44" i="26" s="1"/>
  <c r="R44" i="26"/>
  <c r="W42" i="26"/>
  <c r="AW42" i="26" s="1"/>
  <c r="U40" i="26"/>
  <c r="T37" i="26"/>
  <c r="T17" i="26"/>
  <c r="T58" i="26" s="1"/>
  <c r="BT52" i="26"/>
  <c r="T52" i="26"/>
  <c r="T61" i="26" s="1"/>
  <c r="Y40" i="26"/>
  <c r="Y60" i="26" s="1"/>
  <c r="AL60" i="26" s="1"/>
  <c r="CE42" i="26"/>
  <c r="Y44" i="26"/>
  <c r="AY44" i="26" s="1"/>
  <c r="W37" i="26"/>
  <c r="AW37" i="26" s="1"/>
  <c r="BT36" i="26"/>
  <c r="CK36" i="26"/>
  <c r="W52" i="26"/>
  <c r="W61" i="26" s="1"/>
  <c r="AJ61" i="26" s="1"/>
  <c r="V45" i="26"/>
  <c r="AV45" i="26" s="1"/>
  <c r="S42" i="26"/>
  <c r="AS42" i="26" s="1"/>
  <c r="T40" i="26"/>
  <c r="W29" i="26"/>
  <c r="BY17" i="26"/>
  <c r="S45" i="26"/>
  <c r="AS45" i="26" s="1"/>
  <c r="W45" i="26"/>
  <c r="AW45" i="26" s="1"/>
  <c r="BX52" i="26"/>
  <c r="X52" i="26"/>
  <c r="X61" i="26" s="1"/>
  <c r="AK61" i="26" s="1"/>
  <c r="Z42" i="26"/>
  <c r="AZ42" i="26" s="1"/>
  <c r="V42" i="26"/>
  <c r="AV42" i="26" s="1"/>
  <c r="S37" i="26"/>
  <c r="BZ39" i="26"/>
  <c r="BV39" i="26"/>
  <c r="V39" i="26"/>
  <c r="AV39" i="26" s="1"/>
  <c r="BR39" i="26"/>
  <c r="BZ42" i="26"/>
  <c r="CM42" i="26"/>
  <c r="CI42" i="26"/>
  <c r="Z39" i="26"/>
  <c r="AZ39" i="26" s="1"/>
  <c r="Y17" i="26"/>
  <c r="BY29" i="26"/>
  <c r="BY37" i="26"/>
  <c r="BY42" i="26"/>
  <c r="BU42" i="26"/>
  <c r="BQ42" i="26"/>
  <c r="BU52" i="26"/>
  <c r="BY36" i="26"/>
  <c r="BU29" i="26"/>
  <c r="BY52" i="26"/>
  <c r="BY45" i="26"/>
  <c r="BQ45" i="26"/>
  <c r="BU36" i="26"/>
  <c r="BQ29" i="26"/>
  <c r="BQ36" i="26"/>
  <c r="BW39" i="26"/>
  <c r="BS39" i="26"/>
  <c r="BW52" i="26"/>
  <c r="BU37" i="26"/>
  <c r="BQ17" i="26"/>
  <c r="BU17" i="26"/>
  <c r="BS29" i="26"/>
  <c r="BW29" i="26"/>
  <c r="BQ40" i="26"/>
  <c r="BU40" i="26"/>
  <c r="BY40" i="26"/>
  <c r="BS45" i="26"/>
  <c r="BW45" i="26"/>
  <c r="BY44" i="26"/>
  <c r="BU44" i="26"/>
  <c r="BQ44" i="26"/>
  <c r="BX36" i="26"/>
  <c r="BW37" i="26"/>
  <c r="BS37" i="26"/>
  <c r="BQ52" i="26"/>
  <c r="BW44" i="26"/>
  <c r="BZ36" i="26"/>
  <c r="BV36" i="26"/>
  <c r="BR36" i="26"/>
  <c r="AC408" i="2"/>
  <c r="K408" i="2" s="1"/>
  <c r="AC396" i="2"/>
  <c r="K396" i="2" s="1"/>
  <c r="AC287" i="2"/>
  <c r="K287" i="2" s="1"/>
  <c r="R287" i="2"/>
  <c r="S287" i="2" s="1"/>
  <c r="R389" i="2"/>
  <c r="S389" i="2" s="1"/>
  <c r="AC389" i="2"/>
  <c r="K389" i="2" s="1"/>
  <c r="AC5" i="2"/>
  <c r="K5" i="2" s="1"/>
  <c r="AC6" i="2"/>
  <c r="K6" i="2" s="1"/>
  <c r="AC7" i="2"/>
  <c r="K7" i="2" s="1"/>
  <c r="AC8" i="2"/>
  <c r="K8" i="2" s="1"/>
  <c r="AC9" i="2"/>
  <c r="K9" i="2" s="1"/>
  <c r="AC10" i="2"/>
  <c r="K10" i="2" s="1"/>
  <c r="AC11" i="2"/>
  <c r="K11" i="2" s="1"/>
  <c r="AC12" i="2"/>
  <c r="K12" i="2" s="1"/>
  <c r="AC13" i="2"/>
  <c r="K13" i="2" s="1"/>
  <c r="AC14" i="2"/>
  <c r="K14" i="2" s="1"/>
  <c r="AC15" i="2"/>
  <c r="K15" i="2" s="1"/>
  <c r="AC16" i="2"/>
  <c r="K16" i="2" s="1"/>
  <c r="AC17" i="2"/>
  <c r="K17" i="2" s="1"/>
  <c r="AC18" i="2"/>
  <c r="K18" i="2" s="1"/>
  <c r="AC19" i="2"/>
  <c r="K19" i="2" s="1"/>
  <c r="AC20" i="2"/>
  <c r="K20" i="2" s="1"/>
  <c r="AC21" i="2"/>
  <c r="K21" i="2" s="1"/>
  <c r="AC22" i="2"/>
  <c r="K22" i="2" s="1"/>
  <c r="AC23" i="2"/>
  <c r="K23" i="2" s="1"/>
  <c r="AC24" i="2"/>
  <c r="K24" i="2" s="1"/>
  <c r="AC25" i="2"/>
  <c r="K25" i="2" s="1"/>
  <c r="AC26" i="2"/>
  <c r="K26" i="2" s="1"/>
  <c r="AC27" i="2"/>
  <c r="K27" i="2" s="1"/>
  <c r="AC28" i="2"/>
  <c r="K28" i="2" s="1"/>
  <c r="AC29" i="2"/>
  <c r="K29" i="2" s="1"/>
  <c r="AC30" i="2"/>
  <c r="K30" i="2" s="1"/>
  <c r="AC31" i="2"/>
  <c r="K31" i="2" s="1"/>
  <c r="AC381" i="2"/>
  <c r="K381" i="2" s="1"/>
  <c r="AC34" i="2"/>
  <c r="K34" i="2" s="1"/>
  <c r="AC35" i="2"/>
  <c r="K35" i="2" s="1"/>
  <c r="AC36" i="2"/>
  <c r="K36" i="2" s="1"/>
  <c r="AC37" i="2"/>
  <c r="K37" i="2" s="1"/>
  <c r="AC38" i="2"/>
  <c r="K38" i="2" s="1"/>
  <c r="AC39" i="2"/>
  <c r="K39" i="2" s="1"/>
  <c r="AC40" i="2"/>
  <c r="K40" i="2" s="1"/>
  <c r="AC41" i="2"/>
  <c r="K41" i="2" s="1"/>
  <c r="AC42" i="2"/>
  <c r="K42" i="2" s="1"/>
  <c r="AC43" i="2"/>
  <c r="K43" i="2" s="1"/>
  <c r="AC44" i="2"/>
  <c r="K44" i="2" s="1"/>
  <c r="AC45" i="2"/>
  <c r="K45" i="2" s="1"/>
  <c r="AC46" i="2"/>
  <c r="K46" i="2" s="1"/>
  <c r="AC47" i="2"/>
  <c r="K47" i="2" s="1"/>
  <c r="K49" i="2"/>
  <c r="K48" i="2"/>
  <c r="K50" i="2"/>
  <c r="K51" i="2"/>
  <c r="K52" i="2"/>
  <c r="K53" i="2"/>
  <c r="K54" i="2"/>
  <c r="K55" i="2"/>
  <c r="K56" i="2"/>
  <c r="K57" i="2"/>
  <c r="K58" i="2"/>
  <c r="K59" i="2"/>
  <c r="K60" i="2"/>
  <c r="AC61" i="2"/>
  <c r="K61" i="2" s="1"/>
  <c r="AC62" i="2"/>
  <c r="K62" i="2" s="1"/>
  <c r="AC63" i="2"/>
  <c r="K63" i="2" s="1"/>
  <c r="AC64" i="2"/>
  <c r="K64" i="2" s="1"/>
  <c r="AC65" i="2"/>
  <c r="K65" i="2" s="1"/>
  <c r="AC67" i="2"/>
  <c r="K67" i="2" s="1"/>
  <c r="AC68" i="2"/>
  <c r="K68" i="2" s="1"/>
  <c r="AC69" i="2"/>
  <c r="K69" i="2" s="1"/>
  <c r="AC70" i="2"/>
  <c r="K70" i="2" s="1"/>
  <c r="AC71" i="2"/>
  <c r="K71" i="2" s="1"/>
  <c r="AC72" i="2"/>
  <c r="K72" i="2" s="1"/>
  <c r="AC73" i="2"/>
  <c r="K73" i="2" s="1"/>
  <c r="AC74" i="2"/>
  <c r="K74" i="2" s="1"/>
  <c r="AC75" i="2"/>
  <c r="K75" i="2" s="1"/>
  <c r="AC372" i="2"/>
  <c r="K372" i="2" s="1"/>
  <c r="AC77" i="2"/>
  <c r="K77" i="2" s="1"/>
  <c r="AC78" i="2"/>
  <c r="K78" i="2" s="1"/>
  <c r="AC79" i="2"/>
  <c r="K79" i="2" s="1"/>
  <c r="AC80" i="2"/>
  <c r="K80" i="2" s="1"/>
  <c r="AC81" i="2"/>
  <c r="K81" i="2" s="1"/>
  <c r="AC82" i="2"/>
  <c r="K82" i="2" s="1"/>
  <c r="AC83" i="2"/>
  <c r="K83" i="2" s="1"/>
  <c r="AC84" i="2"/>
  <c r="K84" i="2" s="1"/>
  <c r="AC85" i="2"/>
  <c r="K85" i="2" s="1"/>
  <c r="AC86" i="2"/>
  <c r="K86" i="2" s="1"/>
  <c r="AC87" i="2"/>
  <c r="K87" i="2" s="1"/>
  <c r="AC88" i="2"/>
  <c r="K88" i="2" s="1"/>
  <c r="AC89" i="2"/>
  <c r="K89" i="2" s="1"/>
  <c r="AC90" i="2"/>
  <c r="K90" i="2" s="1"/>
  <c r="AC91" i="2"/>
  <c r="K91" i="2" s="1"/>
  <c r="AC92" i="2"/>
  <c r="K92" i="2" s="1"/>
  <c r="AC93" i="2"/>
  <c r="K93" i="2" s="1"/>
  <c r="AC94" i="2"/>
  <c r="K94" i="2" s="1"/>
  <c r="AC95" i="2"/>
  <c r="K95" i="2" s="1"/>
  <c r="AC96" i="2"/>
  <c r="K96" i="2" s="1"/>
  <c r="AC97" i="2"/>
  <c r="K97" i="2" s="1"/>
  <c r="AC98" i="2"/>
  <c r="K98" i="2" s="1"/>
  <c r="AC99" i="2"/>
  <c r="K99" i="2" s="1"/>
  <c r="AC100" i="2"/>
  <c r="K100" i="2" s="1"/>
  <c r="AC102" i="2"/>
  <c r="K102" i="2" s="1"/>
  <c r="AC103" i="2"/>
  <c r="K103" i="2" s="1"/>
  <c r="AC104" i="2"/>
  <c r="K104" i="2" s="1"/>
  <c r="AC105" i="2"/>
  <c r="K105" i="2" s="1"/>
  <c r="AC106" i="2"/>
  <c r="K106" i="2" s="1"/>
  <c r="AC107" i="2"/>
  <c r="K107" i="2" s="1"/>
  <c r="AC108" i="2"/>
  <c r="K108" i="2" s="1"/>
  <c r="AC109" i="2"/>
  <c r="K109" i="2" s="1"/>
  <c r="AC110" i="2"/>
  <c r="K110" i="2" s="1"/>
  <c r="AC111" i="2"/>
  <c r="K111" i="2" s="1"/>
  <c r="AC112" i="2"/>
  <c r="K112" i="2" s="1"/>
  <c r="AC113" i="2"/>
  <c r="K113" i="2" s="1"/>
  <c r="AC114" i="2"/>
  <c r="K114" i="2" s="1"/>
  <c r="AC115" i="2"/>
  <c r="K115" i="2" s="1"/>
  <c r="AC116" i="2"/>
  <c r="K116" i="2" s="1"/>
  <c r="AC118" i="2"/>
  <c r="K118" i="2" s="1"/>
  <c r="AC119" i="2"/>
  <c r="K119" i="2" s="1"/>
  <c r="AC120" i="2"/>
  <c r="K120" i="2" s="1"/>
  <c r="AC121" i="2"/>
  <c r="K121" i="2" s="1"/>
  <c r="AC122" i="2"/>
  <c r="K122" i="2" s="1"/>
  <c r="AC123" i="2"/>
  <c r="K123" i="2" s="1"/>
  <c r="AC124" i="2"/>
  <c r="K124" i="2" s="1"/>
  <c r="AC125" i="2"/>
  <c r="K125" i="2" s="1"/>
  <c r="AC126" i="2"/>
  <c r="K126" i="2" s="1"/>
  <c r="AC32" i="2"/>
  <c r="K32" i="2" s="1"/>
  <c r="AC33" i="2"/>
  <c r="K33" i="2" s="1"/>
  <c r="AC127" i="2"/>
  <c r="K127" i="2" s="1"/>
  <c r="AC128" i="2"/>
  <c r="K128" i="2" s="1"/>
  <c r="AC129" i="2"/>
  <c r="K129" i="2" s="1"/>
  <c r="AC130" i="2"/>
  <c r="K130" i="2" s="1"/>
  <c r="AC131" i="2"/>
  <c r="K131" i="2" s="1"/>
  <c r="AC132" i="2"/>
  <c r="K132" i="2" s="1"/>
  <c r="AC133" i="2"/>
  <c r="K133" i="2" s="1"/>
  <c r="AC134" i="2"/>
  <c r="K134" i="2" s="1"/>
  <c r="AC135" i="2"/>
  <c r="K135" i="2" s="1"/>
  <c r="AC136" i="2"/>
  <c r="K136" i="2" s="1"/>
  <c r="AC137" i="2"/>
  <c r="K137" i="2" s="1"/>
  <c r="AC138" i="2"/>
  <c r="K138" i="2" s="1"/>
  <c r="AC139" i="2"/>
  <c r="K139" i="2" s="1"/>
  <c r="AC140" i="2"/>
  <c r="K140" i="2" s="1"/>
  <c r="AC141" i="2"/>
  <c r="K141" i="2" s="1"/>
  <c r="AC142" i="2"/>
  <c r="K142" i="2" s="1"/>
  <c r="AC143" i="2"/>
  <c r="K143" i="2" s="1"/>
  <c r="AC144" i="2"/>
  <c r="K144" i="2" s="1"/>
  <c r="AC145" i="2"/>
  <c r="K145" i="2" s="1"/>
  <c r="AC146" i="2"/>
  <c r="K146" i="2" s="1"/>
  <c r="AC147" i="2"/>
  <c r="K147" i="2" s="1"/>
  <c r="AC148" i="2"/>
  <c r="K148" i="2" s="1"/>
  <c r="AC149" i="2"/>
  <c r="K149" i="2" s="1"/>
  <c r="AC150" i="2"/>
  <c r="K150" i="2" s="1"/>
  <c r="AC151" i="2"/>
  <c r="K151" i="2" s="1"/>
  <c r="AC152" i="2"/>
  <c r="K152" i="2" s="1"/>
  <c r="AC153" i="2"/>
  <c r="K153" i="2" s="1"/>
  <c r="AC154" i="2"/>
  <c r="K154" i="2" s="1"/>
  <c r="AC157" i="2"/>
  <c r="K157" i="2" s="1"/>
  <c r="AC158" i="2"/>
  <c r="K158" i="2" s="1"/>
  <c r="AC159" i="2"/>
  <c r="K159" i="2" s="1"/>
  <c r="AC160" i="2"/>
  <c r="K160" i="2" s="1"/>
  <c r="AC161" i="2"/>
  <c r="K161" i="2" s="1"/>
  <c r="AC162" i="2"/>
  <c r="K162" i="2" s="1"/>
  <c r="AC163" i="2"/>
  <c r="K163" i="2" s="1"/>
  <c r="AC164" i="2"/>
  <c r="K164" i="2" s="1"/>
  <c r="AC165" i="2"/>
  <c r="K165" i="2" s="1"/>
  <c r="AC166" i="2"/>
  <c r="K166" i="2" s="1"/>
  <c r="AC167" i="2"/>
  <c r="K167" i="2" s="1"/>
  <c r="AC168" i="2"/>
  <c r="K168" i="2" s="1"/>
  <c r="AC169" i="2"/>
  <c r="K169" i="2" s="1"/>
  <c r="K170" i="2"/>
  <c r="K171" i="2"/>
  <c r="K172" i="2"/>
  <c r="K173" i="2"/>
  <c r="K174" i="2"/>
  <c r="K175" i="2"/>
  <c r="K279" i="2"/>
  <c r="K177" i="2"/>
  <c r="K178" i="2"/>
  <c r="K179" i="2"/>
  <c r="K180" i="2"/>
  <c r="K181" i="2"/>
  <c r="AC182" i="2"/>
  <c r="K182" i="2" s="1"/>
  <c r="AC183" i="2"/>
  <c r="K183" i="2" s="1"/>
  <c r="AC185" i="2"/>
  <c r="K185" i="2" s="1"/>
  <c r="AC186" i="2"/>
  <c r="K186" i="2" s="1"/>
  <c r="AC187" i="2"/>
  <c r="K187" i="2" s="1"/>
  <c r="AC188" i="2"/>
  <c r="K188" i="2" s="1"/>
  <c r="AC276" i="2"/>
  <c r="K276" i="2" s="1"/>
  <c r="AC189" i="2"/>
  <c r="K189" i="2" s="1"/>
  <c r="AC190" i="2"/>
  <c r="K190" i="2" s="1"/>
  <c r="AC191" i="2"/>
  <c r="K191" i="2" s="1"/>
  <c r="AC192" i="2"/>
  <c r="K192" i="2" s="1"/>
  <c r="AC193" i="2"/>
  <c r="K193" i="2" s="1"/>
  <c r="AC194" i="2"/>
  <c r="K194" i="2" s="1"/>
  <c r="AC195" i="2"/>
  <c r="K195" i="2" s="1"/>
  <c r="AC196" i="2"/>
  <c r="K196" i="2" s="1"/>
  <c r="AC197" i="2"/>
  <c r="K197" i="2" s="1"/>
  <c r="AC198" i="2"/>
  <c r="K198" i="2" s="1"/>
  <c r="AC199" i="2"/>
  <c r="K199" i="2" s="1"/>
  <c r="AC200" i="2"/>
  <c r="K200" i="2" s="1"/>
  <c r="AC201" i="2"/>
  <c r="K201" i="2" s="1"/>
  <c r="AC202" i="2"/>
  <c r="K202" i="2" s="1"/>
  <c r="AC203" i="2"/>
  <c r="K203" i="2" s="1"/>
  <c r="AC204" i="2"/>
  <c r="K204" i="2" s="1"/>
  <c r="AC205" i="2"/>
  <c r="K205" i="2" s="1"/>
  <c r="AC206" i="2"/>
  <c r="K206" i="2" s="1"/>
  <c r="AC207" i="2"/>
  <c r="K207" i="2" s="1"/>
  <c r="AC208" i="2"/>
  <c r="K208" i="2" s="1"/>
  <c r="AC209" i="2"/>
  <c r="K209" i="2" s="1"/>
  <c r="AC210" i="2"/>
  <c r="K210" i="2" s="1"/>
  <c r="AC211" i="2"/>
  <c r="K211" i="2" s="1"/>
  <c r="AC212" i="2"/>
  <c r="K212" i="2" s="1"/>
  <c r="AC213" i="2"/>
  <c r="K213" i="2" s="1"/>
  <c r="AC214" i="2"/>
  <c r="K214" i="2" s="1"/>
  <c r="AC215" i="2"/>
  <c r="K215" i="2" s="1"/>
  <c r="AC216" i="2"/>
  <c r="K216" i="2" s="1"/>
  <c r="AC217" i="2"/>
  <c r="K217" i="2" s="1"/>
  <c r="AC218" i="2"/>
  <c r="K218" i="2" s="1"/>
  <c r="AC219" i="2"/>
  <c r="K219" i="2" s="1"/>
  <c r="AC220" i="2"/>
  <c r="K220" i="2" s="1"/>
  <c r="AC221" i="2"/>
  <c r="K221" i="2" s="1"/>
  <c r="AC222" i="2"/>
  <c r="K222" i="2" s="1"/>
  <c r="AC223" i="2"/>
  <c r="K223" i="2" s="1"/>
  <c r="AC224" i="2"/>
  <c r="K224" i="2" s="1"/>
  <c r="AC225" i="2"/>
  <c r="K225" i="2" s="1"/>
  <c r="AC226" i="2"/>
  <c r="K226" i="2" s="1"/>
  <c r="AC227" i="2"/>
  <c r="K227" i="2" s="1"/>
  <c r="AC228" i="2"/>
  <c r="K228" i="2" s="1"/>
  <c r="AC229" i="2"/>
  <c r="K229" i="2" s="1"/>
  <c r="AC230" i="2"/>
  <c r="K230" i="2" s="1"/>
  <c r="AC231" i="2"/>
  <c r="K231" i="2" s="1"/>
  <c r="AC232" i="2"/>
  <c r="K232" i="2" s="1"/>
  <c r="AC233" i="2"/>
  <c r="K233" i="2" s="1"/>
  <c r="AC234" i="2"/>
  <c r="K234" i="2" s="1"/>
  <c r="AC235" i="2"/>
  <c r="K235" i="2" s="1"/>
  <c r="AC236" i="2"/>
  <c r="K236" i="2" s="1"/>
  <c r="AC237" i="2"/>
  <c r="K237" i="2" s="1"/>
  <c r="AC238" i="2"/>
  <c r="K238" i="2" s="1"/>
  <c r="AC239" i="2"/>
  <c r="K239" i="2" s="1"/>
  <c r="AC240" i="2"/>
  <c r="K240" i="2" s="1"/>
  <c r="AC241" i="2"/>
  <c r="K241" i="2" s="1"/>
  <c r="AC242" i="2"/>
  <c r="K242" i="2" s="1"/>
  <c r="AC243" i="2"/>
  <c r="K243" i="2" s="1"/>
  <c r="AC244" i="2"/>
  <c r="K244" i="2" s="1"/>
  <c r="AC245" i="2"/>
  <c r="K245" i="2" s="1"/>
  <c r="AC246" i="2"/>
  <c r="K246" i="2" s="1"/>
  <c r="AC247" i="2"/>
  <c r="K247" i="2" s="1"/>
  <c r="AC248" i="2"/>
  <c r="K248" i="2" s="1"/>
  <c r="AC249" i="2"/>
  <c r="K249" i="2" s="1"/>
  <c r="AC251" i="2"/>
  <c r="K251" i="2" s="1"/>
  <c r="AC254" i="2"/>
  <c r="K254" i="2" s="1"/>
  <c r="AC257" i="2"/>
  <c r="K257" i="2" s="1"/>
  <c r="AC258" i="2"/>
  <c r="K258" i="2" s="1"/>
  <c r="AC259" i="2"/>
  <c r="K259" i="2" s="1"/>
  <c r="AC260" i="2"/>
  <c r="K260" i="2" s="1"/>
  <c r="AC261" i="2"/>
  <c r="K261" i="2" s="1"/>
  <c r="AC262" i="2"/>
  <c r="K262" i="2" s="1"/>
  <c r="AC263" i="2"/>
  <c r="K263" i="2" s="1"/>
  <c r="AC264" i="2"/>
  <c r="K264" i="2" s="1"/>
  <c r="AC265" i="2"/>
  <c r="K265" i="2" s="1"/>
  <c r="AC266" i="2"/>
  <c r="K266" i="2" s="1"/>
  <c r="AC267" i="2"/>
  <c r="K267" i="2" s="1"/>
  <c r="AC268" i="2"/>
  <c r="K268" i="2" s="1"/>
  <c r="AC269" i="2"/>
  <c r="K269" i="2" s="1"/>
  <c r="AC270" i="2"/>
  <c r="K270" i="2" s="1"/>
  <c r="AC271" i="2"/>
  <c r="K271" i="2" s="1"/>
  <c r="AC273" i="2"/>
  <c r="K273" i="2" s="1"/>
  <c r="AC274" i="2"/>
  <c r="K274" i="2" s="1"/>
  <c r="AC275" i="2"/>
  <c r="K275" i="2" s="1"/>
  <c r="AC363" i="2"/>
  <c r="K363" i="2" s="1"/>
  <c r="AC278" i="2"/>
  <c r="K278" i="2" s="1"/>
  <c r="AC288" i="2"/>
  <c r="K288" i="2" s="1"/>
  <c r="AC289" i="2"/>
  <c r="K289" i="2" s="1"/>
  <c r="AC290" i="2"/>
  <c r="K290" i="2" s="1"/>
  <c r="AC291" i="2"/>
  <c r="K291" i="2" s="1"/>
  <c r="AC292" i="2"/>
  <c r="K292" i="2" s="1"/>
  <c r="AC293" i="2"/>
  <c r="K293" i="2" s="1"/>
  <c r="AC295" i="2"/>
  <c r="K295" i="2" s="1"/>
  <c r="AC296" i="2"/>
  <c r="K296" i="2" s="1"/>
  <c r="AC297" i="2"/>
  <c r="K297" i="2" s="1"/>
  <c r="AC298" i="2"/>
  <c r="K298" i="2" s="1"/>
  <c r="AC299" i="2"/>
  <c r="K299" i="2" s="1"/>
  <c r="AC300" i="2"/>
  <c r="K300" i="2" s="1"/>
  <c r="AC301" i="2"/>
  <c r="K301" i="2" s="1"/>
  <c r="AC302" i="2"/>
  <c r="K302" i="2" s="1"/>
  <c r="AC303" i="2"/>
  <c r="K303" i="2" s="1"/>
  <c r="AC304" i="2"/>
  <c r="K304" i="2" s="1"/>
  <c r="AC305" i="2"/>
  <c r="K305" i="2" s="1"/>
  <c r="AC306" i="2"/>
  <c r="K306" i="2" s="1"/>
  <c r="K307" i="2"/>
  <c r="K308" i="2"/>
  <c r="K311" i="2"/>
  <c r="K365" i="2"/>
  <c r="K366" i="2"/>
  <c r="K367" i="2"/>
  <c r="K320" i="2"/>
  <c r="K321" i="2"/>
  <c r="K322" i="2"/>
  <c r="K323" i="2"/>
  <c r="K324" i="2"/>
  <c r="K325" i="2"/>
  <c r="K326" i="2"/>
  <c r="K327" i="2"/>
  <c r="K328" i="2"/>
  <c r="AC329" i="2"/>
  <c r="K329" i="2" s="1"/>
  <c r="AC330" i="2"/>
  <c r="K330" i="2" s="1"/>
  <c r="AC331" i="2"/>
  <c r="K331" i="2" s="1"/>
  <c r="AC332" i="2"/>
  <c r="K332" i="2" s="1"/>
  <c r="AC333" i="2"/>
  <c r="K333" i="2" s="1"/>
  <c r="AC334" i="2"/>
  <c r="K334" i="2" s="1"/>
  <c r="AC335" i="2"/>
  <c r="K335" i="2" s="1"/>
  <c r="AC336" i="2"/>
  <c r="K336" i="2" s="1"/>
  <c r="AC337" i="2"/>
  <c r="K337" i="2" s="1"/>
  <c r="AC338" i="2"/>
  <c r="K338" i="2" s="1"/>
  <c r="AC339" i="2"/>
  <c r="K339" i="2" s="1"/>
  <c r="AC340" i="2"/>
  <c r="K340" i="2" s="1"/>
  <c r="AC341" i="2"/>
  <c r="K341" i="2" s="1"/>
  <c r="AC342" i="2"/>
  <c r="K342" i="2" s="1"/>
  <c r="AC343" i="2"/>
  <c r="K343" i="2" s="1"/>
  <c r="AC344" i="2"/>
  <c r="K344" i="2" s="1"/>
  <c r="AC345" i="2"/>
  <c r="K345" i="2" s="1"/>
  <c r="AC346" i="2"/>
  <c r="K346" i="2" s="1"/>
  <c r="AC347" i="2"/>
  <c r="K347" i="2" s="1"/>
  <c r="AC348" i="2"/>
  <c r="K348" i="2" s="1"/>
  <c r="AC349" i="2"/>
  <c r="K349" i="2" s="1"/>
  <c r="AC350" i="2"/>
  <c r="K350" i="2" s="1"/>
  <c r="AC351" i="2"/>
  <c r="K351" i="2" s="1"/>
  <c r="AC352" i="2"/>
  <c r="K352" i="2" s="1"/>
  <c r="AC353" i="2"/>
  <c r="K353" i="2" s="1"/>
  <c r="AC354" i="2"/>
  <c r="K354" i="2" s="1"/>
  <c r="AC355" i="2"/>
  <c r="K355" i="2" s="1"/>
  <c r="AC356" i="2"/>
  <c r="K356" i="2" s="1"/>
  <c r="AC358" i="2"/>
  <c r="K358" i="2" s="1"/>
  <c r="AC357" i="2"/>
  <c r="K357" i="2" s="1"/>
  <c r="AC359" i="2"/>
  <c r="K359" i="2" s="1"/>
  <c r="AC368" i="2"/>
  <c r="K368" i="2" s="1"/>
  <c r="AC369" i="2"/>
  <c r="K369" i="2" s="1"/>
  <c r="AC370" i="2"/>
  <c r="K370" i="2" s="1"/>
  <c r="AC371" i="2"/>
  <c r="K371" i="2" s="1"/>
  <c r="AC373" i="2"/>
  <c r="K373" i="2" s="1"/>
  <c r="AC374" i="2"/>
  <c r="K374" i="2" s="1"/>
  <c r="AC375" i="2"/>
  <c r="K375" i="2" s="1"/>
  <c r="AC376" i="2"/>
  <c r="K376" i="2" s="1"/>
  <c r="AC401" i="2"/>
  <c r="K401" i="2" s="1"/>
  <c r="AC402" i="2"/>
  <c r="K402" i="2" s="1"/>
  <c r="AC403" i="2"/>
  <c r="K403" i="2" s="1"/>
  <c r="AC404" i="2"/>
  <c r="K404" i="2" s="1"/>
  <c r="AC360" i="2"/>
  <c r="K360" i="2" s="1"/>
  <c r="AC361" i="2"/>
  <c r="K361" i="2" s="1"/>
  <c r="AC362" i="2"/>
  <c r="K362" i="2" s="1"/>
  <c r="AC386" i="2"/>
  <c r="K386" i="2" s="1"/>
  <c r="AC387" i="2"/>
  <c r="K387" i="2" s="1"/>
  <c r="AC388" i="2"/>
  <c r="K388" i="2" s="1"/>
  <c r="AC399" i="2"/>
  <c r="K399" i="2" s="1"/>
  <c r="AC400" i="2"/>
  <c r="K400" i="2" s="1"/>
  <c r="AC385" i="2"/>
  <c r="K385" i="2" s="1"/>
  <c r="R400" i="2"/>
  <c r="S400" i="2" s="1"/>
  <c r="R359" i="2"/>
  <c r="S359" i="2" s="1"/>
  <c r="R358" i="2"/>
  <c r="S358" i="2" s="1"/>
  <c r="R357" i="2"/>
  <c r="S357" i="2" s="1"/>
  <c r="R347" i="2"/>
  <c r="S347" i="2" s="1"/>
  <c r="R170" i="2"/>
  <c r="S170" i="2" s="1"/>
  <c r="R121" i="2"/>
  <c r="S121" i="2" s="1"/>
  <c r="Q196" i="2"/>
  <c r="G127" i="4"/>
  <c r="R199" i="2"/>
  <c r="S199" i="2" s="1"/>
  <c r="S344" i="2"/>
  <c r="S278" i="2"/>
  <c r="S363" i="2"/>
  <c r="S275" i="2"/>
  <c r="S274" i="2"/>
  <c r="S273" i="2"/>
  <c r="S376" i="2"/>
  <c r="S374" i="2"/>
  <c r="S370" i="2"/>
  <c r="S369" i="2"/>
  <c r="S368" i="2"/>
  <c r="Z60" i="26" l="1"/>
  <c r="AM60" i="26" s="1"/>
  <c r="X60" i="26"/>
  <c r="T60" i="26"/>
  <c r="AG65" i="26" s="1"/>
  <c r="AK60" i="26"/>
  <c r="AG64" i="26"/>
  <c r="AG59" i="26"/>
  <c r="AF66" i="26"/>
  <c r="AF61" i="26"/>
  <c r="AG61" i="26"/>
  <c r="AG66" i="26"/>
  <c r="AE66" i="26"/>
  <c r="AE61" i="26"/>
  <c r="AH63" i="26"/>
  <c r="AH58" i="26"/>
  <c r="AG60" i="26"/>
  <c r="AG58" i="26"/>
  <c r="AG63" i="26"/>
  <c r="AI66" i="26"/>
  <c r="AI61" i="26"/>
  <c r="AH66" i="26"/>
  <c r="AH61" i="26"/>
  <c r="AR29" i="26"/>
  <c r="R59" i="26"/>
  <c r="AW40" i="26"/>
  <c r="W60" i="26"/>
  <c r="AJ60" i="26" s="1"/>
  <c r="AY52" i="26"/>
  <c r="Y61" i="26"/>
  <c r="AL61" i="26" s="1"/>
  <c r="AS29" i="26"/>
  <c r="S59" i="26"/>
  <c r="AY17" i="26"/>
  <c r="Y58" i="26"/>
  <c r="AL58" i="26" s="1"/>
  <c r="AU40" i="26"/>
  <c r="U60" i="26"/>
  <c r="AV29" i="26"/>
  <c r="V59" i="26"/>
  <c r="AY29" i="26"/>
  <c r="Y59" i="26"/>
  <c r="AL59" i="26" s="1"/>
  <c r="AW17" i="26"/>
  <c r="W58" i="26"/>
  <c r="AJ58" i="26" s="1"/>
  <c r="AR17" i="26"/>
  <c r="R58" i="26"/>
  <c r="AY40" i="26"/>
  <c r="AZ40" i="26"/>
  <c r="AW29" i="26"/>
  <c r="W59" i="26"/>
  <c r="AJ59" i="26" s="1"/>
  <c r="AZ29" i="26"/>
  <c r="Z59" i="26"/>
  <c r="AM59" i="26" s="1"/>
  <c r="AU29" i="26"/>
  <c r="U59" i="26"/>
  <c r="AV40" i="26"/>
  <c r="V60" i="26"/>
  <c r="AX29" i="26"/>
  <c r="X59" i="26"/>
  <c r="AK59" i="26" s="1"/>
  <c r="AV17" i="26"/>
  <c r="V58" i="26"/>
  <c r="AX40" i="26"/>
  <c r="AX17" i="26"/>
  <c r="X58" i="26"/>
  <c r="AK58" i="26" s="1"/>
  <c r="AS40" i="26"/>
  <c r="S60" i="26"/>
  <c r="AS17" i="26"/>
  <c r="S58" i="26"/>
  <c r="AR40" i="26"/>
  <c r="R60" i="26"/>
  <c r="AZ17" i="26"/>
  <c r="Z58" i="26"/>
  <c r="AM58" i="26" s="1"/>
  <c r="CR52" i="26"/>
  <c r="CS52" i="26" s="1"/>
  <c r="AT40" i="26"/>
  <c r="CR40" i="26"/>
  <c r="CS40" i="26" s="1"/>
  <c r="AT17" i="26"/>
  <c r="CR17" i="26"/>
  <c r="CS17" i="26" s="1"/>
  <c r="BF29" i="26"/>
  <c r="AT45" i="26"/>
  <c r="CR45" i="26"/>
  <c r="CS45" i="26" s="1"/>
  <c r="AT36" i="26"/>
  <c r="CR36" i="26"/>
  <c r="CS36" i="26" s="1"/>
  <c r="CR44" i="26"/>
  <c r="AT29" i="26"/>
  <c r="CR29" i="26"/>
  <c r="CS29" i="26" s="1"/>
  <c r="AT42" i="26"/>
  <c r="CR42" i="26"/>
  <c r="CS42" i="26" s="1"/>
  <c r="CR37" i="26"/>
  <c r="AF29" i="26"/>
  <c r="AT39" i="26"/>
  <c r="CR39" i="26"/>
  <c r="CS39" i="26" s="1"/>
  <c r="BG37" i="26"/>
  <c r="AT37" i="26"/>
  <c r="AL36" i="26"/>
  <c r="AY36" i="26"/>
  <c r="AH36" i="26"/>
  <c r="AU36" i="26"/>
  <c r="U53" i="26"/>
  <c r="U54" i="26" s="1"/>
  <c r="U55" i="26" s="1"/>
  <c r="AU52" i="26"/>
  <c r="X53" i="26"/>
  <c r="X54" i="26" s="1"/>
  <c r="X55" i="26" s="1"/>
  <c r="AX52" i="26"/>
  <c r="Z53" i="26"/>
  <c r="Z54" i="26" s="1"/>
  <c r="Z55" i="26" s="1"/>
  <c r="AZ52" i="26"/>
  <c r="R53" i="26"/>
  <c r="R54" i="26" s="1"/>
  <c r="R55" i="26" s="1"/>
  <c r="AR52" i="26"/>
  <c r="BG44" i="26"/>
  <c r="AT44" i="26"/>
  <c r="BF37" i="26"/>
  <c r="AS37" i="26"/>
  <c r="W53" i="26"/>
  <c r="W54" i="26" s="1"/>
  <c r="W55" i="26" s="1"/>
  <c r="AW52" i="26"/>
  <c r="BF44" i="26"/>
  <c r="AS44" i="26"/>
  <c r="BE37" i="26"/>
  <c r="AR37" i="26"/>
  <c r="AJ39" i="26"/>
  <c r="AW39" i="26"/>
  <c r="AI44" i="26"/>
  <c r="AV44" i="26"/>
  <c r="AH17" i="26"/>
  <c r="AU17" i="26"/>
  <c r="AJ44" i="26"/>
  <c r="AW44" i="26"/>
  <c r="S53" i="26"/>
  <c r="S54" i="26" s="1"/>
  <c r="S55" i="26" s="1"/>
  <c r="AS52" i="26"/>
  <c r="T53" i="26"/>
  <c r="T54" i="26" s="1"/>
  <c r="T55" i="26" s="1"/>
  <c r="AT52" i="26"/>
  <c r="BL36" i="26"/>
  <c r="AL42" i="26"/>
  <c r="AY42" i="26"/>
  <c r="AH42" i="26"/>
  <c r="AU42" i="26"/>
  <c r="BE44" i="26"/>
  <c r="AR44" i="26"/>
  <c r="V53" i="26"/>
  <c r="V54" i="26" s="1"/>
  <c r="V55" i="26" s="1"/>
  <c r="AV52" i="26"/>
  <c r="BH52" i="26"/>
  <c r="AF39" i="26"/>
  <c r="AS39" i="26"/>
  <c r="BJ44" i="26"/>
  <c r="BH17" i="26"/>
  <c r="BJ39" i="26"/>
  <c r="AL52" i="26"/>
  <c r="Y53" i="26"/>
  <c r="Y54" i="26" s="1"/>
  <c r="Y55" i="26" s="1"/>
  <c r="BL42" i="26"/>
  <c r="BL52" i="26"/>
  <c r="BF39" i="26"/>
  <c r="AM42" i="26"/>
  <c r="BM42" i="26"/>
  <c r="AF45" i="26"/>
  <c r="BF45" i="26"/>
  <c r="BF42" i="26"/>
  <c r="AF42" i="26"/>
  <c r="AG17" i="26"/>
  <c r="BG17" i="26"/>
  <c r="BI29" i="26"/>
  <c r="AI29" i="26"/>
  <c r="AK36" i="26"/>
  <c r="BK36" i="26"/>
  <c r="AM40" i="26"/>
  <c r="BM40" i="26"/>
  <c r="AM36" i="26"/>
  <c r="BM36" i="26"/>
  <c r="AM52" i="26"/>
  <c r="BM52" i="26"/>
  <c r="AL29" i="26"/>
  <c r="BL29" i="26"/>
  <c r="AJ17" i="26"/>
  <c r="BJ17" i="26"/>
  <c r="AE52" i="26"/>
  <c r="BE52" i="26"/>
  <c r="AG45" i="26"/>
  <c r="BG45" i="26"/>
  <c r="AG36" i="26"/>
  <c r="BG36" i="26"/>
  <c r="BJ36" i="26"/>
  <c r="AJ36" i="26"/>
  <c r="AE40" i="26"/>
  <c r="BE40" i="26"/>
  <c r="AM17" i="26"/>
  <c r="BM17" i="26"/>
  <c r="AL17" i="26"/>
  <c r="BL17" i="26"/>
  <c r="AK52" i="26"/>
  <c r="BK52" i="26"/>
  <c r="AI45" i="26"/>
  <c r="BI45" i="26"/>
  <c r="AL40" i="26"/>
  <c r="BL40" i="26"/>
  <c r="AM44" i="26"/>
  <c r="BM44" i="26"/>
  <c r="AM29" i="26"/>
  <c r="BM29" i="26"/>
  <c r="AL39" i="26"/>
  <c r="BL39" i="26"/>
  <c r="AK39" i="26"/>
  <c r="BK39" i="26"/>
  <c r="AE36" i="26"/>
  <c r="BE36" i="26"/>
  <c r="AK42" i="26"/>
  <c r="BK42" i="26"/>
  <c r="BE45" i="26"/>
  <c r="AE45" i="26"/>
  <c r="AH29" i="26"/>
  <c r="BH29" i="26"/>
  <c r="AH39" i="26"/>
  <c r="BH39" i="26"/>
  <c r="AM39" i="26"/>
  <c r="BM39" i="26"/>
  <c r="AJ29" i="26"/>
  <c r="BJ29" i="26"/>
  <c r="AJ52" i="26"/>
  <c r="BJ52" i="26"/>
  <c r="AJ37" i="26"/>
  <c r="BJ37" i="26"/>
  <c r="AG52" i="26"/>
  <c r="BG52" i="26"/>
  <c r="BH40" i="26"/>
  <c r="AH40" i="26"/>
  <c r="AK37" i="26"/>
  <c r="BK37" i="26"/>
  <c r="AM45" i="26"/>
  <c r="BM45" i="26"/>
  <c r="AK40" i="26"/>
  <c r="BK40" i="26"/>
  <c r="AK17" i="26"/>
  <c r="BK17" i="26"/>
  <c r="AH37" i="26"/>
  <c r="BH37" i="26"/>
  <c r="AL45" i="26"/>
  <c r="BL45" i="26"/>
  <c r="AF40" i="26"/>
  <c r="BF40" i="26"/>
  <c r="AF17" i="26"/>
  <c r="BF17" i="26"/>
  <c r="AI52" i="26"/>
  <c r="BI52" i="26"/>
  <c r="AM37" i="26"/>
  <c r="BM37" i="26"/>
  <c r="AF36" i="26"/>
  <c r="BF36" i="26"/>
  <c r="AH44" i="26"/>
  <c r="BH44" i="26"/>
  <c r="AE17" i="26"/>
  <c r="BE17" i="26"/>
  <c r="AI39" i="26"/>
  <c r="BI39" i="26"/>
  <c r="AI42" i="26"/>
  <c r="BI42" i="26"/>
  <c r="AJ45" i="26"/>
  <c r="BJ45" i="26"/>
  <c r="AG40" i="26"/>
  <c r="BG40" i="26"/>
  <c r="AL44" i="26"/>
  <c r="BL44" i="26"/>
  <c r="AJ42" i="26"/>
  <c r="BJ42" i="26"/>
  <c r="AE29" i="26"/>
  <c r="BE29" i="26"/>
  <c r="AG29" i="26"/>
  <c r="BG29" i="26"/>
  <c r="AL37" i="26"/>
  <c r="BL37" i="26"/>
  <c r="AG39" i="26"/>
  <c r="BG39" i="26"/>
  <c r="AI36" i="26"/>
  <c r="BI36" i="26"/>
  <c r="BG42" i="26"/>
  <c r="AG42" i="26"/>
  <c r="AH45" i="26"/>
  <c r="BH45" i="26"/>
  <c r="BJ40" i="26"/>
  <c r="AJ40" i="26"/>
  <c r="BF52" i="26"/>
  <c r="AF52" i="26"/>
  <c r="AE42" i="26"/>
  <c r="BE42" i="26"/>
  <c r="AE39" i="26"/>
  <c r="BE39" i="26"/>
  <c r="AI37" i="26"/>
  <c r="BI37" i="26"/>
  <c r="AK44" i="26"/>
  <c r="BK44" i="26"/>
  <c r="AK45" i="26"/>
  <c r="BK45" i="26"/>
  <c r="AI40" i="26"/>
  <c r="BI40" i="26"/>
  <c r="AK29" i="26"/>
  <c r="BK29" i="26"/>
  <c r="BI17" i="26"/>
  <c r="AI17" i="26"/>
  <c r="AI63" i="26" l="1"/>
  <c r="AI58" i="26"/>
  <c r="AI65" i="26"/>
  <c r="AI60" i="26"/>
  <c r="AI64" i="26"/>
  <c r="AI59" i="26"/>
  <c r="AE64" i="26"/>
  <c r="AE59" i="26"/>
  <c r="AF58" i="26"/>
  <c r="AF63" i="26"/>
  <c r="AH59" i="26"/>
  <c r="AH64" i="26"/>
  <c r="AE63" i="26"/>
  <c r="AE58" i="26"/>
  <c r="AH60" i="26"/>
  <c r="AH65" i="26"/>
  <c r="AF64" i="26"/>
  <c r="AF59" i="26"/>
  <c r="AE65" i="26"/>
  <c r="AE60" i="26"/>
  <c r="AF60" i="26"/>
  <c r="AF65" i="26"/>
  <c r="DK58" i="27"/>
  <c r="DM58" i="27" s="1"/>
  <c r="DL58" i="27"/>
  <c r="AD5" i="27"/>
  <c r="AE5" i="27"/>
  <c r="AF5" i="27"/>
  <c r="AG5" i="27"/>
  <c r="AH5" i="27"/>
  <c r="AI5" i="27"/>
  <c r="AJ5" i="27"/>
  <c r="AK5" i="27"/>
  <c r="AL5" i="27"/>
  <c r="AM5" i="27"/>
  <c r="AN5" i="27"/>
  <c r="AO5" i="27"/>
  <c r="AP5" i="27"/>
  <c r="AQ5" i="27"/>
  <c r="AR5" i="27"/>
  <c r="AS5" i="27"/>
  <c r="AT5" i="27"/>
  <c r="AU5" i="27"/>
  <c r="AV5" i="27"/>
  <c r="AW5" i="27"/>
  <c r="AX5" i="27"/>
  <c r="AY5" i="27"/>
  <c r="AZ5" i="27"/>
  <c r="BA5" i="27"/>
  <c r="BB5" i="27"/>
  <c r="BC5" i="27"/>
  <c r="BD5" i="27"/>
  <c r="BE5" i="27"/>
  <c r="BF5" i="27"/>
  <c r="BG5" i="27"/>
  <c r="BH5" i="27"/>
  <c r="BI5" i="27"/>
  <c r="BJ5" i="27"/>
  <c r="BK5" i="27"/>
  <c r="BL5" i="27"/>
  <c r="BM5" i="27"/>
  <c r="BN5" i="27"/>
  <c r="BO5" i="27"/>
  <c r="BP5" i="27"/>
  <c r="BQ5" i="27"/>
  <c r="BR5" i="27"/>
  <c r="BS5" i="27"/>
  <c r="BT5" i="27"/>
  <c r="BU5" i="27"/>
  <c r="BV5" i="27"/>
  <c r="BW5" i="27"/>
  <c r="BX5" i="27"/>
  <c r="BY5" i="27"/>
  <c r="BZ5" i="27"/>
  <c r="CA5" i="27"/>
  <c r="CB5" i="27"/>
  <c r="CC5" i="27"/>
  <c r="CD5" i="27"/>
  <c r="CE5" i="27"/>
  <c r="CF5" i="27"/>
  <c r="CG5" i="27"/>
  <c r="CH5" i="27"/>
  <c r="CI5" i="27"/>
  <c r="CJ5" i="27"/>
  <c r="CK5" i="27"/>
  <c r="CL5" i="27"/>
  <c r="CM5" i="27"/>
  <c r="CN5" i="27"/>
  <c r="CO5" i="27"/>
  <c r="CP5" i="27"/>
  <c r="CQ5" i="27"/>
  <c r="CR5" i="27"/>
  <c r="CS5" i="27"/>
  <c r="CT5" i="27"/>
  <c r="CU5" i="27"/>
  <c r="CV5" i="27"/>
  <c r="CW5" i="27"/>
  <c r="CX5" i="27"/>
  <c r="CY5" i="27"/>
  <c r="CZ5" i="27"/>
  <c r="DA5" i="27"/>
  <c r="DB5" i="27"/>
  <c r="DC5" i="27"/>
  <c r="DD5" i="27"/>
  <c r="DE5" i="27"/>
  <c r="DF5" i="27"/>
  <c r="DG5" i="27"/>
  <c r="DH5" i="27"/>
  <c r="DI5" i="27"/>
  <c r="DJ5" i="27"/>
  <c r="DK5" i="27"/>
  <c r="DL5" i="27"/>
  <c r="DM5" i="27"/>
  <c r="DN5" i="27"/>
  <c r="DO5" i="27"/>
  <c r="DP5" i="27"/>
  <c r="DQ5" i="27"/>
  <c r="DR5" i="27"/>
  <c r="DS5" i="27"/>
  <c r="DU5" i="27"/>
  <c r="DV5" i="27"/>
  <c r="DW5" i="27"/>
  <c r="DX5" i="27"/>
  <c r="DY5" i="27"/>
  <c r="DZ5" i="27"/>
  <c r="EA5" i="27"/>
  <c r="EB5" i="27"/>
  <c r="EC5" i="27"/>
  <c r="ED5" i="27"/>
  <c r="EE5" i="27"/>
  <c r="EF5" i="27"/>
  <c r="EG5" i="27"/>
  <c r="EH5" i="27"/>
  <c r="EI5" i="27"/>
  <c r="EJ5" i="27"/>
  <c r="EK5" i="27"/>
  <c r="EL5" i="27"/>
  <c r="EM5" i="27"/>
  <c r="EN5" i="27"/>
  <c r="EO5" i="27"/>
  <c r="EP5" i="27"/>
  <c r="EQ5" i="27"/>
  <c r="ER5" i="27"/>
  <c r="ES5" i="27"/>
  <c r="ET5" i="27"/>
  <c r="EU5" i="27"/>
  <c r="EV5" i="27"/>
  <c r="EW5" i="27"/>
  <c r="EX5" i="27"/>
  <c r="EY5" i="27"/>
  <c r="EZ5" i="27"/>
  <c r="FA5" i="27"/>
  <c r="FB5" i="27"/>
  <c r="FC5" i="27"/>
  <c r="FD5" i="27"/>
  <c r="FE5" i="27"/>
  <c r="FF5" i="27"/>
  <c r="DT5" i="27"/>
  <c r="BX34" i="27" l="1"/>
  <c r="BX10" i="27" s="1"/>
  <c r="BY34" i="27"/>
  <c r="BY10" i="27" s="1"/>
  <c r="BZ34" i="27"/>
  <c r="BZ10" i="27" s="1"/>
  <c r="CA34" i="27"/>
  <c r="CA10" i="27" s="1"/>
  <c r="CB34" i="27"/>
  <c r="CB10" i="27" s="1"/>
  <c r="CC34" i="27"/>
  <c r="CC10" i="27" s="1"/>
  <c r="CD34" i="27"/>
  <c r="CD10" i="27" s="1"/>
  <c r="CE34" i="27"/>
  <c r="CE10" i="27" s="1"/>
  <c r="CF34" i="27"/>
  <c r="CF10" i="27" s="1"/>
  <c r="CG34" i="27"/>
  <c r="CG10" i="27" s="1"/>
  <c r="CH34" i="27"/>
  <c r="CH10" i="27" s="1"/>
  <c r="CI34" i="27"/>
  <c r="CI10" i="27" s="1"/>
  <c r="CJ34" i="27"/>
  <c r="CJ10" i="27" s="1"/>
  <c r="CK34" i="27"/>
  <c r="CK10" i="27" s="1"/>
  <c r="CL34" i="27"/>
  <c r="CL10" i="27" s="1"/>
  <c r="CM34" i="27"/>
  <c r="CM10" i="27" s="1"/>
  <c r="CN34" i="27"/>
  <c r="CN10" i="27" s="1"/>
  <c r="CO34" i="27"/>
  <c r="CO10" i="27" s="1"/>
  <c r="CP34" i="27"/>
  <c r="CP10" i="27" s="1"/>
  <c r="CQ34" i="27"/>
  <c r="CQ10" i="27" s="1"/>
  <c r="CR34" i="27"/>
  <c r="CR10" i="27" s="1"/>
  <c r="CS34" i="27"/>
  <c r="CS10" i="27" s="1"/>
  <c r="CT34" i="27"/>
  <c r="CT10" i="27" s="1"/>
  <c r="CU34" i="27"/>
  <c r="CU10" i="27" s="1"/>
  <c r="CV34" i="27"/>
  <c r="CV10" i="27" s="1"/>
  <c r="CW34" i="27"/>
  <c r="CW10" i="27" s="1"/>
  <c r="CX34" i="27"/>
  <c r="CX10" i="27" s="1"/>
  <c r="CY34" i="27"/>
  <c r="CY10" i="27" s="1"/>
  <c r="CZ34" i="27"/>
  <c r="CZ10" i="27" s="1"/>
  <c r="DA34" i="27"/>
  <c r="DA10" i="27" s="1"/>
  <c r="DB34" i="27"/>
  <c r="DB10" i="27" s="1"/>
  <c r="DC34" i="27"/>
  <c r="DC10" i="27" s="1"/>
  <c r="DD34" i="27"/>
  <c r="DD10" i="27" s="1"/>
  <c r="DE34" i="27"/>
  <c r="DE10" i="27" s="1"/>
  <c r="DF34" i="27"/>
  <c r="DF10" i="27" s="1"/>
  <c r="DG34" i="27"/>
  <c r="DG10" i="27" s="1"/>
  <c r="DH34" i="27"/>
  <c r="DH10" i="27" s="1"/>
  <c r="DI34" i="27"/>
  <c r="DI10" i="27" s="1"/>
  <c r="DJ34" i="27"/>
  <c r="DJ10" i="27" s="1"/>
  <c r="DK34" i="27"/>
  <c r="DK10" i="27" s="1"/>
  <c r="DL34" i="27"/>
  <c r="DL10" i="27" s="1"/>
  <c r="DM34" i="27"/>
  <c r="DM10" i="27" s="1"/>
  <c r="DN34" i="27"/>
  <c r="DN10" i="27" s="1"/>
  <c r="DO34" i="27"/>
  <c r="DO10" i="27" s="1"/>
  <c r="DP34" i="27"/>
  <c r="DP10" i="27" s="1"/>
  <c r="DQ34" i="27"/>
  <c r="DQ10" i="27" s="1"/>
  <c r="DR34" i="27"/>
  <c r="DR10" i="27" s="1"/>
  <c r="DS34" i="27"/>
  <c r="DS10" i="27" s="1"/>
  <c r="DT34" i="27"/>
  <c r="DT10" i="27" s="1"/>
  <c r="DU34" i="27"/>
  <c r="DU10" i="27" s="1"/>
  <c r="DV34" i="27"/>
  <c r="DV10" i="27" s="1"/>
  <c r="DW34" i="27"/>
  <c r="DW10" i="27" s="1"/>
  <c r="DX34" i="27"/>
  <c r="DX10" i="27" s="1"/>
  <c r="DY34" i="27"/>
  <c r="DY10" i="27" s="1"/>
  <c r="DZ34" i="27"/>
  <c r="DZ10" i="27" s="1"/>
  <c r="EA34" i="27"/>
  <c r="EA10" i="27" s="1"/>
  <c r="EB34" i="27"/>
  <c r="EB10" i="27" s="1"/>
  <c r="EC34" i="27"/>
  <c r="EC10" i="27" s="1"/>
  <c r="ED34" i="27"/>
  <c r="ED10" i="27" s="1"/>
  <c r="EE34" i="27"/>
  <c r="EE10" i="27" s="1"/>
  <c r="EF34" i="27"/>
  <c r="EF10" i="27" s="1"/>
  <c r="EG34" i="27"/>
  <c r="EG10" i="27" s="1"/>
  <c r="EH34" i="27"/>
  <c r="EH10" i="27" s="1"/>
  <c r="EI34" i="27"/>
  <c r="EI10" i="27" s="1"/>
  <c r="EJ34" i="27"/>
  <c r="EJ10" i="27" s="1"/>
  <c r="EK34" i="27"/>
  <c r="EK10" i="27" s="1"/>
  <c r="EL34" i="27"/>
  <c r="EL10" i="27" s="1"/>
  <c r="EM34" i="27"/>
  <c r="EM10" i="27" s="1"/>
  <c r="EN34" i="27"/>
  <c r="EN10" i="27" s="1"/>
  <c r="EO34" i="27"/>
  <c r="EO10" i="27" s="1"/>
  <c r="EP34" i="27"/>
  <c r="EP10" i="27" s="1"/>
  <c r="EQ34" i="27"/>
  <c r="EQ10" i="27" s="1"/>
  <c r="ER34" i="27"/>
  <c r="ER10" i="27" s="1"/>
  <c r="ES34" i="27"/>
  <c r="ES10" i="27" s="1"/>
  <c r="ET34" i="27"/>
  <c r="ET10" i="27" s="1"/>
  <c r="EU34" i="27"/>
  <c r="EU10" i="27" s="1"/>
  <c r="EV34" i="27"/>
  <c r="EV10" i="27" s="1"/>
  <c r="EW34" i="27"/>
  <c r="EW10" i="27" s="1"/>
  <c r="EX34" i="27"/>
  <c r="EX10" i="27" s="1"/>
  <c r="EY34" i="27"/>
  <c r="EY10" i="27" s="1"/>
  <c r="EZ34" i="27"/>
  <c r="EZ10" i="27" s="1"/>
  <c r="FA34" i="27"/>
  <c r="FA10" i="27" s="1"/>
  <c r="FB34" i="27"/>
  <c r="FB10" i="27" s="1"/>
  <c r="FC34" i="27"/>
  <c r="FC10" i="27" s="1"/>
  <c r="FD34" i="27"/>
  <c r="FD10" i="27" s="1"/>
  <c r="FE34" i="27"/>
  <c r="FE10" i="27" s="1"/>
  <c r="FF34" i="27"/>
  <c r="FF10" i="27" s="1"/>
  <c r="BW34" i="27"/>
  <c r="BW10" i="27" s="1"/>
  <c r="BX13" i="27"/>
  <c r="BX9" i="27" s="1"/>
  <c r="BX4" i="27" s="1"/>
  <c r="BY13" i="27"/>
  <c r="BY9" i="27" s="1"/>
  <c r="BY4" i="27" s="1"/>
  <c r="BZ13" i="27"/>
  <c r="BZ9" i="27" s="1"/>
  <c r="BZ4" i="27" s="1"/>
  <c r="CA13" i="27"/>
  <c r="CA9" i="27" s="1"/>
  <c r="CA4" i="27" s="1"/>
  <c r="CB13" i="27"/>
  <c r="CB9" i="27" s="1"/>
  <c r="CB4" i="27" s="1"/>
  <c r="CC13" i="27"/>
  <c r="CC9" i="27" s="1"/>
  <c r="CC4" i="27" s="1"/>
  <c r="CD13" i="27"/>
  <c r="CD9" i="27" s="1"/>
  <c r="CD4" i="27" s="1"/>
  <c r="CE13" i="27"/>
  <c r="CE9" i="27" s="1"/>
  <c r="CE4" i="27" s="1"/>
  <c r="CF13" i="27"/>
  <c r="CF9" i="27" s="1"/>
  <c r="CF4" i="27" s="1"/>
  <c r="CG13" i="27"/>
  <c r="CG9" i="27" s="1"/>
  <c r="CG4" i="27" s="1"/>
  <c r="CH13" i="27"/>
  <c r="CH9" i="27" s="1"/>
  <c r="CH4" i="27" s="1"/>
  <c r="CI13" i="27"/>
  <c r="CI9" i="27" s="1"/>
  <c r="CI4" i="27" s="1"/>
  <c r="CJ13" i="27"/>
  <c r="CJ9" i="27" s="1"/>
  <c r="CJ4" i="27" s="1"/>
  <c r="CK13" i="27"/>
  <c r="CK9" i="27" s="1"/>
  <c r="CK4" i="27" s="1"/>
  <c r="CL13" i="27"/>
  <c r="CL9" i="27" s="1"/>
  <c r="CL4" i="27" s="1"/>
  <c r="CM13" i="27"/>
  <c r="CM9" i="27" s="1"/>
  <c r="CM4" i="27" s="1"/>
  <c r="CN13" i="27"/>
  <c r="CN9" i="27" s="1"/>
  <c r="CN4" i="27" s="1"/>
  <c r="CO13" i="27"/>
  <c r="CO9" i="27" s="1"/>
  <c r="CO4" i="27" s="1"/>
  <c r="CP13" i="27"/>
  <c r="CP9" i="27" s="1"/>
  <c r="CP4" i="27" s="1"/>
  <c r="CQ13" i="27"/>
  <c r="CQ9" i="27" s="1"/>
  <c r="CQ4" i="27" s="1"/>
  <c r="CR13" i="27"/>
  <c r="CR9" i="27" s="1"/>
  <c r="CR4" i="27" s="1"/>
  <c r="CS13" i="27"/>
  <c r="CS9" i="27" s="1"/>
  <c r="CS4" i="27" s="1"/>
  <c r="CT13" i="27"/>
  <c r="CT9" i="27" s="1"/>
  <c r="CT4" i="27" s="1"/>
  <c r="CU13" i="27"/>
  <c r="CU9" i="27" s="1"/>
  <c r="CU4" i="27" s="1"/>
  <c r="CV13" i="27"/>
  <c r="CV9" i="27" s="1"/>
  <c r="CV4" i="27" s="1"/>
  <c r="CW13" i="27"/>
  <c r="CW9" i="27" s="1"/>
  <c r="CW4" i="27" s="1"/>
  <c r="CX13" i="27"/>
  <c r="CX9" i="27" s="1"/>
  <c r="CX4" i="27" s="1"/>
  <c r="CY13" i="27"/>
  <c r="CY9" i="27" s="1"/>
  <c r="CY4" i="27" s="1"/>
  <c r="CZ13" i="27"/>
  <c r="CZ9" i="27" s="1"/>
  <c r="CZ4" i="27" s="1"/>
  <c r="DA13" i="27"/>
  <c r="DA9" i="27" s="1"/>
  <c r="DA4" i="27" s="1"/>
  <c r="DB13" i="27"/>
  <c r="DB9" i="27" s="1"/>
  <c r="DB4" i="27" s="1"/>
  <c r="DC13" i="27"/>
  <c r="DC9" i="27" s="1"/>
  <c r="DC4" i="27" s="1"/>
  <c r="DD13" i="27"/>
  <c r="DD9" i="27" s="1"/>
  <c r="DD4" i="27" s="1"/>
  <c r="DE13" i="27"/>
  <c r="DE9" i="27" s="1"/>
  <c r="DE4" i="27" s="1"/>
  <c r="DF13" i="27"/>
  <c r="DF9" i="27" s="1"/>
  <c r="DF4" i="27" s="1"/>
  <c r="DG13" i="27"/>
  <c r="DG9" i="27" s="1"/>
  <c r="DG4" i="27" s="1"/>
  <c r="DH13" i="27"/>
  <c r="DH9" i="27" s="1"/>
  <c r="DH4" i="27" s="1"/>
  <c r="DI13" i="27"/>
  <c r="DI9" i="27" s="1"/>
  <c r="DI4" i="27" s="1"/>
  <c r="DJ13" i="27"/>
  <c r="DJ9" i="27" s="1"/>
  <c r="DJ4" i="27" s="1"/>
  <c r="DK13" i="27"/>
  <c r="DK9" i="27" s="1"/>
  <c r="DK4" i="27" s="1"/>
  <c r="DL13" i="27"/>
  <c r="DL9" i="27" s="1"/>
  <c r="DL4" i="27" s="1"/>
  <c r="DM13" i="27"/>
  <c r="DM9" i="27" s="1"/>
  <c r="DM4" i="27" s="1"/>
  <c r="DN13" i="27"/>
  <c r="DN9" i="27" s="1"/>
  <c r="DN4" i="27" s="1"/>
  <c r="DO13" i="27"/>
  <c r="DO9" i="27" s="1"/>
  <c r="DO4" i="27" s="1"/>
  <c r="DP13" i="27"/>
  <c r="DP9" i="27" s="1"/>
  <c r="DP4" i="27" s="1"/>
  <c r="DQ13" i="27"/>
  <c r="DQ9" i="27" s="1"/>
  <c r="DQ4" i="27" s="1"/>
  <c r="DR13" i="27"/>
  <c r="DR9" i="27" s="1"/>
  <c r="DR4" i="27" s="1"/>
  <c r="DS13" i="27"/>
  <c r="DS9" i="27" s="1"/>
  <c r="DS4" i="27" s="1"/>
  <c r="DT13" i="27"/>
  <c r="DT9" i="27" s="1"/>
  <c r="DT4" i="27" s="1"/>
  <c r="DU13" i="27"/>
  <c r="DU9" i="27" s="1"/>
  <c r="DU4" i="27" s="1"/>
  <c r="DV13" i="27"/>
  <c r="DV9" i="27" s="1"/>
  <c r="DV4" i="27" s="1"/>
  <c r="DW13" i="27"/>
  <c r="DW9" i="27" s="1"/>
  <c r="DW4" i="27" s="1"/>
  <c r="DX13" i="27"/>
  <c r="DX9" i="27" s="1"/>
  <c r="DX4" i="27" s="1"/>
  <c r="DY13" i="27"/>
  <c r="DY9" i="27" s="1"/>
  <c r="DY4" i="27" s="1"/>
  <c r="DZ13" i="27"/>
  <c r="DZ9" i="27" s="1"/>
  <c r="DZ4" i="27" s="1"/>
  <c r="EA13" i="27"/>
  <c r="EA9" i="27" s="1"/>
  <c r="EA4" i="27" s="1"/>
  <c r="EB13" i="27"/>
  <c r="EB9" i="27" s="1"/>
  <c r="EB4" i="27" s="1"/>
  <c r="EC13" i="27"/>
  <c r="EC9" i="27" s="1"/>
  <c r="EC4" i="27" s="1"/>
  <c r="ED13" i="27"/>
  <c r="ED9" i="27" s="1"/>
  <c r="ED4" i="27" s="1"/>
  <c r="EE13" i="27"/>
  <c r="EE9" i="27" s="1"/>
  <c r="EE4" i="27" s="1"/>
  <c r="EF13" i="27"/>
  <c r="EF9" i="27" s="1"/>
  <c r="EF4" i="27" s="1"/>
  <c r="EG13" i="27"/>
  <c r="EG9" i="27" s="1"/>
  <c r="EG4" i="27" s="1"/>
  <c r="EH13" i="27"/>
  <c r="EH9" i="27" s="1"/>
  <c r="EH4" i="27" s="1"/>
  <c r="EI13" i="27"/>
  <c r="EI9" i="27" s="1"/>
  <c r="EI4" i="27" s="1"/>
  <c r="EJ13" i="27"/>
  <c r="EJ9" i="27" s="1"/>
  <c r="EJ4" i="27" s="1"/>
  <c r="EK13" i="27"/>
  <c r="EK9" i="27" s="1"/>
  <c r="EL13" i="27"/>
  <c r="EL9" i="27" s="1"/>
  <c r="EM13" i="27"/>
  <c r="EM9" i="27" s="1"/>
  <c r="EM4" i="27" s="1"/>
  <c r="EN13" i="27"/>
  <c r="EN9" i="27" s="1"/>
  <c r="EN4" i="27" s="1"/>
  <c r="EO13" i="27"/>
  <c r="EO9" i="27" s="1"/>
  <c r="EP13" i="27"/>
  <c r="EP9" i="27" s="1"/>
  <c r="EP4" i="27" s="1"/>
  <c r="EQ13" i="27"/>
  <c r="EQ9" i="27" s="1"/>
  <c r="ER13" i="27"/>
  <c r="ER9" i="27" s="1"/>
  <c r="ER4" i="27" s="1"/>
  <c r="ES13" i="27"/>
  <c r="ES9" i="27" s="1"/>
  <c r="ET13" i="27"/>
  <c r="ET9" i="27" s="1"/>
  <c r="ET4" i="27" s="1"/>
  <c r="EU13" i="27"/>
  <c r="EU9" i="27" s="1"/>
  <c r="EU4" i="27" s="1"/>
  <c r="EV13" i="27"/>
  <c r="EV9" i="27" s="1"/>
  <c r="EV4" i="27" s="1"/>
  <c r="EW13" i="27"/>
  <c r="EW9" i="27" s="1"/>
  <c r="EX13" i="27"/>
  <c r="EX9" i="27" s="1"/>
  <c r="EX4" i="27" s="1"/>
  <c r="EY13" i="27"/>
  <c r="EY9" i="27" s="1"/>
  <c r="EZ13" i="27"/>
  <c r="EZ9" i="27" s="1"/>
  <c r="EZ4" i="27" s="1"/>
  <c r="FA13" i="27"/>
  <c r="FA9" i="27" s="1"/>
  <c r="FB13" i="27"/>
  <c r="FB9" i="27" s="1"/>
  <c r="FB4" i="27" s="1"/>
  <c r="FC13" i="27"/>
  <c r="FC9" i="27" s="1"/>
  <c r="FD13" i="27"/>
  <c r="FD9" i="27" s="1"/>
  <c r="FD4" i="27" s="1"/>
  <c r="FE13" i="27"/>
  <c r="FE9" i="27" s="1"/>
  <c r="FF13" i="27"/>
  <c r="FF9" i="27" s="1"/>
  <c r="FF4" i="27" s="1"/>
  <c r="BW13" i="27"/>
  <c r="BW9" i="27" s="1"/>
  <c r="ES4" i="27" l="1"/>
  <c r="EQ4" i="27"/>
  <c r="EL4" i="27"/>
  <c r="EK4" i="27"/>
  <c r="EO4" i="27"/>
  <c r="FE4" i="27"/>
  <c r="FA4" i="27"/>
  <c r="EW4" i="27"/>
  <c r="BW4" i="27"/>
  <c r="FC4" i="27"/>
  <c r="EY4" i="27"/>
  <c r="AF4" i="27"/>
  <c r="AG4" i="27"/>
  <c r="AH4" i="27"/>
  <c r="AI4" i="27"/>
  <c r="AJ4" i="27"/>
  <c r="AK4" i="27"/>
  <c r="AL4" i="27"/>
  <c r="AM4" i="27"/>
  <c r="AN4" i="27"/>
  <c r="AO4" i="27"/>
  <c r="AP4" i="27"/>
  <c r="AQ4" i="27"/>
  <c r="AR4" i="27"/>
  <c r="AS4" i="27"/>
  <c r="AT4" i="27"/>
  <c r="AU4" i="27"/>
  <c r="AV4" i="27"/>
  <c r="AW4" i="27"/>
  <c r="AX4" i="27"/>
  <c r="AY4" i="27"/>
  <c r="AZ4" i="27"/>
  <c r="BA4" i="27"/>
  <c r="BB4" i="27"/>
  <c r="BC4" i="27"/>
  <c r="BD4" i="27"/>
  <c r="BE4" i="27"/>
  <c r="BF4" i="27"/>
  <c r="BG4" i="27"/>
  <c r="BH4" i="27"/>
  <c r="BI4" i="27"/>
  <c r="BJ4" i="27"/>
  <c r="BK4" i="27"/>
  <c r="BL4" i="27"/>
  <c r="BM4" i="27"/>
  <c r="BN4" i="27"/>
  <c r="BO4" i="27"/>
  <c r="BP4" i="27"/>
  <c r="BQ4" i="27"/>
  <c r="BR4" i="27"/>
  <c r="BS4" i="27"/>
  <c r="BT4" i="27"/>
  <c r="BU4" i="27"/>
  <c r="BV4" i="27"/>
  <c r="AE4" i="27"/>
  <c r="BF41" i="15" l="1"/>
  <c r="BF40" i="15"/>
  <c r="BF39" i="15"/>
  <c r="BE39" i="15"/>
  <c r="BE40" i="15" s="1"/>
  <c r="BD39" i="15"/>
  <c r="BD40" i="15" s="1"/>
  <c r="BB40" i="15"/>
  <c r="BC40" i="15"/>
  <c r="BB41" i="15"/>
  <c r="BC41" i="15"/>
  <c r="BC39" i="15"/>
  <c r="BB39" i="15"/>
  <c r="BE41" i="15" l="1"/>
  <c r="BD41" i="15"/>
  <c r="AZ39" i="15" l="1"/>
  <c r="AZ41" i="15" l="1"/>
  <c r="AZ40" i="15"/>
  <c r="BA39" i="15" l="1"/>
  <c r="BA41" i="15" l="1"/>
  <c r="BA40" i="15"/>
  <c r="AX44" i="15" l="1"/>
  <c r="AX45" i="15" s="1"/>
  <c r="AY44" i="15"/>
  <c r="AZ44" i="15"/>
  <c r="BA44" i="15"/>
  <c r="BB44" i="15"/>
  <c r="BB45" i="15" s="1"/>
  <c r="BC44" i="15"/>
  <c r="BD44" i="15"/>
  <c r="BE44" i="15"/>
  <c r="BF44" i="15"/>
  <c r="BF45" i="15" s="1"/>
  <c r="AY45" i="15"/>
  <c r="AZ45" i="15"/>
  <c r="BA45" i="15"/>
  <c r="BC45" i="15"/>
  <c r="BD45" i="15"/>
  <c r="BE45" i="15"/>
  <c r="BF43" i="15"/>
  <c r="BE43" i="15"/>
  <c r="BD43" i="15"/>
  <c r="BC43" i="15"/>
  <c r="BB43" i="15"/>
  <c r="BA43" i="15"/>
  <c r="AZ43" i="15"/>
  <c r="AY43" i="15"/>
  <c r="AX43" i="15"/>
  <c r="N35" i="7" l="1"/>
  <c r="N34" i="7"/>
  <c r="L3" i="7" l="1"/>
  <c r="M3" i="7"/>
  <c r="N3" i="7"/>
  <c r="O3" i="7"/>
  <c r="L4" i="7"/>
  <c r="M4" i="7"/>
  <c r="N4" i="7"/>
  <c r="O4" i="7"/>
  <c r="L5" i="7"/>
  <c r="M5" i="7"/>
  <c r="N5" i="7"/>
  <c r="O5" i="7"/>
  <c r="L6" i="7"/>
  <c r="M6" i="7"/>
  <c r="N6" i="7"/>
  <c r="O6" i="7"/>
  <c r="L7" i="7"/>
  <c r="M7" i="7"/>
  <c r="N7" i="7"/>
  <c r="O7" i="7"/>
  <c r="L8" i="7"/>
  <c r="M8" i="7"/>
  <c r="N8" i="7"/>
  <c r="O8" i="7"/>
  <c r="L9" i="7"/>
  <c r="M9" i="7"/>
  <c r="N9" i="7"/>
  <c r="O9" i="7"/>
  <c r="L10" i="7"/>
  <c r="M10" i="7"/>
  <c r="N10" i="7"/>
  <c r="O10" i="7"/>
  <c r="L11" i="7"/>
  <c r="M11" i="7"/>
  <c r="N11" i="7"/>
  <c r="O11" i="7"/>
  <c r="L12" i="7"/>
  <c r="M12" i="7"/>
  <c r="N12" i="7"/>
  <c r="O12" i="7"/>
  <c r="L13" i="7"/>
  <c r="M13" i="7"/>
  <c r="N13" i="7"/>
  <c r="O13" i="7"/>
  <c r="L14" i="7"/>
  <c r="M14" i="7"/>
  <c r="N14" i="7"/>
  <c r="O14" i="7"/>
  <c r="L15" i="7"/>
  <c r="M15" i="7"/>
  <c r="N15" i="7"/>
  <c r="O15" i="7"/>
  <c r="L16" i="7"/>
  <c r="M16" i="7"/>
  <c r="N16" i="7"/>
  <c r="O16" i="7"/>
  <c r="L17" i="7"/>
  <c r="M17" i="7"/>
  <c r="N17" i="7"/>
  <c r="O17" i="7"/>
  <c r="L18" i="7"/>
  <c r="M18" i="7"/>
  <c r="N18" i="7"/>
  <c r="O18" i="7"/>
  <c r="L19" i="7"/>
  <c r="M19" i="7"/>
  <c r="N19" i="7"/>
  <c r="O19" i="7"/>
  <c r="L20" i="7"/>
  <c r="M20" i="7"/>
  <c r="N20" i="7"/>
  <c r="O20" i="7"/>
  <c r="L21" i="7"/>
  <c r="M21" i="7"/>
  <c r="N21" i="7"/>
  <c r="O21" i="7"/>
  <c r="L22" i="7"/>
  <c r="M22" i="7"/>
  <c r="N22" i="7"/>
  <c r="O22" i="7"/>
  <c r="L23" i="7"/>
  <c r="M23" i="7"/>
  <c r="N23" i="7"/>
  <c r="O23" i="7"/>
  <c r="L24" i="7"/>
  <c r="M24" i="7"/>
  <c r="N24" i="7"/>
  <c r="O24" i="7"/>
  <c r="L25" i="7"/>
  <c r="M25" i="7"/>
  <c r="N25" i="7"/>
  <c r="O25" i="7"/>
  <c r="L26" i="7"/>
  <c r="M26" i="7"/>
  <c r="N26" i="7"/>
  <c r="O26" i="7"/>
  <c r="L27" i="7"/>
  <c r="M27" i="7"/>
  <c r="N27" i="7"/>
  <c r="O27" i="7"/>
  <c r="L28" i="7"/>
  <c r="M28" i="7"/>
  <c r="N28" i="7"/>
  <c r="O28" i="7"/>
  <c r="L29" i="7"/>
  <c r="M29" i="7"/>
  <c r="N29" i="7"/>
  <c r="O29" i="7"/>
  <c r="L30" i="7"/>
  <c r="M30" i="7"/>
  <c r="N30" i="7"/>
  <c r="O30" i="7"/>
  <c r="L31" i="7"/>
  <c r="M31" i="7"/>
  <c r="N31" i="7"/>
  <c r="O31" i="7"/>
  <c r="L32" i="7"/>
  <c r="M32" i="7"/>
  <c r="N32" i="7"/>
  <c r="O32" i="7"/>
  <c r="L33" i="7"/>
  <c r="M33" i="7"/>
  <c r="N33" i="7"/>
  <c r="O33" i="7"/>
  <c r="L34" i="7"/>
  <c r="M34" i="7"/>
  <c r="O34" i="7"/>
  <c r="L35" i="7"/>
  <c r="M35" i="7"/>
  <c r="O35" i="7"/>
  <c r="L36" i="7"/>
  <c r="M36" i="7"/>
  <c r="N36" i="7"/>
  <c r="O36" i="7"/>
  <c r="L37" i="7"/>
  <c r="M37" i="7"/>
  <c r="N37" i="7"/>
  <c r="O37" i="7"/>
  <c r="L38" i="7"/>
  <c r="M38" i="7"/>
  <c r="N38" i="7"/>
  <c r="O38" i="7"/>
  <c r="L2" i="7"/>
  <c r="M2" i="7"/>
  <c r="N2" i="7"/>
  <c r="O2" i="7"/>
  <c r="Q39" i="7"/>
  <c r="W78" i="2" l="1"/>
  <c r="W77" i="2"/>
  <c r="W372" i="2"/>
  <c r="W197" i="2"/>
  <c r="W125" i="2"/>
  <c r="W115" i="2"/>
  <c r="W98" i="2"/>
  <c r="W63" i="2"/>
  <c r="W62" i="2"/>
  <c r="W322" i="2" l="1"/>
  <c r="W330" i="2"/>
  <c r="W386" i="2"/>
  <c r="W24" i="2"/>
  <c r="W20" i="2"/>
  <c r="W16" i="2"/>
  <c r="W4" i="2"/>
  <c r="W149" i="2"/>
  <c r="W222" i="2"/>
  <c r="W226" i="2"/>
  <c r="W230" i="2"/>
  <c r="W243" i="2"/>
  <c r="W297" i="2"/>
  <c r="W303" i="2"/>
  <c r="W12" i="2"/>
  <c r="W8" i="2"/>
  <c r="W97" i="2"/>
  <c r="W162" i="2"/>
  <c r="W206" i="2"/>
  <c r="W71" i="2"/>
  <c r="W96" i="2"/>
  <c r="W139" i="2"/>
  <c r="W148" i="2"/>
  <c r="W174" i="2"/>
  <c r="W302" i="2"/>
  <c r="W15" i="2"/>
  <c r="W70" i="2"/>
  <c r="W94" i="2"/>
  <c r="W137" i="2"/>
  <c r="W146" i="2"/>
  <c r="W167" i="2"/>
  <c r="W26" i="2"/>
  <c r="W25" i="2"/>
  <c r="W22" i="2"/>
  <c r="W21" i="2"/>
  <c r="W18" i="2"/>
  <c r="W17" i="2"/>
  <c r="W14" i="2"/>
  <c r="W13" i="2"/>
  <c r="W10" i="2"/>
  <c r="W9" i="2"/>
  <c r="W6" i="2"/>
  <c r="W5" i="2"/>
  <c r="W73" i="2"/>
  <c r="W81" i="2"/>
  <c r="W87" i="2"/>
  <c r="W91" i="2"/>
  <c r="W141" i="2"/>
  <c r="W150" i="2"/>
  <c r="W369" i="2"/>
  <c r="W370" i="2"/>
  <c r="W361" i="2"/>
  <c r="W362" i="2"/>
  <c r="W324" i="2"/>
  <c r="W325" i="2"/>
  <c r="W332" i="2"/>
  <c r="W333" i="2"/>
  <c r="W27" i="2"/>
  <c r="W23" i="2"/>
  <c r="W19" i="2"/>
  <c r="W69" i="2"/>
  <c r="W160" i="2"/>
  <c r="W168" i="2"/>
  <c r="W295" i="2"/>
  <c r="W296" i="2"/>
  <c r="W328" i="2"/>
  <c r="W11" i="2"/>
  <c r="W7" i="2"/>
  <c r="W67" i="2"/>
  <c r="W92" i="2"/>
  <c r="W103" i="2"/>
  <c r="W107" i="2"/>
  <c r="W114" i="2"/>
  <c r="W113" i="2"/>
  <c r="W110" i="2"/>
  <c r="W109" i="2"/>
  <c r="W122" i="2"/>
  <c r="W130" i="2"/>
  <c r="W133" i="2"/>
  <c r="W136" i="2"/>
  <c r="W143" i="2"/>
  <c r="W158" i="2"/>
  <c r="W165" i="2"/>
  <c r="W267" i="2"/>
  <c r="W268" i="2"/>
  <c r="W275" i="2"/>
  <c r="W289" i="2"/>
  <c r="W371" i="2"/>
  <c r="W349" i="2"/>
  <c r="W350" i="2"/>
  <c r="W351" i="2"/>
  <c r="W326" i="2"/>
  <c r="W210" i="2"/>
  <c r="W86" i="2"/>
  <c r="W95" i="2"/>
  <c r="W120" i="2"/>
  <c r="W129" i="2"/>
  <c r="W144" i="2"/>
  <c r="W147" i="2"/>
  <c r="W161" i="2"/>
  <c r="W166" i="2"/>
  <c r="W203" i="2"/>
  <c r="W207" i="2"/>
  <c r="W211" i="2"/>
  <c r="W221" i="2"/>
  <c r="W225" i="2"/>
  <c r="W229" i="2"/>
  <c r="W233" i="2"/>
  <c r="W234" i="2"/>
  <c r="W237" i="2"/>
  <c r="W238" i="2"/>
  <c r="W242" i="2"/>
  <c r="W266" i="2"/>
  <c r="W274" i="2"/>
  <c r="W288" i="2"/>
  <c r="W304" i="2"/>
  <c r="W368" i="2"/>
  <c r="W360" i="2"/>
  <c r="W190" i="2"/>
  <c r="W191" i="2"/>
  <c r="W194" i="2"/>
  <c r="W195" i="2"/>
  <c r="W348" i="2"/>
  <c r="W323" i="2"/>
  <c r="W331" i="2"/>
  <c r="W175" i="2"/>
  <c r="W202" i="2"/>
  <c r="W68" i="2"/>
  <c r="W82" i="2"/>
  <c r="W90" i="2"/>
  <c r="W74" i="2"/>
  <c r="W83" i="2"/>
  <c r="W93" i="2"/>
  <c r="W102" i="2"/>
  <c r="W105" i="2"/>
  <c r="W112" i="2"/>
  <c r="W111" i="2"/>
  <c r="W119" i="2"/>
  <c r="W128" i="2"/>
  <c r="W132" i="2"/>
  <c r="W134" i="2"/>
  <c r="W135" i="2"/>
  <c r="W142" i="2"/>
  <c r="W145" i="2"/>
  <c r="W159" i="2"/>
  <c r="W164" i="2"/>
  <c r="W200" i="2"/>
  <c r="W204" i="2"/>
  <c r="W208" i="2"/>
  <c r="W212" i="2"/>
  <c r="W224" i="2"/>
  <c r="W228" i="2"/>
  <c r="W241" i="2"/>
  <c r="W261" i="2"/>
  <c r="W273" i="2"/>
  <c r="W278" i="2"/>
  <c r="W291" i="2"/>
  <c r="W352" i="2"/>
  <c r="W321" i="2"/>
  <c r="W329" i="2"/>
  <c r="W79" i="2"/>
  <c r="W85" i="2"/>
  <c r="W89" i="2"/>
  <c r="W104" i="2"/>
  <c r="W124" i="2"/>
  <c r="W72" i="2"/>
  <c r="W80" i="2"/>
  <c r="W84" i="2"/>
  <c r="W88" i="2"/>
  <c r="W106" i="2"/>
  <c r="W108" i="2"/>
  <c r="W118" i="2"/>
  <c r="W123" i="2"/>
  <c r="W127" i="2"/>
  <c r="W131" i="2"/>
  <c r="W138" i="2"/>
  <c r="W140" i="2"/>
  <c r="W187" i="2"/>
  <c r="W201" i="2"/>
  <c r="W205" i="2"/>
  <c r="W209" i="2"/>
  <c r="W213" i="2"/>
  <c r="W223" i="2"/>
  <c r="W227" i="2"/>
  <c r="W232" i="2"/>
  <c r="W235" i="2"/>
  <c r="W236" i="2"/>
  <c r="W239" i="2"/>
  <c r="W240" i="2"/>
  <c r="W244" i="2"/>
  <c r="W257" i="2"/>
  <c r="W363" i="2"/>
  <c r="W290" i="2"/>
  <c r="W298" i="2"/>
  <c r="W387" i="2"/>
  <c r="W189" i="2"/>
  <c r="W192" i="2"/>
  <c r="W193" i="2"/>
  <c r="W196" i="2"/>
  <c r="W327" i="2"/>
  <c r="AC4" i="2" l="1"/>
  <c r="K4" i="2"/>
  <c r="R33" i="2"/>
  <c r="S33" i="2" s="1"/>
  <c r="R32" i="2"/>
  <c r="S32" i="2" s="1"/>
  <c r="R301" i="2"/>
  <c r="S301" i="2" s="1"/>
  <c r="R311" i="2"/>
  <c r="S311" i="2" s="1"/>
  <c r="R403" i="2"/>
  <c r="S403" i="2" s="1"/>
  <c r="R308" i="2"/>
  <c r="S308" i="2" s="1"/>
  <c r="R198" i="2"/>
  <c r="S198" i="2" s="1"/>
  <c r="R51" i="2"/>
  <c r="S51" i="2" s="1"/>
  <c r="R404" i="2"/>
  <c r="S404" i="2" s="1"/>
  <c r="R402" i="2"/>
  <c r="S402" i="2" s="1"/>
  <c r="R396" i="2"/>
  <c r="S396" i="2" s="1"/>
  <c r="R401" i="2"/>
  <c r="S401" i="2" s="1"/>
  <c r="R408" i="2"/>
  <c r="S408" i="2" s="1"/>
  <c r="R385" i="2"/>
  <c r="S385" i="2" s="1"/>
  <c r="R334" i="2"/>
  <c r="S334" i="2" s="1"/>
  <c r="C2" i="2" l="1"/>
  <c r="K3" i="2"/>
  <c r="R43" i="7"/>
  <c r="S43" i="7"/>
  <c r="T43" i="7"/>
  <c r="R40" i="7"/>
  <c r="T40" i="7"/>
  <c r="R41" i="7"/>
  <c r="T41" i="7"/>
  <c r="S42" i="7"/>
  <c r="T42" i="7"/>
  <c r="Q12" i="7"/>
  <c r="R39" i="7"/>
  <c r="S39" i="7"/>
  <c r="T39" i="7"/>
  <c r="D5" i="26"/>
  <c r="BQ5" i="26" l="1"/>
  <c r="CD5" i="26"/>
  <c r="AU70" i="15"/>
  <c r="AU69" i="15"/>
  <c r="AU67" i="15"/>
  <c r="AU66" i="15"/>
  <c r="AU65" i="15"/>
  <c r="AU64" i="15"/>
  <c r="AU63" i="15"/>
  <c r="AU62" i="15"/>
  <c r="AU61" i="15"/>
  <c r="AT57" i="15"/>
  <c r="AV61" i="15" l="1"/>
  <c r="AV62" i="15"/>
  <c r="AV63" i="15"/>
  <c r="AV64" i="15"/>
  <c r="AV65" i="15"/>
  <c r="AV66" i="15"/>
  <c r="AV67" i="15"/>
  <c r="AV69" i="15"/>
  <c r="AW62" i="15"/>
  <c r="AW63" i="15"/>
  <c r="AW64" i="15"/>
  <c r="AW65" i="15"/>
  <c r="AW66" i="15"/>
  <c r="AW67" i="15"/>
  <c r="AW69" i="15"/>
  <c r="AV70" i="15"/>
  <c r="AW70" i="15"/>
  <c r="AW61" i="15"/>
  <c r="BK60" i="15"/>
  <c r="BJ60" i="15"/>
  <c r="BI60" i="15"/>
  <c r="BH60" i="15"/>
  <c r="BG60" i="15"/>
  <c r="BF60" i="15"/>
  <c r="BE60" i="15"/>
  <c r="BD60" i="15"/>
  <c r="BC60" i="15"/>
  <c r="BB60" i="15"/>
  <c r="BA60" i="15"/>
  <c r="AZ60" i="15"/>
  <c r="AY60" i="15"/>
  <c r="AX60" i="15"/>
  <c r="AW60" i="15"/>
  <c r="AV60" i="15"/>
  <c r="AU60" i="15"/>
  <c r="AT60" i="15"/>
  <c r="AS60" i="15"/>
  <c r="AR60" i="15"/>
  <c r="AQ60" i="15"/>
  <c r="AP60" i="15"/>
  <c r="AO60" i="15"/>
  <c r="AN60" i="15"/>
  <c r="AM60" i="15"/>
  <c r="AL60" i="15"/>
  <c r="AK60" i="15"/>
  <c r="AJ60" i="15"/>
  <c r="AI60" i="15"/>
  <c r="AH60" i="15"/>
  <c r="AG60" i="15"/>
  <c r="AF60" i="15"/>
  <c r="AE60" i="15"/>
  <c r="AD60" i="15"/>
  <c r="AC60" i="15"/>
  <c r="AB60" i="15"/>
  <c r="AA60" i="15"/>
  <c r="Z60" i="15"/>
  <c r="Y60" i="15"/>
  <c r="X60" i="15"/>
  <c r="W60" i="15"/>
  <c r="V60" i="15"/>
  <c r="U60" i="15"/>
  <c r="T60" i="15"/>
  <c r="S60" i="15"/>
  <c r="R60" i="15"/>
  <c r="Q60" i="15"/>
  <c r="P60" i="15"/>
  <c r="O60" i="15"/>
  <c r="N60" i="15"/>
  <c r="M60" i="15"/>
  <c r="L60" i="15"/>
  <c r="K60" i="15"/>
  <c r="J60" i="15"/>
  <c r="I60" i="15"/>
  <c r="H60" i="15"/>
  <c r="G60" i="15"/>
  <c r="F60" i="15"/>
  <c r="E60" i="15"/>
  <c r="D60" i="15"/>
  <c r="C60" i="15"/>
  <c r="AW80" i="15"/>
  <c r="AV80" i="15"/>
  <c r="AU80" i="15"/>
  <c r="AT80" i="15"/>
  <c r="AS80" i="15"/>
  <c r="AR80" i="15"/>
  <c r="AQ80" i="15"/>
  <c r="AP80" i="15"/>
  <c r="AO80" i="15"/>
  <c r="AN80" i="15"/>
  <c r="AM80" i="15"/>
  <c r="AL80" i="15"/>
  <c r="AK80" i="15"/>
  <c r="AJ80" i="15"/>
  <c r="AI80" i="15"/>
  <c r="AH80" i="15"/>
  <c r="AG80" i="15"/>
  <c r="AF80" i="15"/>
  <c r="AE80" i="15"/>
  <c r="AD80" i="15"/>
  <c r="AC80" i="15"/>
  <c r="AB80" i="15"/>
  <c r="AA80" i="15"/>
  <c r="Z80" i="15"/>
  <c r="Y80" i="15"/>
  <c r="X80" i="15"/>
  <c r="AB40" i="15" l="1"/>
  <c r="AC41" i="15"/>
  <c r="AC40" i="15"/>
  <c r="AD41" i="15"/>
  <c r="AD40" i="15"/>
  <c r="AE41" i="15"/>
  <c r="AE40" i="15"/>
  <c r="AF41" i="15"/>
  <c r="AG41" i="15"/>
  <c r="AF40" i="15"/>
  <c r="AK41" i="15"/>
  <c r="AJ41" i="15"/>
  <c r="AI41" i="15"/>
  <c r="AG40" i="15"/>
  <c r="AH40" i="15"/>
  <c r="AI40" i="15"/>
  <c r="AJ40" i="15"/>
  <c r="AH41" i="15"/>
  <c r="AL41" i="15"/>
  <c r="AK40" i="15"/>
  <c r="AA44" i="15"/>
  <c r="AB44" i="15"/>
  <c r="AC44" i="15"/>
  <c r="AD44" i="15"/>
  <c r="AD45" i="15" s="1"/>
  <c r="AE44" i="15"/>
  <c r="AF44" i="15"/>
  <c r="AG44" i="15"/>
  <c r="AH44" i="15"/>
  <c r="AH45" i="15" s="1"/>
  <c r="AI44" i="15"/>
  <c r="AJ44" i="15"/>
  <c r="AK44" i="15"/>
  <c r="AL44" i="15"/>
  <c r="AL45" i="15" s="1"/>
  <c r="AM44" i="15"/>
  <c r="AN44" i="15"/>
  <c r="AO44" i="15"/>
  <c r="AP44" i="15"/>
  <c r="AP45" i="15" s="1"/>
  <c r="AB45" i="15"/>
  <c r="AC45" i="15"/>
  <c r="AE45" i="15"/>
  <c r="AF45" i="15"/>
  <c r="AG45" i="15"/>
  <c r="AI45" i="15"/>
  <c r="AJ45" i="15"/>
  <c r="AK45" i="15"/>
  <c r="AM45" i="15"/>
  <c r="AN45" i="15"/>
  <c r="AO45" i="15"/>
  <c r="AP37" i="15" l="1"/>
  <c r="AQ37" i="15"/>
  <c r="AR37" i="15"/>
  <c r="AP36" i="15"/>
  <c r="AQ36" i="15"/>
  <c r="AR36" i="15"/>
  <c r="AH29" i="15"/>
  <c r="AI29" i="15"/>
  <c r="AJ29" i="15"/>
  <c r="AK29" i="15"/>
  <c r="AL29" i="15"/>
  <c r="AM29" i="15"/>
  <c r="AN29" i="15"/>
  <c r="AT29" i="15"/>
  <c r="AU29" i="15"/>
  <c r="AV29" i="15"/>
  <c r="AW29" i="15"/>
  <c r="AS29" i="15"/>
  <c r="AR29" i="15"/>
  <c r="AQ29" i="15"/>
  <c r="AP29" i="15"/>
  <c r="AO29" i="15"/>
  <c r="AS26" i="15"/>
  <c r="AR26" i="15"/>
  <c r="AQ26" i="15"/>
  <c r="AP26" i="15"/>
  <c r="AO26" i="15"/>
  <c r="AN25" i="15"/>
  <c r="AO25" i="15"/>
  <c r="AP25" i="15"/>
  <c r="AS25" i="15"/>
  <c r="AR25" i="15"/>
  <c r="AQ25" i="15"/>
  <c r="AQ23" i="15"/>
  <c r="AP23" i="15"/>
  <c r="AO23" i="15"/>
  <c r="AO20" i="15"/>
  <c r="AP20" i="15"/>
  <c r="AG28" i="15"/>
  <c r="AH28" i="15"/>
  <c r="AI28" i="15"/>
  <c r="AJ28" i="15"/>
  <c r="AK28" i="15"/>
  <c r="AL28" i="15"/>
  <c r="AM28" i="15"/>
  <c r="AN28" i="15"/>
  <c r="AP28" i="15"/>
  <c r="AQ28" i="15"/>
  <c r="AR28" i="15"/>
  <c r="AS28" i="15"/>
  <c r="AT28" i="15"/>
  <c r="AU28" i="15"/>
  <c r="AV28" i="15"/>
  <c r="AW28" i="15"/>
  <c r="AO28" i="15"/>
  <c r="AX93" i="15"/>
  <c r="AQ96" i="15"/>
  <c r="AM41" i="15"/>
  <c r="AN41" i="15"/>
  <c r="AO41" i="15"/>
  <c r="AP41" i="15"/>
  <c r="AQ41" i="15"/>
  <c r="AR41" i="15"/>
  <c r="AL40" i="15"/>
  <c r="AM40" i="15"/>
  <c r="AN40" i="15"/>
  <c r="AO40" i="15"/>
  <c r="AP40" i="15"/>
  <c r="AQ40" i="15"/>
  <c r="AR40" i="15"/>
  <c r="AP96" i="15"/>
  <c r="AO96" i="15"/>
  <c r="AN96" i="15"/>
  <c r="AM96" i="15"/>
  <c r="AL96" i="15"/>
  <c r="AK96" i="15"/>
  <c r="AI96" i="15"/>
  <c r="AJ96" i="15"/>
  <c r="AS23" i="15"/>
  <c r="AR23" i="15"/>
  <c r="AQ20" i="15"/>
  <c r="AR20" i="15"/>
  <c r="AS20" i="15"/>
  <c r="AH96" i="15"/>
  <c r="AG96" i="15"/>
  <c r="AF96" i="15"/>
  <c r="AE96" i="15"/>
  <c r="AD96" i="15"/>
  <c r="AJ89" i="15"/>
  <c r="AK89" i="15"/>
  <c r="AL89" i="15"/>
  <c r="AM89" i="15"/>
  <c r="AN89" i="15"/>
  <c r="AO89" i="15"/>
  <c r="AP89" i="15"/>
  <c r="AQ89" i="15"/>
  <c r="AW89" i="15"/>
  <c r="AV89" i="15"/>
  <c r="AU89" i="15"/>
  <c r="AT89" i="15"/>
  <c r="AS89" i="15"/>
  <c r="AK93" i="15"/>
  <c r="AL93" i="15"/>
  <c r="AM93" i="15"/>
  <c r="AN93" i="15"/>
  <c r="AO93" i="15"/>
  <c r="AP93" i="15"/>
  <c r="AQ93" i="15"/>
  <c r="AR93" i="15"/>
  <c r="AW93" i="15"/>
  <c r="AW45" i="15"/>
  <c r="AW44" i="15"/>
  <c r="AQ44" i="15"/>
  <c r="AQ45" i="15" s="1"/>
  <c r="AR44" i="15"/>
  <c r="AR45" i="15" s="1"/>
  <c r="AR89" i="15"/>
  <c r="AT119" i="15" l="1"/>
  <c r="BK138" i="15"/>
  <c r="BJ138" i="15"/>
  <c r="BI138" i="15"/>
  <c r="BH138" i="15"/>
  <c r="BG138" i="15"/>
  <c r="BF138" i="15"/>
  <c r="BE138" i="15"/>
  <c r="BD138" i="15"/>
  <c r="BC138" i="15"/>
  <c r="BB138" i="15"/>
  <c r="BA138" i="15"/>
  <c r="AZ138" i="15"/>
  <c r="AY138" i="15"/>
  <c r="AX138" i="15"/>
  <c r="AW138" i="15"/>
  <c r="AV138" i="15"/>
  <c r="AU138" i="15"/>
  <c r="AT138" i="15"/>
  <c r="AS138" i="15"/>
  <c r="AR138" i="15"/>
  <c r="AQ138" i="15"/>
  <c r="AP138" i="15"/>
  <c r="AO138" i="15"/>
  <c r="AN138" i="15"/>
  <c r="AM138" i="15"/>
  <c r="AL138" i="15"/>
  <c r="AK138" i="15"/>
  <c r="AJ138" i="15"/>
  <c r="AI138" i="15"/>
  <c r="AH138" i="15"/>
  <c r="AG138" i="15"/>
  <c r="AF138" i="15"/>
  <c r="AE138" i="15"/>
  <c r="AD138" i="15"/>
  <c r="AC138" i="15"/>
  <c r="AB138" i="15"/>
  <c r="AA138" i="15"/>
  <c r="Z138" i="15"/>
  <c r="Y138" i="15"/>
  <c r="X138" i="15"/>
  <c r="W138" i="15"/>
  <c r="V138" i="15"/>
  <c r="U138" i="15"/>
  <c r="T138" i="15"/>
  <c r="S138" i="15"/>
  <c r="R138" i="15"/>
  <c r="Q138" i="15"/>
  <c r="P138" i="15"/>
  <c r="O138" i="15"/>
  <c r="N138" i="15"/>
  <c r="M138" i="15"/>
  <c r="L138" i="15"/>
  <c r="K138" i="15"/>
  <c r="J138" i="15"/>
  <c r="I138" i="15"/>
  <c r="H138" i="15"/>
  <c r="G138" i="15"/>
  <c r="F138" i="15"/>
  <c r="E138" i="15"/>
  <c r="D138" i="15"/>
  <c r="C138" i="15"/>
  <c r="BG3" i="15"/>
  <c r="BH3" i="15"/>
  <c r="BI3" i="15"/>
  <c r="BJ3" i="15"/>
  <c r="BK3" i="15"/>
  <c r="BG11" i="15"/>
  <c r="BH11" i="15"/>
  <c r="BI11" i="15"/>
  <c r="BJ11" i="15"/>
  <c r="BK11" i="15"/>
  <c r="BG18" i="15"/>
  <c r="BH18" i="15"/>
  <c r="BI18" i="15"/>
  <c r="BJ18" i="15"/>
  <c r="BK18" i="15"/>
  <c r="BG78" i="15"/>
  <c r="BH78" i="15"/>
  <c r="BI78" i="15"/>
  <c r="BJ78" i="15"/>
  <c r="BK78" i="15"/>
  <c r="BG123" i="15"/>
  <c r="BH123" i="15"/>
  <c r="BI123" i="15"/>
  <c r="BJ123" i="15"/>
  <c r="BK123" i="15"/>
  <c r="BG48" i="15"/>
  <c r="BH48" i="15"/>
  <c r="BI48" i="15"/>
  <c r="BJ48" i="15"/>
  <c r="BK48" i="15"/>
  <c r="BG107" i="15"/>
  <c r="BH107" i="15"/>
  <c r="BI107" i="15"/>
  <c r="BJ107" i="15"/>
  <c r="BK107" i="15"/>
  <c r="BF107" i="15"/>
  <c r="BE107" i="15"/>
  <c r="BD107" i="15"/>
  <c r="BC107" i="15"/>
  <c r="BB107" i="15"/>
  <c r="BA107" i="15"/>
  <c r="AZ107" i="15"/>
  <c r="AY107" i="15"/>
  <c r="AX107" i="15"/>
  <c r="AW107" i="15"/>
  <c r="BF48" i="15"/>
  <c r="BE48" i="15"/>
  <c r="BD48" i="15"/>
  <c r="BC48" i="15"/>
  <c r="BB48" i="15"/>
  <c r="BA48" i="15"/>
  <c r="AZ48" i="15"/>
  <c r="AY48" i="15"/>
  <c r="AX48" i="15"/>
  <c r="AW48" i="15"/>
  <c r="BF123" i="15"/>
  <c r="BE123" i="15"/>
  <c r="BD123" i="15"/>
  <c r="BC123" i="15"/>
  <c r="BB123" i="15"/>
  <c r="BA123" i="15"/>
  <c r="AZ123" i="15"/>
  <c r="AY123" i="15"/>
  <c r="AX123" i="15"/>
  <c r="AW123" i="15"/>
  <c r="BF78" i="15"/>
  <c r="BE78" i="15"/>
  <c r="BD78" i="15"/>
  <c r="BC78" i="15"/>
  <c r="BB78" i="15"/>
  <c r="BA78" i="15"/>
  <c r="AZ78" i="15"/>
  <c r="AY78" i="15"/>
  <c r="AX78" i="15"/>
  <c r="AW78" i="15"/>
  <c r="BF18" i="15"/>
  <c r="BE18" i="15"/>
  <c r="BD18" i="15"/>
  <c r="BC18" i="15"/>
  <c r="BB18" i="15"/>
  <c r="BA18" i="15"/>
  <c r="AZ18" i="15"/>
  <c r="AY18" i="15"/>
  <c r="AX18" i="15"/>
  <c r="AW18" i="15"/>
  <c r="AX11" i="15"/>
  <c r="AY11" i="15"/>
  <c r="AZ11" i="15"/>
  <c r="BA11" i="15"/>
  <c r="BB11" i="15"/>
  <c r="BC11" i="15"/>
  <c r="BD11" i="15"/>
  <c r="BE11" i="15"/>
  <c r="BF11" i="15"/>
  <c r="AX3" i="15"/>
  <c r="AY3" i="15"/>
  <c r="AZ3" i="15"/>
  <c r="BA3" i="15"/>
  <c r="BB3" i="15"/>
  <c r="BC3" i="15"/>
  <c r="BD3" i="15"/>
  <c r="BE3" i="15"/>
  <c r="BF3" i="15"/>
  <c r="AV123" i="15"/>
  <c r="AU123" i="15"/>
  <c r="AT123" i="15"/>
  <c r="AS123" i="15"/>
  <c r="AR123" i="15"/>
  <c r="AQ123" i="15"/>
  <c r="AP123" i="15"/>
  <c r="AO123" i="15"/>
  <c r="AN123" i="15"/>
  <c r="AM123" i="15"/>
  <c r="AL123" i="15"/>
  <c r="AK123" i="15"/>
  <c r="AJ123" i="15"/>
  <c r="AI123" i="15"/>
  <c r="AH123" i="15"/>
  <c r="AG123" i="15"/>
  <c r="AF123" i="15"/>
  <c r="AE123" i="15"/>
  <c r="AD123" i="15"/>
  <c r="AC123" i="15"/>
  <c r="AB123" i="15"/>
  <c r="AA123" i="15"/>
  <c r="Z123" i="15"/>
  <c r="Y123" i="15"/>
  <c r="X123" i="15"/>
  <c r="W123" i="15"/>
  <c r="V123" i="15"/>
  <c r="U123" i="15"/>
  <c r="T123" i="15"/>
  <c r="S123" i="15"/>
  <c r="R123" i="15"/>
  <c r="Q123" i="15"/>
  <c r="P123" i="15"/>
  <c r="O123" i="15"/>
  <c r="N123" i="15"/>
  <c r="M123" i="15"/>
  <c r="L123" i="15"/>
  <c r="K123" i="15"/>
  <c r="J123" i="15"/>
  <c r="I123" i="15"/>
  <c r="H123" i="15"/>
  <c r="G123" i="15"/>
  <c r="F123" i="15"/>
  <c r="E123" i="15"/>
  <c r="D123" i="15"/>
  <c r="C123" i="15"/>
  <c r="AV78" i="15"/>
  <c r="AU78" i="15"/>
  <c r="AT78" i="15"/>
  <c r="AS78" i="15"/>
  <c r="AR78" i="15"/>
  <c r="AQ78" i="15"/>
  <c r="AP78" i="15"/>
  <c r="AO78" i="15"/>
  <c r="AN78" i="15"/>
  <c r="AM78" i="15"/>
  <c r="AL78" i="15"/>
  <c r="AK78" i="15"/>
  <c r="AJ78" i="15"/>
  <c r="AI78" i="15"/>
  <c r="AH78" i="15"/>
  <c r="AG78" i="15"/>
  <c r="AF78" i="15"/>
  <c r="AE78" i="15"/>
  <c r="AD78" i="15"/>
  <c r="AC78" i="15"/>
  <c r="AB78" i="15"/>
  <c r="AA78" i="15"/>
  <c r="Z78" i="15"/>
  <c r="Y78" i="15"/>
  <c r="X78" i="15"/>
  <c r="W78" i="15"/>
  <c r="V78" i="15"/>
  <c r="U78" i="15"/>
  <c r="T78" i="15"/>
  <c r="S78" i="15"/>
  <c r="R78" i="15"/>
  <c r="Q78" i="15"/>
  <c r="P78" i="15"/>
  <c r="O78" i="15"/>
  <c r="N78" i="15"/>
  <c r="M78" i="15"/>
  <c r="L78" i="15"/>
  <c r="K78" i="15"/>
  <c r="J78" i="15"/>
  <c r="I78" i="15"/>
  <c r="H78" i="15"/>
  <c r="G78" i="15"/>
  <c r="F78" i="15"/>
  <c r="E78" i="15"/>
  <c r="D78" i="15"/>
  <c r="C78" i="15"/>
  <c r="AV18" i="15"/>
  <c r="AU18" i="15"/>
  <c r="AT18" i="15"/>
  <c r="AS18" i="15"/>
  <c r="AR18" i="15"/>
  <c r="AQ18" i="15"/>
  <c r="AP18" i="15"/>
  <c r="AO18" i="15"/>
  <c r="AN18" i="15"/>
  <c r="AM18" i="15"/>
  <c r="AL18" i="15"/>
  <c r="AK18" i="15"/>
  <c r="AJ18" i="15"/>
  <c r="AI18" i="15"/>
  <c r="AH18" i="15"/>
  <c r="AG18" i="15"/>
  <c r="AF18" i="15"/>
  <c r="AE18" i="15"/>
  <c r="AD18" i="15"/>
  <c r="AC18" i="15"/>
  <c r="AB18" i="15"/>
  <c r="AA18" i="15"/>
  <c r="Z18" i="15"/>
  <c r="Y18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G18" i="15"/>
  <c r="F18" i="15"/>
  <c r="E18" i="15"/>
  <c r="D18" i="15"/>
  <c r="C18" i="15"/>
  <c r="AW11" i="15"/>
  <c r="AV11" i="15"/>
  <c r="AU11" i="15"/>
  <c r="AT11" i="15"/>
  <c r="AS11" i="15"/>
  <c r="AR11" i="15"/>
  <c r="AQ11" i="15"/>
  <c r="AP11" i="15"/>
  <c r="AO11" i="15"/>
  <c r="AN11" i="15"/>
  <c r="AM11" i="15"/>
  <c r="AL11" i="15"/>
  <c r="AK11" i="15"/>
  <c r="AJ11" i="15"/>
  <c r="AI11" i="15"/>
  <c r="AH11" i="15"/>
  <c r="AG11" i="15"/>
  <c r="AF11" i="15"/>
  <c r="AE11" i="15"/>
  <c r="AD11" i="15"/>
  <c r="AC11" i="15"/>
  <c r="AB11" i="15"/>
  <c r="AA11" i="15"/>
  <c r="Z11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AW3" i="15"/>
  <c r="AV3" i="15"/>
  <c r="AU3" i="15"/>
  <c r="AT3" i="15"/>
  <c r="AS3" i="15"/>
  <c r="AR3" i="15"/>
  <c r="AQ3" i="15"/>
  <c r="AP3" i="15"/>
  <c r="AO3" i="15"/>
  <c r="AN3" i="15"/>
  <c r="AM3" i="15"/>
  <c r="AL3" i="15"/>
  <c r="AK3" i="15"/>
  <c r="AJ3" i="15"/>
  <c r="AI3" i="15"/>
  <c r="AH3" i="15"/>
  <c r="AG3" i="15"/>
  <c r="AF3" i="15"/>
  <c r="AE3" i="15"/>
  <c r="AD3" i="15"/>
  <c r="AC3" i="15"/>
  <c r="AB3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AV48" i="15"/>
  <c r="AU48" i="15"/>
  <c r="AT48" i="15"/>
  <c r="AS48" i="15"/>
  <c r="AR48" i="15"/>
  <c r="AQ48" i="15"/>
  <c r="AP48" i="15"/>
  <c r="AO48" i="15"/>
  <c r="AN48" i="15"/>
  <c r="AM48" i="15"/>
  <c r="AL48" i="15"/>
  <c r="AK48" i="15"/>
  <c r="AJ48" i="15"/>
  <c r="AI48" i="15"/>
  <c r="AH48" i="15"/>
  <c r="AG48" i="15"/>
  <c r="AF48" i="15"/>
  <c r="AE48" i="15"/>
  <c r="AD48" i="15"/>
  <c r="AC48" i="15"/>
  <c r="AB48" i="15"/>
  <c r="AA48" i="15"/>
  <c r="Z48" i="15"/>
  <c r="Y48" i="15"/>
  <c r="X48" i="15"/>
  <c r="W48" i="15"/>
  <c r="V48" i="15"/>
  <c r="U48" i="15"/>
  <c r="T48" i="15"/>
  <c r="S48" i="15"/>
  <c r="R48" i="15"/>
  <c r="Q48" i="15"/>
  <c r="P48" i="15"/>
  <c r="O48" i="15"/>
  <c r="N48" i="15"/>
  <c r="M48" i="15"/>
  <c r="L48" i="15"/>
  <c r="K48" i="15"/>
  <c r="J48" i="15"/>
  <c r="I48" i="15"/>
  <c r="H48" i="15"/>
  <c r="G48" i="15"/>
  <c r="F48" i="15"/>
  <c r="E48" i="15"/>
  <c r="D48" i="15"/>
  <c r="C48" i="15"/>
  <c r="AW119" i="15"/>
  <c r="AU119" i="15"/>
  <c r="C107" i="15"/>
  <c r="D107" i="15"/>
  <c r="E107" i="15"/>
  <c r="F107" i="15"/>
  <c r="G107" i="15"/>
  <c r="H107" i="15"/>
  <c r="I107" i="15"/>
  <c r="J107" i="15"/>
  <c r="K107" i="15"/>
  <c r="L107" i="15"/>
  <c r="M107" i="15"/>
  <c r="N107" i="15"/>
  <c r="O107" i="15"/>
  <c r="P107" i="15"/>
  <c r="Q107" i="15"/>
  <c r="R107" i="15"/>
  <c r="S107" i="15"/>
  <c r="T107" i="15"/>
  <c r="U107" i="15"/>
  <c r="V107" i="15"/>
  <c r="W107" i="15"/>
  <c r="X107" i="15"/>
  <c r="Y107" i="15"/>
  <c r="Z107" i="15"/>
  <c r="AA107" i="15"/>
  <c r="AB107" i="15"/>
  <c r="AC107" i="15"/>
  <c r="AD107" i="15"/>
  <c r="AE107" i="15"/>
  <c r="AF107" i="15"/>
  <c r="AG107" i="15"/>
  <c r="AH107" i="15"/>
  <c r="AI107" i="15"/>
  <c r="AJ107" i="15"/>
  <c r="AK107" i="15"/>
  <c r="AL107" i="15"/>
  <c r="AM107" i="15"/>
  <c r="AN107" i="15"/>
  <c r="AO107" i="15"/>
  <c r="AP107" i="15"/>
  <c r="AQ107" i="15"/>
  <c r="AR107" i="15"/>
  <c r="AS107" i="15"/>
  <c r="AT107" i="15"/>
  <c r="AU107" i="15"/>
  <c r="AV107" i="15"/>
  <c r="AQ125" i="15" l="1"/>
  <c r="AR125" i="15"/>
  <c r="AS125" i="15"/>
  <c r="AT125" i="15"/>
  <c r="AU125" i="15"/>
  <c r="AV125" i="15"/>
  <c r="AW125" i="15"/>
  <c r="AW81" i="15" l="1"/>
  <c r="AW87" i="15"/>
  <c r="AW84" i="15"/>
  <c r="AW131" i="15"/>
  <c r="AW128" i="15"/>
  <c r="AM81" i="15"/>
  <c r="AL81" i="15"/>
  <c r="AK81" i="15"/>
  <c r="AJ81" i="15"/>
  <c r="AI81" i="15"/>
  <c r="M38" i="26" l="1"/>
  <c r="L38" i="26"/>
  <c r="K38" i="26"/>
  <c r="J38" i="26"/>
  <c r="I38" i="26"/>
  <c r="H38" i="26"/>
  <c r="G38" i="26"/>
  <c r="F38" i="26"/>
  <c r="CQ38" i="26" s="1"/>
  <c r="E38" i="26"/>
  <c r="D38" i="26"/>
  <c r="E34" i="26"/>
  <c r="D34" i="26"/>
  <c r="M35" i="26"/>
  <c r="L35" i="26"/>
  <c r="K35" i="26"/>
  <c r="J35" i="26"/>
  <c r="I35" i="26"/>
  <c r="H35" i="26"/>
  <c r="G35" i="26"/>
  <c r="F35" i="26"/>
  <c r="CQ35" i="26" s="1"/>
  <c r="E35" i="26"/>
  <c r="D35" i="26"/>
  <c r="M33" i="26"/>
  <c r="L33" i="26"/>
  <c r="K33" i="26"/>
  <c r="J33" i="26"/>
  <c r="I33" i="26"/>
  <c r="H33" i="26"/>
  <c r="G33" i="26"/>
  <c r="F33" i="26"/>
  <c r="CQ33" i="26" s="1"/>
  <c r="E33" i="26"/>
  <c r="D33" i="26"/>
  <c r="M30" i="26"/>
  <c r="L30" i="26"/>
  <c r="K30" i="26"/>
  <c r="J30" i="26"/>
  <c r="I30" i="26"/>
  <c r="H30" i="26"/>
  <c r="G30" i="26"/>
  <c r="F30" i="26"/>
  <c r="CQ30" i="26" s="1"/>
  <c r="E30" i="26"/>
  <c r="D30" i="26"/>
  <c r="M31" i="26"/>
  <c r="L31" i="26"/>
  <c r="K31" i="26"/>
  <c r="J31" i="26"/>
  <c r="I31" i="26"/>
  <c r="H31" i="26"/>
  <c r="G31" i="26"/>
  <c r="F31" i="26"/>
  <c r="CQ31" i="26" s="1"/>
  <c r="E31" i="26"/>
  <c r="D31" i="26"/>
  <c r="M43" i="26"/>
  <c r="L43" i="26"/>
  <c r="K43" i="26"/>
  <c r="J43" i="26"/>
  <c r="I43" i="26"/>
  <c r="H43" i="26"/>
  <c r="G43" i="26"/>
  <c r="F43" i="26"/>
  <c r="CQ43" i="26" s="1"/>
  <c r="E43" i="26"/>
  <c r="D43" i="26"/>
  <c r="M41" i="26"/>
  <c r="L41" i="26"/>
  <c r="K41" i="26"/>
  <c r="J41" i="26"/>
  <c r="I41" i="26"/>
  <c r="H41" i="26"/>
  <c r="G41" i="26"/>
  <c r="F41" i="26"/>
  <c r="CQ41" i="26" s="1"/>
  <c r="E41" i="26"/>
  <c r="D41" i="26"/>
  <c r="M27" i="26"/>
  <c r="L27" i="26"/>
  <c r="K27" i="26"/>
  <c r="J27" i="26"/>
  <c r="I27" i="26"/>
  <c r="H27" i="26"/>
  <c r="G27" i="26"/>
  <c r="F27" i="26"/>
  <c r="CQ27" i="26" s="1"/>
  <c r="E27" i="26"/>
  <c r="D27" i="26"/>
  <c r="M25" i="26"/>
  <c r="L25" i="26"/>
  <c r="K25" i="26"/>
  <c r="J25" i="26"/>
  <c r="I25" i="26"/>
  <c r="H25" i="26"/>
  <c r="G25" i="26"/>
  <c r="F25" i="26"/>
  <c r="CQ25" i="26" s="1"/>
  <c r="E25" i="26"/>
  <c r="D25" i="26"/>
  <c r="M28" i="26"/>
  <c r="L28" i="26"/>
  <c r="K28" i="26"/>
  <c r="J28" i="26"/>
  <c r="I28" i="26"/>
  <c r="H28" i="26"/>
  <c r="G28" i="26"/>
  <c r="F28" i="26"/>
  <c r="CQ28" i="26" s="1"/>
  <c r="E28" i="26"/>
  <c r="D28" i="26"/>
  <c r="M24" i="26"/>
  <c r="L24" i="26"/>
  <c r="K24" i="26"/>
  <c r="J24" i="26"/>
  <c r="I24" i="26"/>
  <c r="H24" i="26"/>
  <c r="G24" i="26"/>
  <c r="F24" i="26"/>
  <c r="CQ24" i="26" s="1"/>
  <c r="E24" i="26"/>
  <c r="D24" i="26"/>
  <c r="M26" i="26"/>
  <c r="L26" i="26"/>
  <c r="K26" i="26"/>
  <c r="J26" i="26"/>
  <c r="I26" i="26"/>
  <c r="H26" i="26"/>
  <c r="G26" i="26"/>
  <c r="F26" i="26"/>
  <c r="CQ26" i="26" s="1"/>
  <c r="E26" i="26"/>
  <c r="D26" i="26"/>
  <c r="M21" i="26"/>
  <c r="L21" i="26"/>
  <c r="K21" i="26"/>
  <c r="J21" i="26"/>
  <c r="I21" i="26"/>
  <c r="H21" i="26"/>
  <c r="G21" i="26"/>
  <c r="F21" i="26"/>
  <c r="CQ21" i="26" s="1"/>
  <c r="E21" i="26"/>
  <c r="D21" i="26"/>
  <c r="M22" i="26"/>
  <c r="L22" i="26"/>
  <c r="K22" i="26"/>
  <c r="J22" i="26"/>
  <c r="I22" i="26"/>
  <c r="H22" i="26"/>
  <c r="G22" i="26"/>
  <c r="F22" i="26"/>
  <c r="CQ22" i="26" s="1"/>
  <c r="E22" i="26"/>
  <c r="D22" i="26"/>
  <c r="M15" i="26"/>
  <c r="L15" i="26"/>
  <c r="K15" i="26"/>
  <c r="J15" i="26"/>
  <c r="I15" i="26"/>
  <c r="H15" i="26"/>
  <c r="G15" i="26"/>
  <c r="F15" i="26"/>
  <c r="CQ15" i="26" s="1"/>
  <c r="E15" i="26"/>
  <c r="D15" i="26"/>
  <c r="M14" i="26"/>
  <c r="L14" i="26"/>
  <c r="K14" i="26"/>
  <c r="J14" i="26"/>
  <c r="I14" i="26"/>
  <c r="H14" i="26"/>
  <c r="G14" i="26"/>
  <c r="F14" i="26"/>
  <c r="CQ14" i="26" s="1"/>
  <c r="E14" i="26"/>
  <c r="D14" i="26"/>
  <c r="R265" i="2"/>
  <c r="S265" i="2" s="1"/>
  <c r="R264" i="2"/>
  <c r="S264" i="2" s="1"/>
  <c r="M13" i="26"/>
  <c r="L13" i="26"/>
  <c r="K13" i="26"/>
  <c r="J13" i="26"/>
  <c r="I13" i="26"/>
  <c r="H13" i="26"/>
  <c r="G13" i="26"/>
  <c r="F13" i="26"/>
  <c r="CQ13" i="26" s="1"/>
  <c r="E13" i="26"/>
  <c r="D13" i="26"/>
  <c r="M12" i="26"/>
  <c r="L12" i="26"/>
  <c r="K12" i="26"/>
  <c r="J12" i="26"/>
  <c r="I12" i="26"/>
  <c r="H12" i="26"/>
  <c r="G12" i="26"/>
  <c r="F12" i="26"/>
  <c r="CQ12" i="26" s="1"/>
  <c r="E12" i="26"/>
  <c r="D12" i="26"/>
  <c r="M7" i="26"/>
  <c r="L7" i="26"/>
  <c r="K7" i="26"/>
  <c r="J7" i="26"/>
  <c r="I7" i="26"/>
  <c r="H7" i="26"/>
  <c r="G7" i="26"/>
  <c r="F7" i="26"/>
  <c r="CQ7" i="26" s="1"/>
  <c r="E7" i="26"/>
  <c r="D7" i="26"/>
  <c r="CD7" i="26" s="1"/>
  <c r="M9" i="26"/>
  <c r="L9" i="26"/>
  <c r="K9" i="26"/>
  <c r="J9" i="26"/>
  <c r="M19" i="26"/>
  <c r="L19" i="26"/>
  <c r="K19" i="26"/>
  <c r="J19" i="26"/>
  <c r="M5" i="26"/>
  <c r="L5" i="26"/>
  <c r="K5" i="26"/>
  <c r="J5" i="26"/>
  <c r="J8" i="26"/>
  <c r="K8" i="26"/>
  <c r="L8" i="26"/>
  <c r="M8" i="26"/>
  <c r="J10" i="26"/>
  <c r="K10" i="26"/>
  <c r="L10" i="26"/>
  <c r="M10" i="26"/>
  <c r="J11" i="26"/>
  <c r="K11" i="26"/>
  <c r="L11" i="26"/>
  <c r="M11" i="26"/>
  <c r="J18" i="26"/>
  <c r="K18" i="26"/>
  <c r="L18" i="26"/>
  <c r="M18" i="26"/>
  <c r="J20" i="26"/>
  <c r="K20" i="26"/>
  <c r="L20" i="26"/>
  <c r="M20" i="26"/>
  <c r="J23" i="26"/>
  <c r="K23" i="26"/>
  <c r="L23" i="26"/>
  <c r="M23" i="26"/>
  <c r="J32" i="26"/>
  <c r="K32" i="26"/>
  <c r="L32" i="26"/>
  <c r="M32" i="26"/>
  <c r="M6" i="26"/>
  <c r="L6" i="26"/>
  <c r="K6" i="26"/>
  <c r="J6" i="26"/>
  <c r="I9" i="26"/>
  <c r="H9" i="26"/>
  <c r="G9" i="26"/>
  <c r="F9" i="26"/>
  <c r="CQ9" i="26" s="1"/>
  <c r="E9" i="26"/>
  <c r="D9" i="26"/>
  <c r="D19" i="26"/>
  <c r="E19" i="26"/>
  <c r="F19" i="26"/>
  <c r="CQ19" i="26" s="1"/>
  <c r="G19" i="26"/>
  <c r="H19" i="26"/>
  <c r="I19" i="26"/>
  <c r="I5" i="26"/>
  <c r="H5" i="26"/>
  <c r="G5" i="26"/>
  <c r="F5" i="26"/>
  <c r="CQ5" i="26" s="1"/>
  <c r="E5" i="26"/>
  <c r="D8" i="26"/>
  <c r="E8" i="26"/>
  <c r="F8" i="26"/>
  <c r="CQ8" i="26" s="1"/>
  <c r="G8" i="26"/>
  <c r="H8" i="26"/>
  <c r="I8" i="26"/>
  <c r="D10" i="26"/>
  <c r="E10" i="26"/>
  <c r="F10" i="26"/>
  <c r="CQ10" i="26" s="1"/>
  <c r="G10" i="26"/>
  <c r="H10" i="26"/>
  <c r="I10" i="26"/>
  <c r="D11" i="26"/>
  <c r="E11" i="26"/>
  <c r="F11" i="26"/>
  <c r="CQ11" i="26" s="1"/>
  <c r="G11" i="26"/>
  <c r="H11" i="26"/>
  <c r="I11" i="26"/>
  <c r="D18" i="26"/>
  <c r="E18" i="26"/>
  <c r="F18" i="26"/>
  <c r="CQ18" i="26" s="1"/>
  <c r="G18" i="26"/>
  <c r="H18" i="26"/>
  <c r="I18" i="26"/>
  <c r="D20" i="26"/>
  <c r="E20" i="26"/>
  <c r="F20" i="26"/>
  <c r="CQ20" i="26" s="1"/>
  <c r="G20" i="26"/>
  <c r="H20" i="26"/>
  <c r="I20" i="26"/>
  <c r="D23" i="26"/>
  <c r="E23" i="26"/>
  <c r="F23" i="26"/>
  <c r="CQ23" i="26" s="1"/>
  <c r="G23" i="26"/>
  <c r="H23" i="26"/>
  <c r="I23" i="26"/>
  <c r="D32" i="26"/>
  <c r="E32" i="26"/>
  <c r="F32" i="26"/>
  <c r="CQ32" i="26" s="1"/>
  <c r="G32" i="26"/>
  <c r="H32" i="26"/>
  <c r="I32" i="26"/>
  <c r="I6" i="26"/>
  <c r="H6" i="26"/>
  <c r="G6" i="26"/>
  <c r="F6" i="26"/>
  <c r="CQ6" i="26" s="1"/>
  <c r="E6" i="26"/>
  <c r="D6" i="26"/>
  <c r="AC3" i="2"/>
  <c r="R346" i="2"/>
  <c r="S346" i="2" s="1"/>
  <c r="R345" i="2"/>
  <c r="S345" i="2" s="1"/>
  <c r="R361" i="2"/>
  <c r="S361" i="2" s="1"/>
  <c r="CT7" i="26" l="1"/>
  <c r="CT13" i="26"/>
  <c r="CT26" i="26"/>
  <c r="CT31" i="26"/>
  <c r="CT33" i="26"/>
  <c r="CT20" i="26"/>
  <c r="CT8" i="26"/>
  <c r="CT32" i="26"/>
  <c r="CT11" i="26"/>
  <c r="CT5" i="26"/>
  <c r="CT9" i="26"/>
  <c r="CT15" i="26"/>
  <c r="CT21" i="26"/>
  <c r="CT24" i="26"/>
  <c r="CT27" i="26"/>
  <c r="CT43" i="26"/>
  <c r="CT30" i="26"/>
  <c r="CT38" i="26"/>
  <c r="CT23" i="26"/>
  <c r="CT18" i="26"/>
  <c r="CT6" i="26"/>
  <c r="CT19" i="26"/>
  <c r="CT12" i="26"/>
  <c r="CT14" i="26"/>
  <c r="CT22" i="26"/>
  <c r="CT28" i="26"/>
  <c r="CT41" i="26"/>
  <c r="CT35" i="26"/>
  <c r="CT10" i="26"/>
  <c r="CE5" i="26"/>
  <c r="BR6" i="26"/>
  <c r="R6" i="26"/>
  <c r="AR6" i="26" s="1"/>
  <c r="CE6" i="26"/>
  <c r="BS32" i="26"/>
  <c r="S32" i="26"/>
  <c r="AS32" i="26" s="1"/>
  <c r="CF32" i="26"/>
  <c r="BS20" i="26"/>
  <c r="S20" i="26"/>
  <c r="AS20" i="26" s="1"/>
  <c r="CF20" i="26"/>
  <c r="BQ18" i="26"/>
  <c r="CD18" i="26"/>
  <c r="BU10" i="26"/>
  <c r="CH10" i="26"/>
  <c r="U10" i="26"/>
  <c r="AU10" i="26" s="1"/>
  <c r="BS8" i="26"/>
  <c r="S8" i="26"/>
  <c r="AS8" i="26" s="1"/>
  <c r="CF8" i="26"/>
  <c r="BV19" i="26"/>
  <c r="V19" i="26"/>
  <c r="AV19" i="26" s="1"/>
  <c r="CI19" i="26"/>
  <c r="BS9" i="26"/>
  <c r="S9" i="26"/>
  <c r="AS9" i="26" s="1"/>
  <c r="CF9" i="26"/>
  <c r="BW32" i="26"/>
  <c r="W32" i="26"/>
  <c r="AW32" i="26" s="1"/>
  <c r="CJ32" i="26"/>
  <c r="BW20" i="26"/>
  <c r="CJ20" i="26"/>
  <c r="W20" i="26"/>
  <c r="AW20" i="26" s="1"/>
  <c r="BW11" i="26"/>
  <c r="W11" i="26"/>
  <c r="AW11" i="26" s="1"/>
  <c r="CJ11" i="26"/>
  <c r="BW8" i="26"/>
  <c r="W8" i="26"/>
  <c r="AW8" i="26" s="1"/>
  <c r="CJ8" i="26"/>
  <c r="BZ19" i="26"/>
  <c r="Z19" i="26"/>
  <c r="AZ19" i="26" s="1"/>
  <c r="CM19" i="26"/>
  <c r="BT7" i="26"/>
  <c r="T7" i="26"/>
  <c r="CG7" i="26"/>
  <c r="BR12" i="26"/>
  <c r="R12" i="26"/>
  <c r="AR12" i="26" s="1"/>
  <c r="CE12" i="26"/>
  <c r="BZ12" i="26"/>
  <c r="CM12" i="26"/>
  <c r="Z12" i="26"/>
  <c r="AZ12" i="26" s="1"/>
  <c r="BS13" i="26"/>
  <c r="S13" i="26"/>
  <c r="AS13" i="26" s="1"/>
  <c r="CF13" i="26"/>
  <c r="BR14" i="26"/>
  <c r="R14" i="26"/>
  <c r="AR14" i="26" s="1"/>
  <c r="CE14" i="26"/>
  <c r="BV14" i="26"/>
  <c r="V14" i="26"/>
  <c r="AV14" i="26" s="1"/>
  <c r="CI14" i="26"/>
  <c r="BZ14" i="26"/>
  <c r="Z14" i="26"/>
  <c r="AZ14" i="26" s="1"/>
  <c r="CM14" i="26"/>
  <c r="BS15" i="26"/>
  <c r="S15" i="26"/>
  <c r="AS15" i="26" s="1"/>
  <c r="CF15" i="26"/>
  <c r="BW15" i="26"/>
  <c r="CJ15" i="26"/>
  <c r="W15" i="26"/>
  <c r="AW15" i="26" s="1"/>
  <c r="BR22" i="26"/>
  <c r="R22" i="26"/>
  <c r="AR22" i="26" s="1"/>
  <c r="CE22" i="26"/>
  <c r="BZ22" i="26"/>
  <c r="Z22" i="26"/>
  <c r="AZ22" i="26" s="1"/>
  <c r="CM22" i="26"/>
  <c r="BW21" i="26"/>
  <c r="W21" i="26"/>
  <c r="AW21" i="26" s="1"/>
  <c r="CJ21" i="26"/>
  <c r="BX26" i="26"/>
  <c r="CK26" i="26"/>
  <c r="X26" i="26"/>
  <c r="AX26" i="26" s="1"/>
  <c r="BU24" i="26"/>
  <c r="U24" i="26"/>
  <c r="AU24" i="26" s="1"/>
  <c r="CH24" i="26"/>
  <c r="BR28" i="26"/>
  <c r="R28" i="26"/>
  <c r="AR28" i="26" s="1"/>
  <c r="CE28" i="26"/>
  <c r="BZ28" i="26"/>
  <c r="Z28" i="26"/>
  <c r="AZ28" i="26" s="1"/>
  <c r="CM28" i="26"/>
  <c r="BW25" i="26"/>
  <c r="W25" i="26"/>
  <c r="AW25" i="26" s="1"/>
  <c r="CJ25" i="26"/>
  <c r="BU27" i="26"/>
  <c r="U27" i="26"/>
  <c r="AU27" i="26" s="1"/>
  <c r="CH27" i="26"/>
  <c r="BR41" i="26"/>
  <c r="R41" i="26"/>
  <c r="AR41" i="26" s="1"/>
  <c r="CE41" i="26"/>
  <c r="BZ41" i="26"/>
  <c r="Z41" i="26"/>
  <c r="AZ41" i="26" s="1"/>
  <c r="CM41" i="26"/>
  <c r="BW43" i="26"/>
  <c r="W43" i="26"/>
  <c r="AW43" i="26" s="1"/>
  <c r="CJ43" i="26"/>
  <c r="BW31" i="26"/>
  <c r="W31" i="26"/>
  <c r="AW31" i="26" s="1"/>
  <c r="CJ31" i="26"/>
  <c r="BX30" i="26"/>
  <c r="X30" i="26"/>
  <c r="AX30" i="26" s="1"/>
  <c r="CK30" i="26"/>
  <c r="BU33" i="26"/>
  <c r="U33" i="26"/>
  <c r="AU33" i="26" s="1"/>
  <c r="CH33" i="26"/>
  <c r="BR35" i="26"/>
  <c r="CE35" i="26"/>
  <c r="R35" i="26"/>
  <c r="AR35" i="26" s="1"/>
  <c r="BZ35" i="26"/>
  <c r="Z35" i="26"/>
  <c r="AZ35" i="26" s="1"/>
  <c r="CM35" i="26"/>
  <c r="BX38" i="26"/>
  <c r="X38" i="26"/>
  <c r="AX38" i="26" s="1"/>
  <c r="CK38" i="26"/>
  <c r="BV32" i="26"/>
  <c r="V32" i="26"/>
  <c r="AV32" i="26" s="1"/>
  <c r="CI32" i="26"/>
  <c r="BT23" i="26"/>
  <c r="T23" i="26"/>
  <c r="CG23" i="26"/>
  <c r="BR20" i="26"/>
  <c r="CE20" i="26"/>
  <c r="R20" i="26"/>
  <c r="AR20" i="26" s="1"/>
  <c r="BV11" i="26"/>
  <c r="V11" i="26"/>
  <c r="AV11" i="26" s="1"/>
  <c r="CI11" i="26"/>
  <c r="BT10" i="26"/>
  <c r="T10" i="26"/>
  <c r="CG10" i="26"/>
  <c r="BR8" i="26"/>
  <c r="R8" i="26"/>
  <c r="AR8" i="26" s="1"/>
  <c r="CE8" i="26"/>
  <c r="BU19" i="26"/>
  <c r="U19" i="26"/>
  <c r="AU19" i="26" s="1"/>
  <c r="CH19" i="26"/>
  <c r="BT9" i="26"/>
  <c r="T9" i="26"/>
  <c r="CG9" i="26"/>
  <c r="BZ32" i="26"/>
  <c r="Z32" i="26"/>
  <c r="AZ32" i="26" s="1"/>
  <c r="CM32" i="26"/>
  <c r="BZ20" i="26"/>
  <c r="Z20" i="26"/>
  <c r="AZ20" i="26" s="1"/>
  <c r="CM20" i="26"/>
  <c r="BZ11" i="26"/>
  <c r="Z11" i="26"/>
  <c r="AZ11" i="26" s="1"/>
  <c r="CM11" i="26"/>
  <c r="BZ8" i="26"/>
  <c r="Z8" i="26"/>
  <c r="AZ8" i="26" s="1"/>
  <c r="CM8" i="26"/>
  <c r="BW19" i="26"/>
  <c r="W19" i="26"/>
  <c r="AW19" i="26" s="1"/>
  <c r="CJ19" i="26"/>
  <c r="BY7" i="26"/>
  <c r="Y7" i="26"/>
  <c r="AY7" i="26" s="1"/>
  <c r="CL7" i="26"/>
  <c r="BW12" i="26"/>
  <c r="W12" i="26"/>
  <c r="AW12" i="26" s="1"/>
  <c r="CJ12" i="26"/>
  <c r="BX13" i="26"/>
  <c r="CK13" i="26"/>
  <c r="X13" i="26"/>
  <c r="AX13" i="26" s="1"/>
  <c r="BT15" i="26"/>
  <c r="T15" i="26"/>
  <c r="CG15" i="26"/>
  <c r="BS22" i="26"/>
  <c r="S22" i="26"/>
  <c r="AS22" i="26" s="1"/>
  <c r="CF22" i="26"/>
  <c r="BT21" i="26"/>
  <c r="T21" i="26"/>
  <c r="CG21" i="26"/>
  <c r="BQ26" i="26"/>
  <c r="CD26" i="26"/>
  <c r="BR24" i="26"/>
  <c r="R24" i="26"/>
  <c r="AR24" i="26" s="1"/>
  <c r="CE24" i="26"/>
  <c r="BZ24" i="26"/>
  <c r="Z24" i="26"/>
  <c r="AZ24" i="26" s="1"/>
  <c r="CM24" i="26"/>
  <c r="BW28" i="26"/>
  <c r="W28" i="26"/>
  <c r="AW28" i="26" s="1"/>
  <c r="CJ28" i="26"/>
  <c r="BX25" i="26"/>
  <c r="X25" i="26"/>
  <c r="AX25" i="26" s="1"/>
  <c r="CK25" i="26"/>
  <c r="BR27" i="26"/>
  <c r="R27" i="26"/>
  <c r="AR27" i="26" s="1"/>
  <c r="CE27" i="26"/>
  <c r="BZ27" i="26"/>
  <c r="CM27" i="26"/>
  <c r="Z27" i="26"/>
  <c r="AZ27" i="26" s="1"/>
  <c r="BW41" i="26"/>
  <c r="W41" i="26"/>
  <c r="AW41" i="26" s="1"/>
  <c r="CJ41" i="26"/>
  <c r="BT43" i="26"/>
  <c r="CG43" i="26"/>
  <c r="T43" i="26"/>
  <c r="BT31" i="26"/>
  <c r="T31" i="26"/>
  <c r="CG31" i="26"/>
  <c r="BU30" i="26"/>
  <c r="U30" i="26"/>
  <c r="AU30" i="26" s="1"/>
  <c r="CH30" i="26"/>
  <c r="BR33" i="26"/>
  <c r="R33" i="26"/>
  <c r="AR33" i="26" s="1"/>
  <c r="CE33" i="26"/>
  <c r="BZ33" i="26"/>
  <c r="CM33" i="26"/>
  <c r="Z33" i="26"/>
  <c r="AZ33" i="26" s="1"/>
  <c r="BW35" i="26"/>
  <c r="CJ35" i="26"/>
  <c r="W35" i="26"/>
  <c r="AW35" i="26" s="1"/>
  <c r="BU38" i="26"/>
  <c r="U38" i="26"/>
  <c r="AU38" i="26" s="1"/>
  <c r="CH38" i="26"/>
  <c r="BT6" i="26"/>
  <c r="T6" i="26"/>
  <c r="CG6" i="26"/>
  <c r="BQ32" i="26"/>
  <c r="CD32" i="26"/>
  <c r="U20" i="26"/>
  <c r="AU20" i="26" s="1"/>
  <c r="CH20" i="26"/>
  <c r="S18" i="26"/>
  <c r="AS18" i="26" s="1"/>
  <c r="CF18" i="26"/>
  <c r="BQ11" i="26"/>
  <c r="CD11" i="26"/>
  <c r="U8" i="26"/>
  <c r="AU8" i="26" s="1"/>
  <c r="CH8" i="26"/>
  <c r="BU5" i="26"/>
  <c r="CH5" i="26"/>
  <c r="U5" i="26"/>
  <c r="AU5" i="26" s="1"/>
  <c r="BQ9" i="26"/>
  <c r="CD9" i="26"/>
  <c r="BX6" i="26"/>
  <c r="X6" i="26"/>
  <c r="AX6" i="26" s="1"/>
  <c r="CK6" i="26"/>
  <c r="CL23" i="26"/>
  <c r="Y23" i="26"/>
  <c r="AY23" i="26" s="1"/>
  <c r="Y18" i="26"/>
  <c r="AY18" i="26" s="1"/>
  <c r="CL18" i="26"/>
  <c r="Y10" i="26"/>
  <c r="AY10" i="26" s="1"/>
  <c r="CL10" i="26"/>
  <c r="BX5" i="26"/>
  <c r="X5" i="26"/>
  <c r="AX5" i="26" s="1"/>
  <c r="CK5" i="26"/>
  <c r="BX9" i="26"/>
  <c r="X9" i="26"/>
  <c r="AX9" i="26" s="1"/>
  <c r="CK9" i="26"/>
  <c r="BV7" i="26"/>
  <c r="V7" i="26"/>
  <c r="AV7" i="26" s="1"/>
  <c r="CI7" i="26"/>
  <c r="BT12" i="26"/>
  <c r="T12" i="26"/>
  <c r="CG12" i="26"/>
  <c r="BQ13" i="26"/>
  <c r="CD13" i="26"/>
  <c r="BY13" i="26"/>
  <c r="Y13" i="26"/>
  <c r="AY13" i="26" s="1"/>
  <c r="CL13" i="26"/>
  <c r="BQ15" i="26"/>
  <c r="CD15" i="26"/>
  <c r="BY15" i="26"/>
  <c r="Y15" i="26"/>
  <c r="AY15" i="26" s="1"/>
  <c r="CL15" i="26"/>
  <c r="BQ21" i="26"/>
  <c r="CD21" i="26"/>
  <c r="BR26" i="26"/>
  <c r="CE26" i="26"/>
  <c r="R26" i="26"/>
  <c r="AR26" i="26" s="1"/>
  <c r="BV6" i="26"/>
  <c r="V6" i="26"/>
  <c r="AV6" i="26" s="1"/>
  <c r="CI6" i="26"/>
  <c r="BU23" i="26"/>
  <c r="U23" i="26"/>
  <c r="AU23" i="26" s="1"/>
  <c r="CH23" i="26"/>
  <c r="BQ23" i="26"/>
  <c r="CD23" i="26"/>
  <c r="BU18" i="26"/>
  <c r="U18" i="26"/>
  <c r="AU18" i="26" s="1"/>
  <c r="CH18" i="26"/>
  <c r="BS11" i="26"/>
  <c r="CF11" i="26"/>
  <c r="S11" i="26"/>
  <c r="AS11" i="26" s="1"/>
  <c r="BQ10" i="26"/>
  <c r="CD10" i="26"/>
  <c r="BS5" i="26"/>
  <c r="S5" i="26"/>
  <c r="AS5" i="26" s="1"/>
  <c r="CF5" i="26"/>
  <c r="BR19" i="26"/>
  <c r="R19" i="26"/>
  <c r="AR19" i="26" s="1"/>
  <c r="CE19" i="26"/>
  <c r="BZ6" i="26"/>
  <c r="Z6" i="26"/>
  <c r="AZ6" i="26" s="1"/>
  <c r="CM6" i="26"/>
  <c r="BW23" i="26"/>
  <c r="W23" i="26"/>
  <c r="AW23" i="26" s="1"/>
  <c r="CJ23" i="26"/>
  <c r="BW18" i="26"/>
  <c r="W18" i="26"/>
  <c r="AW18" i="26" s="1"/>
  <c r="CJ18" i="26"/>
  <c r="BW10" i="26"/>
  <c r="W10" i="26"/>
  <c r="AW10" i="26" s="1"/>
  <c r="CJ10" i="26"/>
  <c r="BZ5" i="26"/>
  <c r="CM5" i="26"/>
  <c r="Z5" i="26"/>
  <c r="AZ5" i="26" s="1"/>
  <c r="BZ9" i="26"/>
  <c r="CM9" i="26"/>
  <c r="Z9" i="26"/>
  <c r="AZ9" i="26" s="1"/>
  <c r="BX7" i="26"/>
  <c r="X7" i="26"/>
  <c r="AX7" i="26" s="1"/>
  <c r="CK7" i="26"/>
  <c r="BV12" i="26"/>
  <c r="V12" i="26"/>
  <c r="AV12" i="26" s="1"/>
  <c r="CI12" i="26"/>
  <c r="BW13" i="26"/>
  <c r="W13" i="26"/>
  <c r="AW13" i="26" s="1"/>
  <c r="CJ13" i="26"/>
  <c r="BV22" i="26"/>
  <c r="V22" i="26"/>
  <c r="AV22" i="26" s="1"/>
  <c r="CI22" i="26"/>
  <c r="BS21" i="26"/>
  <c r="S21" i="26"/>
  <c r="AS21" i="26" s="1"/>
  <c r="CF21" i="26"/>
  <c r="BT26" i="26"/>
  <c r="CG26" i="26"/>
  <c r="T26" i="26"/>
  <c r="BQ24" i="26"/>
  <c r="CD24" i="26"/>
  <c r="BY24" i="26"/>
  <c r="Y24" i="26"/>
  <c r="AY24" i="26" s="1"/>
  <c r="CL24" i="26"/>
  <c r="BV28" i="26"/>
  <c r="V28" i="26"/>
  <c r="AV28" i="26" s="1"/>
  <c r="CI28" i="26"/>
  <c r="BS25" i="26"/>
  <c r="CF25" i="26"/>
  <c r="S25" i="26"/>
  <c r="BQ27" i="26"/>
  <c r="CD27" i="26"/>
  <c r="BY27" i="26"/>
  <c r="Y27" i="26"/>
  <c r="AY27" i="26" s="1"/>
  <c r="CL27" i="26"/>
  <c r="BV41" i="26"/>
  <c r="V41" i="26"/>
  <c r="AV41" i="26" s="1"/>
  <c r="CI41" i="26"/>
  <c r="BS43" i="26"/>
  <c r="S43" i="26"/>
  <c r="AS43" i="26" s="1"/>
  <c r="CF43" i="26"/>
  <c r="BS31" i="26"/>
  <c r="S31" i="26"/>
  <c r="AS31" i="26" s="1"/>
  <c r="CF31" i="26"/>
  <c r="BT30" i="26"/>
  <c r="T30" i="26"/>
  <c r="CG30" i="26"/>
  <c r="BQ33" i="26"/>
  <c r="CD33" i="26"/>
  <c r="BY33" i="26"/>
  <c r="Y33" i="26"/>
  <c r="AY33" i="26" s="1"/>
  <c r="CL33" i="26"/>
  <c r="BV35" i="26"/>
  <c r="V35" i="26"/>
  <c r="AV35" i="26" s="1"/>
  <c r="CI35" i="26"/>
  <c r="BT38" i="26"/>
  <c r="T38" i="26"/>
  <c r="CG38" i="26"/>
  <c r="BS6" i="26"/>
  <c r="S6" i="26"/>
  <c r="AS6" i="26" s="1"/>
  <c r="CF6" i="26"/>
  <c r="BR32" i="26"/>
  <c r="R32" i="26"/>
  <c r="AR32" i="26" s="1"/>
  <c r="CE32" i="26"/>
  <c r="BV20" i="26"/>
  <c r="V20" i="26"/>
  <c r="AV20" i="26" s="1"/>
  <c r="CI20" i="26"/>
  <c r="BT18" i="26"/>
  <c r="CG18" i="26"/>
  <c r="T18" i="26"/>
  <c r="BR11" i="26"/>
  <c r="R11" i="26"/>
  <c r="AR11" i="26" s="1"/>
  <c r="CE11" i="26"/>
  <c r="BV8" i="26"/>
  <c r="V8" i="26"/>
  <c r="AV8" i="26" s="1"/>
  <c r="CI8" i="26"/>
  <c r="BT5" i="26"/>
  <c r="T5" i="26"/>
  <c r="CG5" i="26"/>
  <c r="BQ19" i="26"/>
  <c r="CD19" i="26"/>
  <c r="BW6" i="26"/>
  <c r="W6" i="26"/>
  <c r="AW6" i="26" s="1"/>
  <c r="CJ6" i="26"/>
  <c r="BZ23" i="26"/>
  <c r="CM23" i="26"/>
  <c r="Z23" i="26"/>
  <c r="AZ23" i="26" s="1"/>
  <c r="BZ18" i="26"/>
  <c r="CM18" i="26"/>
  <c r="Z18" i="26"/>
  <c r="AZ18" i="26" s="1"/>
  <c r="BZ10" i="26"/>
  <c r="Z10" i="26"/>
  <c r="AZ10" i="26" s="1"/>
  <c r="CM10" i="26"/>
  <c r="BW5" i="26"/>
  <c r="W5" i="26"/>
  <c r="AW5" i="26" s="1"/>
  <c r="CJ5" i="26"/>
  <c r="BW9" i="26"/>
  <c r="W9" i="26"/>
  <c r="AW9" i="26" s="1"/>
  <c r="CJ9" i="26"/>
  <c r="BU7" i="26"/>
  <c r="U7" i="26"/>
  <c r="AU7" i="26" s="1"/>
  <c r="CH7" i="26"/>
  <c r="BS12" i="26"/>
  <c r="CF12" i="26"/>
  <c r="S12" i="26"/>
  <c r="AS12" i="26" s="1"/>
  <c r="BT13" i="26"/>
  <c r="T13" i="26"/>
  <c r="CG13" i="26"/>
  <c r="BS14" i="26"/>
  <c r="S14" i="26"/>
  <c r="AS14" i="26" s="1"/>
  <c r="CF14" i="26"/>
  <c r="BW14" i="26"/>
  <c r="W14" i="26"/>
  <c r="AW14" i="26" s="1"/>
  <c r="CJ14" i="26"/>
  <c r="BX15" i="26"/>
  <c r="X15" i="26"/>
  <c r="AX15" i="26" s="1"/>
  <c r="CK15" i="26"/>
  <c r="BW22" i="26"/>
  <c r="W22" i="26"/>
  <c r="AW22" i="26" s="1"/>
  <c r="CJ22" i="26"/>
  <c r="BX21" i="26"/>
  <c r="X21" i="26"/>
  <c r="AX21" i="26" s="1"/>
  <c r="CK21" i="26"/>
  <c r="BU26" i="26"/>
  <c r="U26" i="26"/>
  <c r="AU26" i="26" s="1"/>
  <c r="CH26" i="26"/>
  <c r="BY26" i="26"/>
  <c r="Y26" i="26"/>
  <c r="AY26" i="26" s="1"/>
  <c r="CL26" i="26"/>
  <c r="BV24" i="26"/>
  <c r="V24" i="26"/>
  <c r="AV24" i="26" s="1"/>
  <c r="CI24" i="26"/>
  <c r="BS28" i="26"/>
  <c r="S28" i="26"/>
  <c r="AS28" i="26" s="1"/>
  <c r="CF28" i="26"/>
  <c r="BT25" i="26"/>
  <c r="T25" i="26"/>
  <c r="CG25" i="26"/>
  <c r="BV27" i="26"/>
  <c r="CI27" i="26"/>
  <c r="V27" i="26"/>
  <c r="AV27" i="26" s="1"/>
  <c r="BS41" i="26"/>
  <c r="CF41" i="26"/>
  <c r="S41" i="26"/>
  <c r="AS41" i="26" s="1"/>
  <c r="BX43" i="26"/>
  <c r="CK43" i="26"/>
  <c r="X43" i="26"/>
  <c r="AX43" i="26" s="1"/>
  <c r="BX31" i="26"/>
  <c r="X31" i="26"/>
  <c r="AX31" i="26" s="1"/>
  <c r="CK31" i="26"/>
  <c r="BQ30" i="26"/>
  <c r="CD30" i="26"/>
  <c r="BY30" i="26"/>
  <c r="Y30" i="26"/>
  <c r="AY30" i="26" s="1"/>
  <c r="CL30" i="26"/>
  <c r="BV33" i="26"/>
  <c r="CI33" i="26"/>
  <c r="V33" i="26"/>
  <c r="AV33" i="26" s="1"/>
  <c r="BS35" i="26"/>
  <c r="S35" i="26"/>
  <c r="AS35" i="26" s="1"/>
  <c r="CF35" i="26"/>
  <c r="BQ38" i="26"/>
  <c r="CD38" i="26"/>
  <c r="BY38" i="26"/>
  <c r="Y38" i="26"/>
  <c r="AY38" i="26" s="1"/>
  <c r="CL38" i="26"/>
  <c r="U32" i="26"/>
  <c r="AU32" i="26" s="1"/>
  <c r="CH32" i="26"/>
  <c r="S23" i="26"/>
  <c r="AS23" i="26" s="1"/>
  <c r="CF23" i="26"/>
  <c r="BQ20" i="26"/>
  <c r="CD20" i="26"/>
  <c r="U11" i="26"/>
  <c r="AU11" i="26" s="1"/>
  <c r="CH11" i="26"/>
  <c r="S10" i="26"/>
  <c r="AS10" i="26" s="1"/>
  <c r="CF10" i="26"/>
  <c r="BQ8" i="26"/>
  <c r="CD8" i="26"/>
  <c r="T19" i="26"/>
  <c r="CG19" i="26"/>
  <c r="BU9" i="26"/>
  <c r="U9" i="26"/>
  <c r="AU9" i="26" s="1"/>
  <c r="CH9" i="26"/>
  <c r="Y32" i="26"/>
  <c r="AY32" i="26" s="1"/>
  <c r="CL32" i="26"/>
  <c r="CL20" i="26"/>
  <c r="Y20" i="26"/>
  <c r="AY20" i="26" s="1"/>
  <c r="Y11" i="26"/>
  <c r="AY11" i="26" s="1"/>
  <c r="CL11" i="26"/>
  <c r="Y8" i="26"/>
  <c r="AY8" i="26" s="1"/>
  <c r="CL8" i="26"/>
  <c r="BX19" i="26"/>
  <c r="CK19" i="26"/>
  <c r="X19" i="26"/>
  <c r="AX19" i="26" s="1"/>
  <c r="BR7" i="26"/>
  <c r="R7" i="26"/>
  <c r="AR7" i="26" s="1"/>
  <c r="CE7" i="26"/>
  <c r="BZ7" i="26"/>
  <c r="Z7" i="26"/>
  <c r="AZ7" i="26" s="1"/>
  <c r="CM7" i="26"/>
  <c r="BX12" i="26"/>
  <c r="X12" i="26"/>
  <c r="AX12" i="26" s="1"/>
  <c r="CK12" i="26"/>
  <c r="BU13" i="26"/>
  <c r="U13" i="26"/>
  <c r="AU13" i="26" s="1"/>
  <c r="CH13" i="26"/>
  <c r="BT14" i="26"/>
  <c r="CG14" i="26"/>
  <c r="T14" i="26"/>
  <c r="BX14" i="26"/>
  <c r="X14" i="26"/>
  <c r="AX14" i="26" s="1"/>
  <c r="CK14" i="26"/>
  <c r="BU15" i="26"/>
  <c r="CH15" i="26"/>
  <c r="U15" i="26"/>
  <c r="AU15" i="26" s="1"/>
  <c r="BT22" i="26"/>
  <c r="T22" i="26"/>
  <c r="CG22" i="26"/>
  <c r="BX22" i="26"/>
  <c r="CK22" i="26"/>
  <c r="X22" i="26"/>
  <c r="AX22" i="26" s="1"/>
  <c r="BU21" i="26"/>
  <c r="U21" i="26"/>
  <c r="AU21" i="26" s="1"/>
  <c r="CH21" i="26"/>
  <c r="BY21" i="26"/>
  <c r="Y21" i="26"/>
  <c r="AY21" i="26" s="1"/>
  <c r="CL21" i="26"/>
  <c r="BV26" i="26"/>
  <c r="V26" i="26"/>
  <c r="AV26" i="26" s="1"/>
  <c r="CI26" i="26"/>
  <c r="BZ26" i="26"/>
  <c r="Z26" i="26"/>
  <c r="AZ26" i="26" s="1"/>
  <c r="CM26" i="26"/>
  <c r="BS24" i="26"/>
  <c r="S24" i="26"/>
  <c r="AS24" i="26" s="1"/>
  <c r="CF24" i="26"/>
  <c r="BW24" i="26"/>
  <c r="W24" i="26"/>
  <c r="AW24" i="26" s="1"/>
  <c r="CJ24" i="26"/>
  <c r="BT28" i="26"/>
  <c r="T28" i="26"/>
  <c r="CG28" i="26"/>
  <c r="BX28" i="26"/>
  <c r="CK28" i="26"/>
  <c r="X28" i="26"/>
  <c r="AX28" i="26" s="1"/>
  <c r="BQ25" i="26"/>
  <c r="CD25" i="26"/>
  <c r="BU25" i="26"/>
  <c r="U25" i="26"/>
  <c r="CH25" i="26"/>
  <c r="BY25" i="26"/>
  <c r="Y25" i="26"/>
  <c r="AY25" i="26" s="1"/>
  <c r="CL25" i="26"/>
  <c r="BS27" i="26"/>
  <c r="CF27" i="26"/>
  <c r="S27" i="26"/>
  <c r="AS27" i="26" s="1"/>
  <c r="BW27" i="26"/>
  <c r="W27" i="26"/>
  <c r="AW27" i="26" s="1"/>
  <c r="CJ27" i="26"/>
  <c r="BT41" i="26"/>
  <c r="T41" i="26"/>
  <c r="CG41" i="26"/>
  <c r="BX41" i="26"/>
  <c r="X41" i="26"/>
  <c r="AX41" i="26" s="1"/>
  <c r="CK41" i="26"/>
  <c r="BQ43" i="26"/>
  <c r="CD43" i="26"/>
  <c r="BU43" i="26"/>
  <c r="U43" i="26"/>
  <c r="AU43" i="26" s="1"/>
  <c r="CH43" i="26"/>
  <c r="BY43" i="26"/>
  <c r="Y43" i="26"/>
  <c r="AY43" i="26" s="1"/>
  <c r="CL43" i="26"/>
  <c r="BQ31" i="26"/>
  <c r="CD31" i="26"/>
  <c r="BU31" i="26"/>
  <c r="U31" i="26"/>
  <c r="AU31" i="26" s="1"/>
  <c r="CH31" i="26"/>
  <c r="BY31" i="26"/>
  <c r="Y31" i="26"/>
  <c r="AY31" i="26" s="1"/>
  <c r="CL31" i="26"/>
  <c r="BR30" i="26"/>
  <c r="R30" i="26"/>
  <c r="AR30" i="26" s="1"/>
  <c r="CE30" i="26"/>
  <c r="BV30" i="26"/>
  <c r="V30" i="26"/>
  <c r="AV30" i="26" s="1"/>
  <c r="CI30" i="26"/>
  <c r="BZ30" i="26"/>
  <c r="Z30" i="26"/>
  <c r="AZ30" i="26" s="1"/>
  <c r="CM30" i="26"/>
  <c r="BS33" i="26"/>
  <c r="S33" i="26"/>
  <c r="AS33" i="26" s="1"/>
  <c r="CF33" i="26"/>
  <c r="BW33" i="26"/>
  <c r="W33" i="26"/>
  <c r="AW33" i="26" s="1"/>
  <c r="CJ33" i="26"/>
  <c r="BT35" i="26"/>
  <c r="T35" i="26"/>
  <c r="CG35" i="26"/>
  <c r="BX35" i="26"/>
  <c r="X35" i="26"/>
  <c r="AX35" i="26" s="1"/>
  <c r="CK35" i="26"/>
  <c r="BQ34" i="26"/>
  <c r="CD34" i="26"/>
  <c r="BR38" i="26"/>
  <c r="CE38" i="26"/>
  <c r="R38" i="26"/>
  <c r="BV38" i="26"/>
  <c r="V38" i="26"/>
  <c r="AV38" i="26" s="1"/>
  <c r="CI38" i="26"/>
  <c r="BZ38" i="26"/>
  <c r="Z38" i="26"/>
  <c r="AZ38" i="26" s="1"/>
  <c r="CM38" i="26"/>
  <c r="BQ6" i="26"/>
  <c r="CD6" i="26"/>
  <c r="BU6" i="26"/>
  <c r="U6" i="26"/>
  <c r="AU6" i="26" s="1"/>
  <c r="CH6" i="26"/>
  <c r="BT32" i="26"/>
  <c r="CG32" i="26"/>
  <c r="T32" i="26"/>
  <c r="BV23" i="26"/>
  <c r="V23" i="26"/>
  <c r="AV23" i="26" s="1"/>
  <c r="CI23" i="26"/>
  <c r="BR23" i="26"/>
  <c r="CE23" i="26"/>
  <c r="R23" i="26"/>
  <c r="AR23" i="26" s="1"/>
  <c r="BT20" i="26"/>
  <c r="T20" i="26"/>
  <c r="CG20" i="26"/>
  <c r="BV18" i="26"/>
  <c r="CI18" i="26"/>
  <c r="V18" i="26"/>
  <c r="AV18" i="26" s="1"/>
  <c r="BR18" i="26"/>
  <c r="R18" i="26"/>
  <c r="AR18" i="26" s="1"/>
  <c r="CE18" i="26"/>
  <c r="BT11" i="26"/>
  <c r="CG11" i="26"/>
  <c r="T11" i="26"/>
  <c r="BV10" i="26"/>
  <c r="V10" i="26"/>
  <c r="AV10" i="26" s="1"/>
  <c r="CI10" i="26"/>
  <c r="BR10" i="26"/>
  <c r="R10" i="26"/>
  <c r="AR10" i="26" s="1"/>
  <c r="CE10" i="26"/>
  <c r="BT8" i="26"/>
  <c r="CG8" i="26"/>
  <c r="T8" i="26"/>
  <c r="BV5" i="26"/>
  <c r="V5" i="26"/>
  <c r="AV5" i="26" s="1"/>
  <c r="CI5" i="26"/>
  <c r="BS19" i="26"/>
  <c r="S19" i="26"/>
  <c r="AS19" i="26" s="1"/>
  <c r="CF19" i="26"/>
  <c r="BR9" i="26"/>
  <c r="CE9" i="26"/>
  <c r="R9" i="26"/>
  <c r="AR9" i="26" s="1"/>
  <c r="BV9" i="26"/>
  <c r="V9" i="26"/>
  <c r="AV9" i="26" s="1"/>
  <c r="CI9" i="26"/>
  <c r="BY6" i="26"/>
  <c r="CL6" i="26"/>
  <c r="Y6" i="26"/>
  <c r="AY6" i="26" s="1"/>
  <c r="BX32" i="26"/>
  <c r="X32" i="26"/>
  <c r="AX32" i="26" s="1"/>
  <c r="CK32" i="26"/>
  <c r="BX23" i="26"/>
  <c r="X23" i="26"/>
  <c r="AX23" i="26" s="1"/>
  <c r="CK23" i="26"/>
  <c r="BX20" i="26"/>
  <c r="X20" i="26"/>
  <c r="AX20" i="26" s="1"/>
  <c r="CK20" i="26"/>
  <c r="BX18" i="26"/>
  <c r="X18" i="26"/>
  <c r="AX18" i="26" s="1"/>
  <c r="CK18" i="26"/>
  <c r="BX11" i="26"/>
  <c r="X11" i="26"/>
  <c r="AX11" i="26" s="1"/>
  <c r="CK11" i="26"/>
  <c r="BX10" i="26"/>
  <c r="X10" i="26"/>
  <c r="AX10" i="26" s="1"/>
  <c r="CK10" i="26"/>
  <c r="BX8" i="26"/>
  <c r="X8" i="26"/>
  <c r="AX8" i="26" s="1"/>
  <c r="CK8" i="26"/>
  <c r="BY5" i="26"/>
  <c r="Y5" i="26"/>
  <c r="AY5" i="26" s="1"/>
  <c r="CL5" i="26"/>
  <c r="BY19" i="26"/>
  <c r="CL19" i="26"/>
  <c r="Y19" i="26"/>
  <c r="AY19" i="26" s="1"/>
  <c r="BY9" i="26"/>
  <c r="Y9" i="26"/>
  <c r="AY9" i="26" s="1"/>
  <c r="CL9" i="26"/>
  <c r="BS7" i="26"/>
  <c r="S7" i="26"/>
  <c r="AS7" i="26" s="1"/>
  <c r="CF7" i="26"/>
  <c r="BW7" i="26"/>
  <c r="W7" i="26"/>
  <c r="AW7" i="26" s="1"/>
  <c r="CJ7" i="26"/>
  <c r="BQ12" i="26"/>
  <c r="CD12" i="26"/>
  <c r="BU12" i="26"/>
  <c r="U12" i="26"/>
  <c r="AU12" i="26" s="1"/>
  <c r="CH12" i="26"/>
  <c r="BY12" i="26"/>
  <c r="Y12" i="26"/>
  <c r="AY12" i="26" s="1"/>
  <c r="CL12" i="26"/>
  <c r="BR13" i="26"/>
  <c r="R13" i="26"/>
  <c r="AR13" i="26" s="1"/>
  <c r="CE13" i="26"/>
  <c r="BV13" i="26"/>
  <c r="V13" i="26"/>
  <c r="AV13" i="26" s="1"/>
  <c r="CI13" i="26"/>
  <c r="BZ13" i="26"/>
  <c r="Z13" i="26"/>
  <c r="AZ13" i="26" s="1"/>
  <c r="CM13" i="26"/>
  <c r="BQ14" i="26"/>
  <c r="CD14" i="26"/>
  <c r="BU14" i="26"/>
  <c r="U14" i="26"/>
  <c r="AU14" i="26" s="1"/>
  <c r="CH14" i="26"/>
  <c r="BY14" i="26"/>
  <c r="Y14" i="26"/>
  <c r="AY14" i="26" s="1"/>
  <c r="CL14" i="26"/>
  <c r="BR15" i="26"/>
  <c r="CE15" i="26"/>
  <c r="R15" i="26"/>
  <c r="AR15" i="26" s="1"/>
  <c r="BV15" i="26"/>
  <c r="V15" i="26"/>
  <c r="AV15" i="26" s="1"/>
  <c r="CI15" i="26"/>
  <c r="BZ15" i="26"/>
  <c r="CM15" i="26"/>
  <c r="Z15" i="26"/>
  <c r="AZ15" i="26" s="1"/>
  <c r="BQ22" i="26"/>
  <c r="CD22" i="26"/>
  <c r="BU22" i="26"/>
  <c r="U22" i="26"/>
  <c r="AU22" i="26" s="1"/>
  <c r="CH22" i="26"/>
  <c r="BY22" i="26"/>
  <c r="Y22" i="26"/>
  <c r="AY22" i="26" s="1"/>
  <c r="CL22" i="26"/>
  <c r="BR21" i="26"/>
  <c r="R21" i="26"/>
  <c r="AR21" i="26" s="1"/>
  <c r="CE21" i="26"/>
  <c r="BV21" i="26"/>
  <c r="V21" i="26"/>
  <c r="AV21" i="26" s="1"/>
  <c r="CI21" i="26"/>
  <c r="BZ21" i="26"/>
  <c r="Z21" i="26"/>
  <c r="AZ21" i="26" s="1"/>
  <c r="CM21" i="26"/>
  <c r="BS26" i="26"/>
  <c r="S26" i="26"/>
  <c r="AS26" i="26" s="1"/>
  <c r="CF26" i="26"/>
  <c r="BW26" i="26"/>
  <c r="W26" i="26"/>
  <c r="AW26" i="26" s="1"/>
  <c r="CJ26" i="26"/>
  <c r="BT24" i="26"/>
  <c r="T24" i="26"/>
  <c r="CG24" i="26"/>
  <c r="BX24" i="26"/>
  <c r="X24" i="26"/>
  <c r="AX24" i="26" s="1"/>
  <c r="CK24" i="26"/>
  <c r="BQ28" i="26"/>
  <c r="CD28" i="26"/>
  <c r="BU28" i="26"/>
  <c r="CH28" i="26"/>
  <c r="U28" i="26"/>
  <c r="AU28" i="26" s="1"/>
  <c r="BY28" i="26"/>
  <c r="Y28" i="26"/>
  <c r="AY28" i="26" s="1"/>
  <c r="CL28" i="26"/>
  <c r="BR25" i="26"/>
  <c r="R25" i="26"/>
  <c r="CE25" i="26"/>
  <c r="BV25" i="26"/>
  <c r="V25" i="26"/>
  <c r="AV25" i="26" s="1"/>
  <c r="CI25" i="26"/>
  <c r="BZ25" i="26"/>
  <c r="Z25" i="26"/>
  <c r="AZ25" i="26" s="1"/>
  <c r="CM25" i="26"/>
  <c r="BT27" i="26"/>
  <c r="T27" i="26"/>
  <c r="CG27" i="26"/>
  <c r="BX27" i="26"/>
  <c r="X27" i="26"/>
  <c r="AX27" i="26" s="1"/>
  <c r="CK27" i="26"/>
  <c r="BQ41" i="26"/>
  <c r="CD41" i="26"/>
  <c r="BU41" i="26"/>
  <c r="CH41" i="26"/>
  <c r="U41" i="26"/>
  <c r="AU41" i="26" s="1"/>
  <c r="BY41" i="26"/>
  <c r="Y41" i="26"/>
  <c r="AY41" i="26" s="1"/>
  <c r="CL41" i="26"/>
  <c r="BR43" i="26"/>
  <c r="R43" i="26"/>
  <c r="AR43" i="26" s="1"/>
  <c r="CE43" i="26"/>
  <c r="BV43" i="26"/>
  <c r="V43" i="26"/>
  <c r="AV43" i="26" s="1"/>
  <c r="CI43" i="26"/>
  <c r="BZ43" i="26"/>
  <c r="Z43" i="26"/>
  <c r="AZ43" i="26" s="1"/>
  <c r="CM43" i="26"/>
  <c r="BR31" i="26"/>
  <c r="R31" i="26"/>
  <c r="AR31" i="26" s="1"/>
  <c r="CE31" i="26"/>
  <c r="BV31" i="26"/>
  <c r="CI31" i="26"/>
  <c r="V31" i="26"/>
  <c r="AV31" i="26" s="1"/>
  <c r="BZ31" i="26"/>
  <c r="Z31" i="26"/>
  <c r="AZ31" i="26" s="1"/>
  <c r="CM31" i="26"/>
  <c r="BS30" i="26"/>
  <c r="CF30" i="26"/>
  <c r="S30" i="26"/>
  <c r="AS30" i="26" s="1"/>
  <c r="BW30" i="26"/>
  <c r="W30" i="26"/>
  <c r="AW30" i="26" s="1"/>
  <c r="CJ30" i="26"/>
  <c r="BT33" i="26"/>
  <c r="T33" i="26"/>
  <c r="CG33" i="26"/>
  <c r="BX33" i="26"/>
  <c r="X33" i="26"/>
  <c r="AX33" i="26" s="1"/>
  <c r="CK33" i="26"/>
  <c r="BQ35" i="26"/>
  <c r="CD35" i="26"/>
  <c r="BU35" i="26"/>
  <c r="U35" i="26"/>
  <c r="AU35" i="26" s="1"/>
  <c r="CH35" i="26"/>
  <c r="BY35" i="26"/>
  <c r="Y35" i="26"/>
  <c r="AY35" i="26" s="1"/>
  <c r="CL35" i="26"/>
  <c r="BR34" i="26"/>
  <c r="CE34" i="26"/>
  <c r="R34" i="26"/>
  <c r="AR34" i="26" s="1"/>
  <c r="BS38" i="26"/>
  <c r="S38" i="26"/>
  <c r="CF38" i="26"/>
  <c r="BW38" i="26"/>
  <c r="W38" i="26"/>
  <c r="AW38" i="26" s="1"/>
  <c r="CJ38" i="26"/>
  <c r="D48" i="26"/>
  <c r="BQ7" i="26"/>
  <c r="BU32" i="26"/>
  <c r="BS23" i="26"/>
  <c r="BU11" i="26"/>
  <c r="BS10" i="26"/>
  <c r="BT19" i="26"/>
  <c r="BY23" i="26"/>
  <c r="BY18" i="26"/>
  <c r="BY10" i="26"/>
  <c r="BU20" i="26"/>
  <c r="BS18" i="26"/>
  <c r="BU8" i="26"/>
  <c r="BY32" i="26"/>
  <c r="BY20" i="26"/>
  <c r="BY11" i="26"/>
  <c r="BY8" i="26"/>
  <c r="R5" i="26"/>
  <c r="BR5" i="26"/>
  <c r="M48" i="26"/>
  <c r="J48" i="26"/>
  <c r="G48" i="26"/>
  <c r="K48" i="26"/>
  <c r="H48" i="26"/>
  <c r="L48" i="26"/>
  <c r="H16" i="26"/>
  <c r="K16" i="26"/>
  <c r="E47" i="26"/>
  <c r="E16" i="26"/>
  <c r="I16" i="26"/>
  <c r="L16" i="26"/>
  <c r="G16" i="26"/>
  <c r="J16" i="26"/>
  <c r="D16" i="26"/>
  <c r="F16" i="26"/>
  <c r="CQ16" i="26" s="1"/>
  <c r="M16" i="26"/>
  <c r="H47" i="26"/>
  <c r="K47" i="26"/>
  <c r="I48" i="26"/>
  <c r="I47" i="26"/>
  <c r="L47" i="26"/>
  <c r="F47" i="26"/>
  <c r="CQ47" i="26" s="1"/>
  <c r="M47" i="26"/>
  <c r="D47" i="26"/>
  <c r="G47" i="26"/>
  <c r="J47" i="26"/>
  <c r="E48" i="26"/>
  <c r="F48" i="26"/>
  <c r="CQ48" i="26" s="1"/>
  <c r="I49" i="26"/>
  <c r="E49" i="26"/>
  <c r="F49" i="26"/>
  <c r="CQ49" i="26" s="1"/>
  <c r="M49" i="26"/>
  <c r="D49" i="26"/>
  <c r="L49" i="26"/>
  <c r="K49" i="26"/>
  <c r="J49" i="26"/>
  <c r="G49" i="26"/>
  <c r="D50" i="26"/>
  <c r="H50" i="26"/>
  <c r="L50" i="26"/>
  <c r="H49" i="26"/>
  <c r="E50" i="26"/>
  <c r="I50" i="26"/>
  <c r="M50" i="26"/>
  <c r="F50" i="26"/>
  <c r="CQ50" i="26" s="1"/>
  <c r="J50" i="26"/>
  <c r="G50" i="26"/>
  <c r="K50" i="26"/>
  <c r="J46" i="26"/>
  <c r="D46" i="26"/>
  <c r="F46" i="26"/>
  <c r="CQ46" i="26" s="1"/>
  <c r="I46" i="26"/>
  <c r="E46" i="26"/>
  <c r="L46" i="26"/>
  <c r="K46" i="26"/>
  <c r="M46" i="26"/>
  <c r="G46" i="26"/>
  <c r="H46" i="26"/>
  <c r="R362" i="2"/>
  <c r="S362" i="2" s="1"/>
  <c r="R360" i="2"/>
  <c r="S360" i="2" s="1"/>
  <c r="R388" i="2"/>
  <c r="S388" i="2" s="1"/>
  <c r="R387" i="2"/>
  <c r="S387" i="2" s="1"/>
  <c r="R386" i="2"/>
  <c r="S386" i="2" s="1"/>
  <c r="R399" i="2"/>
  <c r="S399" i="2" s="1"/>
  <c r="R335" i="2"/>
  <c r="S335" i="2" s="1"/>
  <c r="Q290" i="2"/>
  <c r="R292" i="2"/>
  <c r="S292" i="2" s="1"/>
  <c r="R293" i="2"/>
  <c r="S293" i="2" s="1"/>
  <c r="Q289" i="2"/>
  <c r="Q288" i="2"/>
  <c r="R291" i="2"/>
  <c r="S291" i="2" s="1"/>
  <c r="R42" i="7"/>
  <c r="R367" i="2"/>
  <c r="S367" i="2" s="1"/>
  <c r="R366" i="2"/>
  <c r="S366" i="2" s="1"/>
  <c r="R365" i="2"/>
  <c r="S365" i="2" s="1"/>
  <c r="R356" i="2"/>
  <c r="S356" i="2" s="1"/>
  <c r="R353" i="2"/>
  <c r="S353" i="2" s="1"/>
  <c r="R307" i="2"/>
  <c r="S307" i="2" s="1"/>
  <c r="R305" i="2"/>
  <c r="S305" i="2" s="1"/>
  <c r="R306" i="2"/>
  <c r="S306" i="2" s="1"/>
  <c r="R304" i="2"/>
  <c r="S304" i="2" s="1"/>
  <c r="R197" i="2"/>
  <c r="S197" i="2" s="1"/>
  <c r="CR38" i="26" l="1"/>
  <c r="CS38" i="26" s="1"/>
  <c r="CT47" i="26"/>
  <c r="CT46" i="26"/>
  <c r="AT27" i="26"/>
  <c r="CR27" i="26"/>
  <c r="CS27" i="26" s="1"/>
  <c r="CT50" i="26"/>
  <c r="CT49" i="26"/>
  <c r="CT16" i="26"/>
  <c r="AT8" i="26"/>
  <c r="CR8" i="26"/>
  <c r="CS8" i="26" s="1"/>
  <c r="AT28" i="26"/>
  <c r="CR28" i="26"/>
  <c r="CS28" i="26" s="1"/>
  <c r="AT22" i="26"/>
  <c r="CR22" i="26"/>
  <c r="CS22" i="26" s="1"/>
  <c r="AT14" i="26"/>
  <c r="CR14" i="26"/>
  <c r="CS14" i="26" s="1"/>
  <c r="AT5" i="26"/>
  <c r="CR5" i="26"/>
  <c r="CS5" i="26" s="1"/>
  <c r="AT18" i="26"/>
  <c r="CR18" i="26"/>
  <c r="CS18" i="26" s="1"/>
  <c r="AT30" i="26"/>
  <c r="CR30" i="26"/>
  <c r="CS30" i="26" s="1"/>
  <c r="AT12" i="26"/>
  <c r="CR12" i="26"/>
  <c r="CS12" i="26" s="1"/>
  <c r="AT6" i="26"/>
  <c r="CR6" i="26"/>
  <c r="CS6" i="26" s="1"/>
  <c r="AT43" i="26"/>
  <c r="CR43" i="26"/>
  <c r="CS43" i="26" s="1"/>
  <c r="AT15" i="26"/>
  <c r="CR15" i="26"/>
  <c r="CS15" i="26" s="1"/>
  <c r="AT10" i="26"/>
  <c r="CR10" i="26"/>
  <c r="CS10" i="26" s="1"/>
  <c r="AT7" i="26"/>
  <c r="CR7" i="26"/>
  <c r="CS7" i="26" s="1"/>
  <c r="CR25" i="26"/>
  <c r="AT23" i="26"/>
  <c r="CR23" i="26"/>
  <c r="CS23" i="26" s="1"/>
  <c r="AT24" i="26"/>
  <c r="CR24" i="26"/>
  <c r="CS24" i="26" s="1"/>
  <c r="AT35" i="26"/>
  <c r="CR35" i="26"/>
  <c r="CS35" i="26" s="1"/>
  <c r="AT19" i="26"/>
  <c r="CR19" i="26"/>
  <c r="CS19" i="26" s="1"/>
  <c r="AT26" i="26"/>
  <c r="CR26" i="26"/>
  <c r="CS26" i="26" s="1"/>
  <c r="AT31" i="26"/>
  <c r="CR31" i="26"/>
  <c r="CS31" i="26" s="1"/>
  <c r="AT21" i="26"/>
  <c r="CR21" i="26"/>
  <c r="CS21" i="26" s="1"/>
  <c r="AT11" i="26"/>
  <c r="CR11" i="26"/>
  <c r="CS11" i="26" s="1"/>
  <c r="CT48" i="26"/>
  <c r="AT33" i="26"/>
  <c r="CR33" i="26"/>
  <c r="CS33" i="26" s="1"/>
  <c r="AT20" i="26"/>
  <c r="CR20" i="26"/>
  <c r="CS20" i="26" s="1"/>
  <c r="AT32" i="26"/>
  <c r="CR32" i="26"/>
  <c r="CS32" i="26" s="1"/>
  <c r="AT41" i="26"/>
  <c r="CR41" i="26"/>
  <c r="CS41" i="26" s="1"/>
  <c r="AT13" i="26"/>
  <c r="CR13" i="26"/>
  <c r="CS13" i="26" s="1"/>
  <c r="AT9" i="26"/>
  <c r="CR9" i="26"/>
  <c r="CS9" i="26" s="1"/>
  <c r="BE38" i="26"/>
  <c r="AR38" i="26"/>
  <c r="BG25" i="26"/>
  <c r="AT25" i="26"/>
  <c r="BG38" i="26"/>
  <c r="AT38" i="26"/>
  <c r="BF38" i="26"/>
  <c r="AS38" i="26"/>
  <c r="BF25" i="26"/>
  <c r="AS25" i="26"/>
  <c r="AE5" i="26"/>
  <c r="AR5" i="26"/>
  <c r="BE25" i="26"/>
  <c r="AR25" i="26"/>
  <c r="BH25" i="26"/>
  <c r="AU25" i="26"/>
  <c r="BX46" i="26"/>
  <c r="CK46" i="26"/>
  <c r="X46" i="26"/>
  <c r="AX46" i="26" s="1"/>
  <c r="BT50" i="26"/>
  <c r="T50" i="26"/>
  <c r="CG50" i="26"/>
  <c r="BU50" i="26"/>
  <c r="U50" i="26"/>
  <c r="AU50" i="26" s="1"/>
  <c r="CH50" i="26"/>
  <c r="BR49" i="26"/>
  <c r="R49" i="26"/>
  <c r="AR49" i="26" s="1"/>
  <c r="CE49" i="26"/>
  <c r="BV47" i="26"/>
  <c r="V47" i="26"/>
  <c r="AV47" i="26" s="1"/>
  <c r="CI47" i="26"/>
  <c r="BX47" i="26"/>
  <c r="X47" i="26"/>
  <c r="AX47" i="26" s="1"/>
  <c r="CK47" i="26"/>
  <c r="BW16" i="26"/>
  <c r="W16" i="26"/>
  <c r="AW16" i="26" s="1"/>
  <c r="CJ16" i="26"/>
  <c r="BR16" i="26"/>
  <c r="R16" i="26"/>
  <c r="AR16" i="26" s="1"/>
  <c r="CE16" i="26"/>
  <c r="AE34" i="26"/>
  <c r="BE34" i="26"/>
  <c r="AM31" i="26"/>
  <c r="BM31" i="26"/>
  <c r="AI43" i="26"/>
  <c r="BI43" i="26"/>
  <c r="AF26" i="26"/>
  <c r="BF26" i="26"/>
  <c r="AK10" i="26"/>
  <c r="BK10" i="26"/>
  <c r="AE10" i="26"/>
  <c r="BE10" i="26"/>
  <c r="AM38" i="26"/>
  <c r="BM38" i="26"/>
  <c r="AF33" i="26"/>
  <c r="BF33" i="26"/>
  <c r="AL31" i="26"/>
  <c r="BL31" i="26"/>
  <c r="AL43" i="26"/>
  <c r="BL43" i="26"/>
  <c r="AF27" i="26"/>
  <c r="BF27" i="26"/>
  <c r="AG28" i="26"/>
  <c r="BG28" i="26"/>
  <c r="AK22" i="26"/>
  <c r="BK22" i="26"/>
  <c r="AH13" i="26"/>
  <c r="BH13" i="26"/>
  <c r="AF23" i="26"/>
  <c r="BF23" i="26"/>
  <c r="AK21" i="26"/>
  <c r="BK21" i="26"/>
  <c r="AF14" i="26"/>
  <c r="BF14" i="26"/>
  <c r="AM18" i="26"/>
  <c r="BM18" i="26"/>
  <c r="AG18" i="26"/>
  <c r="BG18" i="26"/>
  <c r="AI35" i="26"/>
  <c r="BI35" i="26"/>
  <c r="AL27" i="26"/>
  <c r="BL27" i="26"/>
  <c r="BJ13" i="26"/>
  <c r="AJ13" i="26"/>
  <c r="AE26" i="26"/>
  <c r="BE26" i="26"/>
  <c r="AL10" i="26"/>
  <c r="BL10" i="26"/>
  <c r="AG6" i="26"/>
  <c r="BG6" i="26"/>
  <c r="AM33" i="26"/>
  <c r="BM33" i="26"/>
  <c r="AJ41" i="26"/>
  <c r="BJ41" i="26"/>
  <c r="AJ19" i="26"/>
  <c r="BJ19" i="26"/>
  <c r="AI32" i="26"/>
  <c r="BI32" i="26"/>
  <c r="AH33" i="26"/>
  <c r="BH33" i="26"/>
  <c r="BE14" i="26"/>
  <c r="AE14" i="26"/>
  <c r="AF20" i="26"/>
  <c r="BF20" i="26"/>
  <c r="BY46" i="26"/>
  <c r="CL46" i="26"/>
  <c r="Y46" i="26"/>
  <c r="AY46" i="26" s="1"/>
  <c r="BW50" i="26"/>
  <c r="W50" i="26"/>
  <c r="AW50" i="26" s="1"/>
  <c r="CJ50" i="26"/>
  <c r="BQ50" i="26"/>
  <c r="CD50" i="26"/>
  <c r="BQ49" i="26"/>
  <c r="CD49" i="26"/>
  <c r="CE48" i="26"/>
  <c r="R48" i="26"/>
  <c r="AR48" i="26" s="1"/>
  <c r="BU47" i="26"/>
  <c r="U47" i="26"/>
  <c r="AU47" i="26" s="1"/>
  <c r="CH47" i="26"/>
  <c r="BZ16" i="26"/>
  <c r="Z16" i="26"/>
  <c r="AZ16" i="26" s="1"/>
  <c r="CM16" i="26"/>
  <c r="BR47" i="26"/>
  <c r="R47" i="26"/>
  <c r="AR47" i="26" s="1"/>
  <c r="CE47" i="26"/>
  <c r="BX48" i="26"/>
  <c r="X48" i="26"/>
  <c r="AX48" i="26" s="1"/>
  <c r="CK48" i="26"/>
  <c r="BQ48" i="26"/>
  <c r="CD48" i="26"/>
  <c r="BM43" i="26"/>
  <c r="AM43" i="26"/>
  <c r="BI25" i="26"/>
  <c r="AI25" i="26"/>
  <c r="AH28" i="26"/>
  <c r="BH28" i="26"/>
  <c r="AJ26" i="26"/>
  <c r="BJ26" i="26"/>
  <c r="AL14" i="26"/>
  <c r="BL14" i="26"/>
  <c r="AM13" i="26"/>
  <c r="BM13" i="26"/>
  <c r="AH12" i="26"/>
  <c r="BH12" i="26"/>
  <c r="AF7" i="26"/>
  <c r="BF7" i="26"/>
  <c r="AK20" i="26"/>
  <c r="BK20" i="26"/>
  <c r="AI9" i="26"/>
  <c r="BI9" i="26"/>
  <c r="AJ33" i="26"/>
  <c r="BJ33" i="26"/>
  <c r="AL25" i="26"/>
  <c r="BL25" i="26"/>
  <c r="AE7" i="26"/>
  <c r="BE7" i="26"/>
  <c r="AL11" i="26"/>
  <c r="BL11" i="26"/>
  <c r="AF41" i="26"/>
  <c r="BF41" i="26"/>
  <c r="AH26" i="26"/>
  <c r="BH26" i="26"/>
  <c r="AJ14" i="26"/>
  <c r="BJ14" i="26"/>
  <c r="AF12" i="26"/>
  <c r="BF12" i="26"/>
  <c r="AI41" i="26"/>
  <c r="BI41" i="26"/>
  <c r="AI22" i="26"/>
  <c r="BI22" i="26"/>
  <c r="AJ23" i="26"/>
  <c r="BJ23" i="26"/>
  <c r="AK5" i="26"/>
  <c r="BK5" i="26"/>
  <c r="AJ35" i="26"/>
  <c r="BJ35" i="26"/>
  <c r="AL7" i="26"/>
  <c r="BL7" i="26"/>
  <c r="AE8" i="26"/>
  <c r="BE8" i="26"/>
  <c r="AE20" i="26"/>
  <c r="BE20" i="26"/>
  <c r="BT46" i="26"/>
  <c r="T46" i="26"/>
  <c r="CG46" i="26"/>
  <c r="BR46" i="26"/>
  <c r="R46" i="26"/>
  <c r="AR46" i="26" s="1"/>
  <c r="CE46" i="26"/>
  <c r="BW46" i="26"/>
  <c r="W46" i="26"/>
  <c r="AW46" i="26" s="1"/>
  <c r="CJ46" i="26"/>
  <c r="BS50" i="26"/>
  <c r="S50" i="26"/>
  <c r="AS50" i="26" s="1"/>
  <c r="CF50" i="26"/>
  <c r="U49" i="26"/>
  <c r="AU49" i="26" s="1"/>
  <c r="CH49" i="26"/>
  <c r="BT49" i="26"/>
  <c r="CG49" i="26"/>
  <c r="T49" i="26"/>
  <c r="BZ49" i="26"/>
  <c r="CM49" i="26"/>
  <c r="Z49" i="26"/>
  <c r="AZ49" i="26" s="1"/>
  <c r="BS48" i="26"/>
  <c r="CF48" i="26"/>
  <c r="S48" i="26"/>
  <c r="AS48" i="26" s="1"/>
  <c r="CJ47" i="26"/>
  <c r="W47" i="26"/>
  <c r="AW47" i="26" s="1"/>
  <c r="BS47" i="26"/>
  <c r="S47" i="26"/>
  <c r="AS47" i="26" s="1"/>
  <c r="CF47" i="26"/>
  <c r="BV48" i="26"/>
  <c r="CI48" i="26"/>
  <c r="V48" i="26"/>
  <c r="AV48" i="26" s="1"/>
  <c r="BS16" i="26"/>
  <c r="S16" i="26"/>
  <c r="AS16" i="26" s="1"/>
  <c r="CF16" i="26"/>
  <c r="BY16" i="26"/>
  <c r="Y16" i="26"/>
  <c r="AY16" i="26" s="1"/>
  <c r="CL16" i="26"/>
  <c r="BX16" i="26"/>
  <c r="CK16" i="26"/>
  <c r="X16" i="26"/>
  <c r="AX16" i="26" s="1"/>
  <c r="BT48" i="26"/>
  <c r="T48" i="26"/>
  <c r="CG48" i="26"/>
  <c r="BE5" i="26"/>
  <c r="AJ30" i="26"/>
  <c r="BJ30" i="26"/>
  <c r="AI31" i="26"/>
  <c r="BI31" i="26"/>
  <c r="AE31" i="26"/>
  <c r="BE31" i="26"/>
  <c r="AL41" i="26"/>
  <c r="BL41" i="26"/>
  <c r="BK27" i="26"/>
  <c r="AK27" i="26"/>
  <c r="AM25" i="26"/>
  <c r="BM25" i="26"/>
  <c r="AG24" i="26"/>
  <c r="BG24" i="26"/>
  <c r="AI21" i="26"/>
  <c r="BI21" i="26"/>
  <c r="AL12" i="26"/>
  <c r="BL12" i="26"/>
  <c r="AJ7" i="26"/>
  <c r="BJ7" i="26"/>
  <c r="AL19" i="26"/>
  <c r="BL19" i="26"/>
  <c r="AL5" i="26"/>
  <c r="BL5" i="26"/>
  <c r="AK18" i="26"/>
  <c r="BK18" i="26"/>
  <c r="BI5" i="26"/>
  <c r="AI5" i="26"/>
  <c r="AG35" i="26"/>
  <c r="BG35" i="26"/>
  <c r="AI30" i="26"/>
  <c r="BI30" i="26"/>
  <c r="AJ27" i="26"/>
  <c r="BJ27" i="26"/>
  <c r="AF24" i="26"/>
  <c r="BF24" i="26"/>
  <c r="AH21" i="26"/>
  <c r="BH21" i="26"/>
  <c r="AH15" i="26"/>
  <c r="BH15" i="26"/>
  <c r="AK14" i="26"/>
  <c r="BK14" i="26"/>
  <c r="AM7" i="26"/>
  <c r="BM7" i="26"/>
  <c r="AL20" i="26"/>
  <c r="BL20" i="26"/>
  <c r="AG19" i="26"/>
  <c r="BG19" i="26"/>
  <c r="AF10" i="26"/>
  <c r="BF10" i="26"/>
  <c r="AH32" i="26"/>
  <c r="BH32" i="26"/>
  <c r="AK43" i="26"/>
  <c r="BK43" i="26"/>
  <c r="AL26" i="26"/>
  <c r="BL26" i="26"/>
  <c r="BK15" i="26"/>
  <c r="AK15" i="26"/>
  <c r="AM10" i="26"/>
  <c r="BM10" i="26"/>
  <c r="AE11" i="26"/>
  <c r="BE11" i="26"/>
  <c r="AF6" i="26"/>
  <c r="BF6" i="26"/>
  <c r="AF43" i="26"/>
  <c r="BF43" i="26"/>
  <c r="AL24" i="26"/>
  <c r="BL24" i="26"/>
  <c r="AG26" i="26"/>
  <c r="BG26" i="26"/>
  <c r="AF21" i="26"/>
  <c r="BF21" i="26"/>
  <c r="BK7" i="26"/>
  <c r="AK7" i="26"/>
  <c r="AJ18" i="26"/>
  <c r="BJ18" i="26"/>
  <c r="AF5" i="26"/>
  <c r="BF5" i="26"/>
  <c r="AF11" i="26"/>
  <c r="BF11" i="26"/>
  <c r="BH18" i="26"/>
  <c r="AH18" i="26"/>
  <c r="BI6" i="26"/>
  <c r="AI6" i="26"/>
  <c r="AL15" i="26"/>
  <c r="BL15" i="26"/>
  <c r="AK9" i="26"/>
  <c r="BK9" i="26"/>
  <c r="AL18" i="26"/>
  <c r="BL18" i="26"/>
  <c r="AK6" i="26"/>
  <c r="BK6" i="26"/>
  <c r="BH5" i="26"/>
  <c r="AH5" i="26"/>
  <c r="AH8" i="26"/>
  <c r="BH8" i="26"/>
  <c r="AF18" i="26"/>
  <c r="BF18" i="26"/>
  <c r="AG31" i="26"/>
  <c r="BG31" i="26"/>
  <c r="AM27" i="26"/>
  <c r="BM27" i="26"/>
  <c r="AE27" i="26"/>
  <c r="BE27" i="26"/>
  <c r="AM24" i="26"/>
  <c r="BM24" i="26"/>
  <c r="AG21" i="26"/>
  <c r="BG21" i="26"/>
  <c r="AK13" i="26"/>
  <c r="BK13" i="26"/>
  <c r="AJ12" i="26"/>
  <c r="BJ12" i="26"/>
  <c r="AM11" i="26"/>
  <c r="BM11" i="26"/>
  <c r="AH19" i="26"/>
  <c r="BH19" i="26"/>
  <c r="AM35" i="26"/>
  <c r="BM35" i="26"/>
  <c r="BJ31" i="26"/>
  <c r="AJ31" i="26"/>
  <c r="AH27" i="26"/>
  <c r="BH27" i="26"/>
  <c r="AE28" i="26"/>
  <c r="BE28" i="26"/>
  <c r="AM22" i="26"/>
  <c r="BM22" i="26"/>
  <c r="AM14" i="26"/>
  <c r="BM14" i="26"/>
  <c r="BJ8" i="26"/>
  <c r="AJ8" i="26"/>
  <c r="AF9" i="26"/>
  <c r="BF9" i="26"/>
  <c r="AH10" i="26"/>
  <c r="BH10" i="26"/>
  <c r="AE6" i="26"/>
  <c r="BE6" i="26"/>
  <c r="BS46" i="26"/>
  <c r="CF46" i="26"/>
  <c r="S46" i="26"/>
  <c r="AS46" i="26" s="1"/>
  <c r="V50" i="26"/>
  <c r="AV50" i="26" s="1"/>
  <c r="CI50" i="26"/>
  <c r="CL49" i="26"/>
  <c r="Y49" i="26"/>
  <c r="AY49" i="26" s="1"/>
  <c r="BQ47" i="26"/>
  <c r="CD47" i="26"/>
  <c r="BY48" i="26"/>
  <c r="Y48" i="26"/>
  <c r="AY48" i="26" s="1"/>
  <c r="CL48" i="26"/>
  <c r="AL35" i="26"/>
  <c r="BL35" i="26"/>
  <c r="AK33" i="26"/>
  <c r="BK33" i="26"/>
  <c r="AF30" i="26"/>
  <c r="BF30" i="26"/>
  <c r="AH41" i="26"/>
  <c r="BH41" i="26"/>
  <c r="AL22" i="26"/>
  <c r="BL22" i="26"/>
  <c r="AH14" i="26"/>
  <c r="BH14" i="26"/>
  <c r="AI13" i="26"/>
  <c r="BI13" i="26"/>
  <c r="BL9" i="26"/>
  <c r="AL9" i="26"/>
  <c r="AK23" i="26"/>
  <c r="BK23" i="26"/>
  <c r="AG8" i="26"/>
  <c r="BG8" i="26"/>
  <c r="AK41" i="26"/>
  <c r="BK41" i="26"/>
  <c r="AK28" i="26"/>
  <c r="BK28" i="26"/>
  <c r="AI26" i="26"/>
  <c r="BI26" i="26"/>
  <c r="AG22" i="26"/>
  <c r="BG22" i="26"/>
  <c r="AG14" i="26"/>
  <c r="BG14" i="26"/>
  <c r="AH11" i="26"/>
  <c r="BH11" i="26"/>
  <c r="AL38" i="26"/>
  <c r="BL38" i="26"/>
  <c r="AK31" i="26"/>
  <c r="BK31" i="26"/>
  <c r="AI27" i="26"/>
  <c r="BI27" i="26"/>
  <c r="AF28" i="26"/>
  <c r="BF28" i="26"/>
  <c r="AJ9" i="26"/>
  <c r="BJ9" i="26"/>
  <c r="AG5" i="26"/>
  <c r="BG5" i="26"/>
  <c r="AI20" i="26"/>
  <c r="BI20" i="26"/>
  <c r="AG30" i="26"/>
  <c r="BG30" i="26"/>
  <c r="AM9" i="26"/>
  <c r="BM9" i="26"/>
  <c r="BM6" i="26"/>
  <c r="AM6" i="26"/>
  <c r="AG12" i="26"/>
  <c r="BG12" i="26"/>
  <c r="AH20" i="26"/>
  <c r="BH20" i="26"/>
  <c r="AE33" i="26"/>
  <c r="BE33" i="26"/>
  <c r="AG43" i="26"/>
  <c r="BG43" i="26"/>
  <c r="BK25" i="26"/>
  <c r="AK25" i="26"/>
  <c r="AG15" i="26"/>
  <c r="BG15" i="26"/>
  <c r="AM32" i="26"/>
  <c r="BM32" i="26"/>
  <c r="AG10" i="26"/>
  <c r="BG10" i="26"/>
  <c r="AE35" i="26"/>
  <c r="BE35" i="26"/>
  <c r="BM41" i="26"/>
  <c r="AM41" i="26"/>
  <c r="AJ25" i="26"/>
  <c r="BJ25" i="26"/>
  <c r="AG7" i="26"/>
  <c r="BG7" i="26"/>
  <c r="AF8" i="26"/>
  <c r="BF8" i="26"/>
  <c r="BU46" i="26"/>
  <c r="CH46" i="26"/>
  <c r="U46" i="26"/>
  <c r="AU46" i="26" s="1"/>
  <c r="BQ46" i="26"/>
  <c r="CD46" i="26"/>
  <c r="BR50" i="26"/>
  <c r="R50" i="26"/>
  <c r="AR50" i="26" s="1"/>
  <c r="CE50" i="26"/>
  <c r="BX49" i="26"/>
  <c r="CK49" i="26"/>
  <c r="X49" i="26"/>
  <c r="AX49" i="26" s="1"/>
  <c r="BV49" i="26"/>
  <c r="V49" i="26"/>
  <c r="AV49" i="26" s="1"/>
  <c r="CI49" i="26"/>
  <c r="BZ47" i="26"/>
  <c r="Z47" i="26"/>
  <c r="AZ47" i="26" s="1"/>
  <c r="CM47" i="26"/>
  <c r="BT16" i="26"/>
  <c r="T16" i="26"/>
  <c r="CG16" i="26"/>
  <c r="U48" i="26"/>
  <c r="AU48" i="26" s="1"/>
  <c r="CH48" i="26"/>
  <c r="BZ48" i="26"/>
  <c r="Z48" i="26"/>
  <c r="AZ48" i="26" s="1"/>
  <c r="CM48" i="26"/>
  <c r="BG27" i="26"/>
  <c r="AG27" i="26"/>
  <c r="AE21" i="26"/>
  <c r="BE21" i="26"/>
  <c r="AE15" i="26"/>
  <c r="BE15" i="26"/>
  <c r="AK8" i="26"/>
  <c r="BK8" i="26"/>
  <c r="AL6" i="26"/>
  <c r="BL6" i="26"/>
  <c r="AG11" i="26"/>
  <c r="BG11" i="26"/>
  <c r="AE18" i="26"/>
  <c r="BE18" i="26"/>
  <c r="AE23" i="26"/>
  <c r="BE23" i="26"/>
  <c r="AI23" i="26"/>
  <c r="BI23" i="26"/>
  <c r="AE30" i="26"/>
  <c r="BE30" i="26"/>
  <c r="AM26" i="26"/>
  <c r="BM26" i="26"/>
  <c r="AL32" i="26"/>
  <c r="BL32" i="26"/>
  <c r="AF35" i="26"/>
  <c r="BF35" i="26"/>
  <c r="AH7" i="26"/>
  <c r="BH7" i="26"/>
  <c r="AE24" i="26"/>
  <c r="BE24" i="26"/>
  <c r="BF22" i="26"/>
  <c r="AF22" i="26"/>
  <c r="AM20" i="26"/>
  <c r="BM20" i="26"/>
  <c r="AG23" i="26"/>
  <c r="BG23" i="26"/>
  <c r="AJ43" i="26"/>
  <c r="BJ43" i="26"/>
  <c r="AH24" i="26"/>
  <c r="BH24" i="26"/>
  <c r="AE22" i="26"/>
  <c r="BE22" i="26"/>
  <c r="AI14" i="26"/>
  <c r="BI14" i="26"/>
  <c r="AM12" i="26"/>
  <c r="BM12" i="26"/>
  <c r="AE12" i="26"/>
  <c r="BE12" i="26"/>
  <c r="AJ11" i="26"/>
  <c r="BJ11" i="26"/>
  <c r="AI19" i="26"/>
  <c r="BI19" i="26"/>
  <c r="BZ46" i="26"/>
  <c r="Z46" i="26"/>
  <c r="AZ46" i="26" s="1"/>
  <c r="CM46" i="26"/>
  <c r="BV46" i="26"/>
  <c r="V46" i="26"/>
  <c r="AV46" i="26" s="1"/>
  <c r="CI46" i="26"/>
  <c r="BX50" i="26"/>
  <c r="X50" i="26"/>
  <c r="AX50" i="26" s="1"/>
  <c r="CK50" i="26"/>
  <c r="Z50" i="26"/>
  <c r="AZ50" i="26" s="1"/>
  <c r="CM50" i="26"/>
  <c r="BY50" i="26"/>
  <c r="CL50" i="26"/>
  <c r="Y50" i="26"/>
  <c r="AY50" i="26" s="1"/>
  <c r="BW49" i="26"/>
  <c r="W49" i="26"/>
  <c r="AW49" i="26" s="1"/>
  <c r="CJ49" i="26"/>
  <c r="BS49" i="26"/>
  <c r="S49" i="26"/>
  <c r="AS49" i="26" s="1"/>
  <c r="CF49" i="26"/>
  <c r="BT47" i="26"/>
  <c r="CG47" i="26"/>
  <c r="T47" i="26"/>
  <c r="BY47" i="26"/>
  <c r="Y47" i="26"/>
  <c r="AY47" i="26" s="1"/>
  <c r="CL47" i="26"/>
  <c r="BQ16" i="26"/>
  <c r="CD16" i="26"/>
  <c r="CI16" i="26"/>
  <c r="V16" i="26"/>
  <c r="AV16" i="26" s="1"/>
  <c r="BU16" i="26"/>
  <c r="U16" i="26"/>
  <c r="AU16" i="26" s="1"/>
  <c r="CH16" i="26"/>
  <c r="BW48" i="26"/>
  <c r="W48" i="26"/>
  <c r="AW48" i="26" s="1"/>
  <c r="CJ48" i="26"/>
  <c r="AJ38" i="26"/>
  <c r="BJ38" i="26"/>
  <c r="AH35" i="26"/>
  <c r="BH35" i="26"/>
  <c r="BG33" i="26"/>
  <c r="AG33" i="26"/>
  <c r="AE43" i="26"/>
  <c r="BE43" i="26"/>
  <c r="AL28" i="26"/>
  <c r="BL28" i="26"/>
  <c r="AK24" i="26"/>
  <c r="BK24" i="26"/>
  <c r="AM21" i="26"/>
  <c r="BM21" i="26"/>
  <c r="AH22" i="26"/>
  <c r="BH22" i="26"/>
  <c r="AM15" i="26"/>
  <c r="BM15" i="26"/>
  <c r="AI15" i="26"/>
  <c r="BI15" i="26"/>
  <c r="AE13" i="26"/>
  <c r="BE13" i="26"/>
  <c r="AK11" i="26"/>
  <c r="BK11" i="26"/>
  <c r="AK32" i="26"/>
  <c r="BK32" i="26"/>
  <c r="AE9" i="26"/>
  <c r="BE9" i="26"/>
  <c r="BF19" i="26"/>
  <c r="AF19" i="26"/>
  <c r="BI10" i="26"/>
  <c r="AI10" i="26"/>
  <c r="AI18" i="26"/>
  <c r="BI18" i="26"/>
  <c r="AG20" i="26"/>
  <c r="BG20" i="26"/>
  <c r="BG32" i="26"/>
  <c r="AG32" i="26"/>
  <c r="AH6" i="26"/>
  <c r="BH6" i="26"/>
  <c r="AI38" i="26"/>
  <c r="BI38" i="26"/>
  <c r="AK35" i="26"/>
  <c r="BK35" i="26"/>
  <c r="AM30" i="26"/>
  <c r="BM30" i="26"/>
  <c r="AH31" i="26"/>
  <c r="BH31" i="26"/>
  <c r="AH43" i="26"/>
  <c r="BH43" i="26"/>
  <c r="AG41" i="26"/>
  <c r="BG41" i="26"/>
  <c r="AJ24" i="26"/>
  <c r="BJ24" i="26"/>
  <c r="AL21" i="26"/>
  <c r="BL21" i="26"/>
  <c r="BK12" i="26"/>
  <c r="AK12" i="26"/>
  <c r="AK19" i="26"/>
  <c r="BK19" i="26"/>
  <c r="AL8" i="26"/>
  <c r="BL8" i="26"/>
  <c r="AH9" i="26"/>
  <c r="BH9" i="26"/>
  <c r="AI33" i="26"/>
  <c r="BI33" i="26"/>
  <c r="BL30" i="26"/>
  <c r="AL30" i="26"/>
  <c r="AI24" i="26"/>
  <c r="BI24" i="26"/>
  <c r="AJ22" i="26"/>
  <c r="BJ22" i="26"/>
  <c r="AG13" i="26"/>
  <c r="BG13" i="26"/>
  <c r="AJ5" i="26"/>
  <c r="BJ5" i="26"/>
  <c r="BM23" i="26"/>
  <c r="AM23" i="26"/>
  <c r="AJ6" i="26"/>
  <c r="BJ6" i="26"/>
  <c r="AI8" i="26"/>
  <c r="BI8" i="26"/>
  <c r="AE32" i="26"/>
  <c r="BE32" i="26"/>
  <c r="AL33" i="26"/>
  <c r="BL33" i="26"/>
  <c r="AF31" i="26"/>
  <c r="BF31" i="26"/>
  <c r="AI28" i="26"/>
  <c r="BI28" i="26"/>
  <c r="AI12" i="26"/>
  <c r="BI12" i="26"/>
  <c r="BM5" i="26"/>
  <c r="AM5" i="26"/>
  <c r="AJ10" i="26"/>
  <c r="BJ10" i="26"/>
  <c r="AE19" i="26"/>
  <c r="BE19" i="26"/>
  <c r="AH23" i="26"/>
  <c r="BH23" i="26"/>
  <c r="AL13" i="26"/>
  <c r="BL13" i="26"/>
  <c r="AI7" i="26"/>
  <c r="BI7" i="26"/>
  <c r="AL23" i="26"/>
  <c r="BL23" i="26"/>
  <c r="BH38" i="26"/>
  <c r="AH38" i="26"/>
  <c r="AH30" i="26"/>
  <c r="BH30" i="26"/>
  <c r="AJ28" i="26"/>
  <c r="BJ28" i="26"/>
  <c r="AM8" i="26"/>
  <c r="BM8" i="26"/>
  <c r="AG9" i="26"/>
  <c r="BG9" i="26"/>
  <c r="AI11" i="26"/>
  <c r="BI11" i="26"/>
  <c r="AK38" i="26"/>
  <c r="BK38" i="26"/>
  <c r="AK30" i="26"/>
  <c r="BK30" i="26"/>
  <c r="AE41" i="26"/>
  <c r="BE41" i="26"/>
  <c r="AM28" i="26"/>
  <c r="BM28" i="26"/>
  <c r="AK26" i="26"/>
  <c r="BK26" i="26"/>
  <c r="AJ21" i="26"/>
  <c r="BJ21" i="26"/>
  <c r="AJ15" i="26"/>
  <c r="BJ15" i="26"/>
  <c r="AF15" i="26"/>
  <c r="BF15" i="26"/>
  <c r="AF13" i="26"/>
  <c r="BF13" i="26"/>
  <c r="AM19" i="26"/>
  <c r="BM19" i="26"/>
  <c r="AJ20" i="26"/>
  <c r="BJ20" i="26"/>
  <c r="AJ32" i="26"/>
  <c r="BJ32" i="26"/>
  <c r="AF32" i="26"/>
  <c r="BF32" i="26"/>
  <c r="BV50" i="26"/>
  <c r="BY49" i="26"/>
  <c r="BR48" i="26"/>
  <c r="BU48" i="26"/>
  <c r="BU49" i="26"/>
  <c r="BW47" i="26"/>
  <c r="BZ50" i="26"/>
  <c r="BV16" i="26"/>
  <c r="H51" i="26"/>
  <c r="L51" i="26"/>
  <c r="G51" i="26"/>
  <c r="J51" i="26"/>
  <c r="M51" i="26"/>
  <c r="I51" i="26"/>
  <c r="CY68" i="26"/>
  <c r="E51" i="26"/>
  <c r="K51" i="26"/>
  <c r="F51" i="26"/>
  <c r="CQ51" i="26" s="1"/>
  <c r="CZ69" i="26"/>
  <c r="CZ68" i="26"/>
  <c r="S40" i="7"/>
  <c r="CZ73" i="26"/>
  <c r="CZ70" i="26"/>
  <c r="CZ71" i="26"/>
  <c r="R355" i="2"/>
  <c r="S355" i="2" s="1"/>
  <c r="S41" i="7"/>
  <c r="CZ72" i="26"/>
  <c r="CY71" i="26"/>
  <c r="CY69" i="26"/>
  <c r="CY70" i="26"/>
  <c r="CY72" i="26"/>
  <c r="CY73" i="26"/>
  <c r="R354" i="2"/>
  <c r="S354" i="2" s="1"/>
  <c r="K34" i="26"/>
  <c r="G34" i="26"/>
  <c r="J34" i="26"/>
  <c r="F34" i="26"/>
  <c r="CQ34" i="26" s="1"/>
  <c r="M34" i="26"/>
  <c r="I34" i="26"/>
  <c r="L34" i="26"/>
  <c r="H34" i="26"/>
  <c r="R271" i="2"/>
  <c r="S271" i="2" s="1"/>
  <c r="R270" i="2"/>
  <c r="S270" i="2" s="1"/>
  <c r="R269" i="2"/>
  <c r="S269" i="2" s="1"/>
  <c r="R263" i="2"/>
  <c r="S263" i="2" s="1"/>
  <c r="R262" i="2"/>
  <c r="S262" i="2" s="1"/>
  <c r="CT34" i="26" l="1"/>
  <c r="AT46" i="26"/>
  <c r="CR46" i="26"/>
  <c r="CS46" i="26" s="1"/>
  <c r="AT50" i="26"/>
  <c r="CR50" i="26"/>
  <c r="CS50" i="26" s="1"/>
  <c r="AT16" i="26"/>
  <c r="CR16" i="26"/>
  <c r="CS16" i="26" s="1"/>
  <c r="AT49" i="26"/>
  <c r="CR49" i="26"/>
  <c r="CS49" i="26" s="1"/>
  <c r="CT51" i="26"/>
  <c r="AT47" i="26"/>
  <c r="CR47" i="26"/>
  <c r="CS47" i="26" s="1"/>
  <c r="AT48" i="26"/>
  <c r="CR48" i="26"/>
  <c r="CS48" i="26" s="1"/>
  <c r="BZ34" i="26"/>
  <c r="CM34" i="26"/>
  <c r="Z34" i="26"/>
  <c r="AZ34" i="26" s="1"/>
  <c r="BV51" i="26"/>
  <c r="CI51" i="26"/>
  <c r="V51" i="26"/>
  <c r="AV51" i="26" s="1"/>
  <c r="AF49" i="26"/>
  <c r="BF49" i="26"/>
  <c r="BU34" i="26"/>
  <c r="U34" i="26"/>
  <c r="AU34" i="26" s="1"/>
  <c r="CH34" i="26"/>
  <c r="Z51" i="26"/>
  <c r="AZ51" i="26" s="1"/>
  <c r="CM51" i="26"/>
  <c r="AI16" i="26"/>
  <c r="BI16" i="26"/>
  <c r="AL50" i="26"/>
  <c r="BL50" i="26"/>
  <c r="AE50" i="26"/>
  <c r="BE50" i="26"/>
  <c r="BY34" i="26"/>
  <c r="Y34" i="26"/>
  <c r="AY34" i="26" s="1"/>
  <c r="CL34" i="26"/>
  <c r="BR51" i="26"/>
  <c r="CE51" i="26"/>
  <c r="AI46" i="26"/>
  <c r="BI46" i="26"/>
  <c r="AH47" i="26"/>
  <c r="BH47" i="26"/>
  <c r="BX34" i="26"/>
  <c r="X34" i="26"/>
  <c r="AX34" i="26" s="1"/>
  <c r="CK34" i="26"/>
  <c r="BS51" i="26"/>
  <c r="S51" i="26"/>
  <c r="AS51" i="26" s="1"/>
  <c r="CF51" i="26"/>
  <c r="BJ48" i="26"/>
  <c r="AJ48" i="26"/>
  <c r="AG47" i="26"/>
  <c r="BG47" i="26"/>
  <c r="AM48" i="26"/>
  <c r="BM48" i="26"/>
  <c r="AM47" i="26"/>
  <c r="BM47" i="26"/>
  <c r="AG48" i="26"/>
  <c r="BG48" i="26"/>
  <c r="AG46" i="26"/>
  <c r="BG46" i="26"/>
  <c r="AE47" i="26"/>
  <c r="BE47" i="26"/>
  <c r="AE48" i="26"/>
  <c r="BE48" i="26"/>
  <c r="BJ16" i="26"/>
  <c r="AJ16" i="26"/>
  <c r="AH50" i="26"/>
  <c r="BH50" i="26"/>
  <c r="S34" i="26"/>
  <c r="AS34" i="26" s="1"/>
  <c r="CF34" i="26"/>
  <c r="BX51" i="26"/>
  <c r="CK51" i="26"/>
  <c r="X51" i="26"/>
  <c r="AX51" i="26" s="1"/>
  <c r="BY51" i="26"/>
  <c r="Y51" i="26"/>
  <c r="AY51" i="26" s="1"/>
  <c r="CL51" i="26"/>
  <c r="AM50" i="26"/>
  <c r="BM50" i="26"/>
  <c r="AM46" i="26"/>
  <c r="BM46" i="26"/>
  <c r="AG16" i="26"/>
  <c r="BG16" i="26"/>
  <c r="AK49" i="26"/>
  <c r="BK49" i="26"/>
  <c r="AH46" i="26"/>
  <c r="BH46" i="26"/>
  <c r="AF16" i="26"/>
  <c r="BF16" i="26"/>
  <c r="AJ47" i="26"/>
  <c r="BJ47" i="26"/>
  <c r="AG49" i="26"/>
  <c r="BG49" i="26"/>
  <c r="AH49" i="26"/>
  <c r="BH49" i="26"/>
  <c r="AE46" i="26"/>
  <c r="BE46" i="26"/>
  <c r="AK48" i="26"/>
  <c r="BK48" i="26"/>
  <c r="BL46" i="26"/>
  <c r="AL46" i="26"/>
  <c r="AE16" i="26"/>
  <c r="BE16" i="26"/>
  <c r="AE49" i="26"/>
  <c r="BE49" i="26"/>
  <c r="AK46" i="26"/>
  <c r="BK46" i="26"/>
  <c r="BW34" i="26"/>
  <c r="CJ34" i="26"/>
  <c r="W34" i="26"/>
  <c r="AW34" i="26" s="1"/>
  <c r="BW51" i="26"/>
  <c r="CJ51" i="26"/>
  <c r="W51" i="26"/>
  <c r="AW51" i="26" s="1"/>
  <c r="BU51" i="26"/>
  <c r="U51" i="26"/>
  <c r="AU51" i="26" s="1"/>
  <c r="CH51" i="26"/>
  <c r="AL47" i="26"/>
  <c r="BL47" i="26"/>
  <c r="AI50" i="26"/>
  <c r="BI50" i="26"/>
  <c r="BK16" i="26"/>
  <c r="AK16" i="26"/>
  <c r="AL16" i="26"/>
  <c r="BL16" i="26"/>
  <c r="AM49" i="26"/>
  <c r="BM49" i="26"/>
  <c r="AJ46" i="26"/>
  <c r="BJ46" i="26"/>
  <c r="AI47" i="26"/>
  <c r="BI47" i="26"/>
  <c r="BV34" i="26"/>
  <c r="V34" i="26"/>
  <c r="AV34" i="26" s="1"/>
  <c r="CI34" i="26"/>
  <c r="BT34" i="26"/>
  <c r="T34" i="26"/>
  <c r="CG34" i="26"/>
  <c r="BT51" i="26"/>
  <c r="T51" i="26"/>
  <c r="CG51" i="26"/>
  <c r="AH16" i="26"/>
  <c r="BH16" i="26"/>
  <c r="AJ49" i="26"/>
  <c r="BJ49" i="26"/>
  <c r="AK50" i="26"/>
  <c r="BK50" i="26"/>
  <c r="AH48" i="26"/>
  <c r="BH48" i="26"/>
  <c r="AI49" i="26"/>
  <c r="BI49" i="26"/>
  <c r="AL48" i="26"/>
  <c r="BL48" i="26"/>
  <c r="AL49" i="26"/>
  <c r="BL49" i="26"/>
  <c r="AF46" i="26"/>
  <c r="BF46" i="26"/>
  <c r="AI48" i="26"/>
  <c r="BI48" i="26"/>
  <c r="AF47" i="26"/>
  <c r="BF47" i="26"/>
  <c r="AF48" i="26"/>
  <c r="BF48" i="26"/>
  <c r="AF50" i="26"/>
  <c r="BF50" i="26"/>
  <c r="AM16" i="26"/>
  <c r="BM16" i="26"/>
  <c r="BJ50" i="26"/>
  <c r="AJ50" i="26"/>
  <c r="AK47" i="26"/>
  <c r="BK47" i="26"/>
  <c r="AG50" i="26"/>
  <c r="BG50" i="26"/>
  <c r="BS34" i="26"/>
  <c r="BZ51" i="26"/>
  <c r="CY75" i="26"/>
  <c r="D51" i="26"/>
  <c r="CD51" i="26" s="1"/>
  <c r="D68" i="26"/>
  <c r="AT51" i="26" l="1"/>
  <c r="CR51" i="26"/>
  <c r="CS51" i="26" s="1"/>
  <c r="AT34" i="26"/>
  <c r="CR34" i="26"/>
  <c r="CS34" i="26" s="1"/>
  <c r="R51" i="26"/>
  <c r="BE51" i="26" s="1"/>
  <c r="AG51" i="26"/>
  <c r="BG51" i="26"/>
  <c r="AJ34" i="26"/>
  <c r="BJ34" i="26"/>
  <c r="AK51" i="26"/>
  <c r="BK51" i="26"/>
  <c r="AJ51" i="26"/>
  <c r="BJ51" i="26"/>
  <c r="AK34" i="26"/>
  <c r="BK34" i="26"/>
  <c r="AM34" i="26"/>
  <c r="BM34" i="26"/>
  <c r="AI34" i="26"/>
  <c r="BI34" i="26"/>
  <c r="AL51" i="26"/>
  <c r="BL51" i="26"/>
  <c r="AF51" i="26"/>
  <c r="BF51" i="26"/>
  <c r="AH34" i="26"/>
  <c r="BH34" i="26"/>
  <c r="AI51" i="26"/>
  <c r="BI51" i="26"/>
  <c r="AF34" i="26"/>
  <c r="BF34" i="26"/>
  <c r="AM51" i="26"/>
  <c r="BM51" i="26"/>
  <c r="AG34" i="26"/>
  <c r="BG34" i="26"/>
  <c r="AH51" i="26"/>
  <c r="BH51" i="26"/>
  <c r="BL34" i="26"/>
  <c r="AL34" i="26"/>
  <c r="BQ51" i="26"/>
  <c r="CY74" i="26"/>
  <c r="AE51" i="26" l="1"/>
  <c r="AR51" i="26"/>
  <c r="CZ74" i="26"/>
  <c r="CZ75" i="26"/>
  <c r="DA68" i="26" s="1"/>
  <c r="R300" i="2" l="1"/>
  <c r="S300" i="2" s="1"/>
  <c r="R299" i="2"/>
  <c r="S299" i="2" s="1"/>
  <c r="R254" i="2"/>
  <c r="S254" i="2" s="1"/>
  <c r="R251" i="2"/>
  <c r="S251" i="2" s="1"/>
  <c r="R249" i="2"/>
  <c r="S249" i="2" s="1"/>
  <c r="R248" i="2"/>
  <c r="S248" i="2" s="1"/>
  <c r="R247" i="2"/>
  <c r="S247" i="2" s="1"/>
  <c r="R246" i="2" l="1"/>
  <c r="S246" i="2" s="1"/>
  <c r="R245" i="2"/>
  <c r="S245" i="2" s="1"/>
  <c r="R244" i="2"/>
  <c r="S244" i="2" s="1"/>
  <c r="R231" i="2"/>
  <c r="S231" i="2" s="1"/>
  <c r="R220" i="2"/>
  <c r="S220" i="2" s="1"/>
  <c r="R219" i="2"/>
  <c r="S219" i="2" s="1"/>
  <c r="R218" i="2"/>
  <c r="S218" i="2" s="1"/>
  <c r="R217" i="2"/>
  <c r="S217" i="2" s="1"/>
  <c r="R216" i="2"/>
  <c r="S216" i="2" s="1"/>
  <c r="R65" i="2"/>
  <c r="S65" i="2" s="1"/>
  <c r="R64" i="2"/>
  <c r="S64" i="2" s="1"/>
  <c r="R63" i="2"/>
  <c r="S63" i="2" s="1"/>
  <c r="R215" i="2"/>
  <c r="S215" i="2" s="1"/>
  <c r="R214" i="2"/>
  <c r="S214" i="2" s="1"/>
  <c r="R183" i="2"/>
  <c r="S183" i="2" s="1"/>
  <c r="R182" i="2"/>
  <c r="S182" i="2" s="1"/>
  <c r="R181" i="2"/>
  <c r="S181" i="2" s="1"/>
  <c r="R173" i="2"/>
  <c r="S173" i="2" s="1"/>
  <c r="R172" i="2"/>
  <c r="S172" i="2" s="1"/>
  <c r="R171" i="2"/>
  <c r="S171" i="2" s="1"/>
  <c r="R169" i="2"/>
  <c r="S169" i="2" s="1"/>
  <c r="R154" i="2"/>
  <c r="S154" i="2" s="1"/>
  <c r="R153" i="2"/>
  <c r="S153" i="2" s="1"/>
  <c r="R152" i="2"/>
  <c r="S152" i="2" s="1"/>
  <c r="R151" i="2"/>
  <c r="S151" i="2" s="1"/>
  <c r="R126" i="2"/>
  <c r="S126" i="2" s="1"/>
  <c r="R125" i="2"/>
  <c r="S125" i="2" s="1"/>
  <c r="R100" i="2"/>
  <c r="S100" i="2" s="1"/>
  <c r="R99" i="2"/>
  <c r="S99" i="2" s="1"/>
  <c r="R98" i="2"/>
  <c r="S98" i="2" s="1"/>
  <c r="R75" i="2"/>
  <c r="S75" i="2" s="1"/>
  <c r="R116" i="2"/>
  <c r="S116" i="2" s="1"/>
  <c r="R50" i="2"/>
  <c r="S50" i="2" s="1"/>
  <c r="R48" i="2"/>
  <c r="S48" i="2" s="1"/>
  <c r="R49" i="2"/>
  <c r="S49" i="2" s="1"/>
  <c r="R31" i="2"/>
  <c r="S31" i="2" s="1"/>
  <c r="R30" i="2"/>
  <c r="S30" i="2" s="1"/>
  <c r="R29" i="2"/>
  <c r="S29" i="2" s="1"/>
  <c r="V42" i="7" l="1"/>
  <c r="V41" i="7"/>
  <c r="V39" i="7"/>
  <c r="V43" i="7"/>
  <c r="R28" i="2"/>
  <c r="S28" i="2" s="1"/>
  <c r="V40" i="7" l="1"/>
  <c r="K35" i="24"/>
  <c r="I44" i="24" l="1"/>
  <c r="J44" i="24"/>
  <c r="H44" i="24"/>
  <c r="K43" i="24"/>
  <c r="L43" i="24"/>
  <c r="J43" i="24"/>
  <c r="I43" i="24"/>
  <c r="K32" i="24"/>
  <c r="L32" i="24" s="1"/>
  <c r="J32" i="24"/>
  <c r="R276" i="2" l="1"/>
  <c r="S276" i="2" s="1"/>
  <c r="N276" i="2"/>
  <c r="I6" i="24" l="1"/>
  <c r="J6" i="24" s="1"/>
  <c r="K6" i="24" s="1"/>
  <c r="L6" i="24" s="1"/>
  <c r="M6" i="24" s="1"/>
  <c r="I7" i="24"/>
  <c r="J7" i="24" s="1"/>
  <c r="K7" i="24" s="1"/>
  <c r="L7" i="24" s="1"/>
  <c r="M7" i="24" s="1"/>
  <c r="I8" i="24"/>
  <c r="J8" i="24" s="1"/>
  <c r="K8" i="24" s="1"/>
  <c r="L8" i="24" s="1"/>
  <c r="M8" i="24" s="1"/>
  <c r="J9" i="24"/>
  <c r="K9" i="24" s="1"/>
  <c r="L9" i="24" s="1"/>
  <c r="M9" i="24" s="1"/>
  <c r="K10" i="24"/>
  <c r="L10" i="24" s="1"/>
  <c r="M10" i="24" s="1"/>
  <c r="K13" i="24"/>
  <c r="L13" i="24" s="1"/>
  <c r="M13" i="24" s="1"/>
  <c r="J14" i="24"/>
  <c r="K14" i="24" s="1"/>
  <c r="L14" i="24" s="1"/>
  <c r="M14" i="24" s="1"/>
  <c r="J15" i="24"/>
  <c r="K15" i="24" s="1"/>
  <c r="L15" i="24" s="1"/>
  <c r="M15" i="24" s="1"/>
  <c r="K16" i="24"/>
  <c r="L16" i="24" s="1"/>
  <c r="M16" i="24" s="1"/>
  <c r="I17" i="24"/>
  <c r="J17" i="24" s="1"/>
  <c r="K17" i="24" s="1"/>
  <c r="L17" i="24" s="1"/>
  <c r="M17" i="24" s="1"/>
  <c r="I18" i="24"/>
  <c r="J18" i="24" s="1"/>
  <c r="K18" i="24" s="1"/>
  <c r="L18" i="24" s="1"/>
  <c r="M18" i="24" s="1"/>
  <c r="I19" i="24"/>
  <c r="J19" i="24"/>
  <c r="K19" i="24" s="1"/>
  <c r="L19" i="24" s="1"/>
  <c r="M19" i="24" s="1"/>
  <c r="I20" i="24"/>
  <c r="J20" i="24" s="1"/>
  <c r="M20" i="24" s="1"/>
  <c r="J21" i="24"/>
  <c r="K21" i="24"/>
  <c r="L21" i="24" s="1"/>
  <c r="M21" i="24" s="1"/>
  <c r="I22" i="24"/>
  <c r="J22" i="24" s="1"/>
  <c r="K22" i="24" s="1"/>
  <c r="L22" i="24" s="1"/>
  <c r="M22" i="24" s="1"/>
  <c r="K23" i="24"/>
  <c r="L23" i="24" s="1"/>
  <c r="M23" i="24" s="1"/>
  <c r="I24" i="24"/>
  <c r="J24" i="24" s="1"/>
  <c r="K24" i="24" s="1"/>
  <c r="L24" i="24" s="1"/>
  <c r="M24" i="24" s="1"/>
  <c r="I25" i="24"/>
  <c r="J25" i="24" s="1"/>
  <c r="K25" i="24" s="1"/>
  <c r="L25" i="24" s="1"/>
  <c r="M25" i="24" s="1"/>
  <c r="I26" i="24"/>
  <c r="J26" i="24"/>
  <c r="K26" i="24" s="1"/>
  <c r="L26" i="24" s="1"/>
  <c r="M26" i="24" s="1"/>
  <c r="J28" i="24"/>
  <c r="K28" i="24" s="1"/>
  <c r="L28" i="24" s="1"/>
  <c r="M28" i="24" s="1"/>
  <c r="K29" i="24"/>
  <c r="L29" i="24" s="1"/>
  <c r="M29" i="24" s="1"/>
  <c r="J30" i="24"/>
  <c r="K30" i="24"/>
  <c r="L30" i="24" s="1"/>
  <c r="M30" i="24" s="1"/>
  <c r="L31" i="24"/>
  <c r="M31" i="24" s="1"/>
  <c r="K33" i="24"/>
  <c r="L33" i="24"/>
  <c r="H34" i="24"/>
  <c r="I34" i="24" s="1"/>
  <c r="H36" i="24"/>
  <c r="I36" i="24"/>
  <c r="J36" i="24" s="1"/>
  <c r="K36" i="24" s="1"/>
  <c r="L36" i="24" s="1"/>
  <c r="H37" i="24"/>
  <c r="I37" i="24" s="1"/>
  <c r="H38" i="24"/>
  <c r="I38" i="24"/>
  <c r="J38" i="24" s="1"/>
  <c r="K38" i="24" s="1"/>
  <c r="L38" i="24" s="1"/>
  <c r="J39" i="24"/>
  <c r="K39" i="24" s="1"/>
  <c r="H40" i="24"/>
  <c r="I40" i="24" s="1"/>
  <c r="J40" i="24" s="1"/>
  <c r="I41" i="24"/>
  <c r="J41" i="24"/>
  <c r="K41" i="24" s="1"/>
  <c r="L41" i="24" s="1"/>
  <c r="I42" i="24"/>
  <c r="J42" i="24" s="1"/>
  <c r="M44" i="24"/>
  <c r="H48" i="24"/>
  <c r="H50" i="24"/>
  <c r="L35" i="24" l="1"/>
  <c r="L44" i="24" s="1"/>
  <c r="K44" i="24"/>
  <c r="J34" i="24"/>
  <c r="I47" i="24"/>
  <c r="H47" i="24"/>
  <c r="I48" i="24"/>
  <c r="J37" i="24"/>
  <c r="K49" i="24"/>
  <c r="L39" i="24"/>
  <c r="L49" i="24" s="1"/>
  <c r="K42" i="24"/>
  <c r="J51" i="24"/>
  <c r="J50" i="24"/>
  <c r="K40" i="24"/>
  <c r="K34" i="24"/>
  <c r="J47" i="24"/>
  <c r="I51" i="24"/>
  <c r="I50" i="24"/>
  <c r="J49" i="24"/>
  <c r="I45" i="24"/>
  <c r="J45" i="24" l="1"/>
  <c r="L34" i="24"/>
  <c r="K47" i="24"/>
  <c r="L42" i="24"/>
  <c r="L51" i="24" s="1"/>
  <c r="K51" i="24"/>
  <c r="K37" i="24"/>
  <c r="J48" i="24"/>
  <c r="L40" i="24"/>
  <c r="L50" i="24" s="1"/>
  <c r="K50" i="24"/>
  <c r="K48" i="24" l="1"/>
  <c r="L37" i="24"/>
  <c r="L48" i="24" s="1"/>
  <c r="K45" i="24"/>
  <c r="L47" i="24"/>
  <c r="L45" i="24" l="1"/>
  <c r="M45" i="24"/>
  <c r="R372" i="2" l="1"/>
  <c r="S372" i="2" s="1"/>
  <c r="N372" i="2"/>
  <c r="R77" i="2"/>
  <c r="S77" i="2" s="1"/>
  <c r="N77" i="2"/>
  <c r="R78" i="2"/>
  <c r="S78" i="2" s="1"/>
  <c r="N78" i="2"/>
  <c r="R62" i="2" l="1"/>
  <c r="S62" i="2" s="1"/>
  <c r="N62" i="2"/>
  <c r="O19" i="20" l="1"/>
  <c r="O20" i="20"/>
  <c r="O21" i="20"/>
  <c r="O22" i="20"/>
  <c r="O23" i="20"/>
  <c r="R17" i="20"/>
  <c r="R18" i="20"/>
  <c r="R19" i="20"/>
  <c r="R20" i="20"/>
  <c r="R21" i="20"/>
  <c r="R22" i="20"/>
  <c r="R23" i="20"/>
  <c r="D41" i="20"/>
  <c r="C41" i="20"/>
  <c r="R16" i="20"/>
  <c r="R7" i="20"/>
  <c r="R8" i="20"/>
  <c r="R9" i="20"/>
  <c r="R6" i="20"/>
  <c r="Q16" i="20"/>
  <c r="Q17" i="20"/>
  <c r="Q18" i="20"/>
  <c r="O17" i="20"/>
  <c r="O18" i="20"/>
  <c r="O16" i="20"/>
  <c r="P16" i="20"/>
  <c r="P17" i="20"/>
  <c r="P18" i="20"/>
  <c r="P181" i="20"/>
  <c r="AC98" i="20"/>
  <c r="AC94" i="20"/>
  <c r="AC95" i="20"/>
  <c r="AC96" i="20"/>
  <c r="AC93" i="20"/>
  <c r="AC92" i="20"/>
  <c r="R90" i="20"/>
  <c r="Q90" i="20"/>
  <c r="C40" i="20"/>
  <c r="AV239" i="15"/>
  <c r="AX179" i="15" s="1"/>
  <c r="AV240" i="15"/>
  <c r="AX190" i="15" s="1"/>
  <c r="AV241" i="15"/>
  <c r="AX197" i="15" s="1"/>
  <c r="AV242" i="15"/>
  <c r="AX201" i="15" s="1"/>
  <c r="AV243" i="15"/>
  <c r="AX204" i="15" s="1"/>
  <c r="AX208" i="15"/>
  <c r="AX209" i="15"/>
  <c r="AX210" i="15"/>
  <c r="AX211" i="15"/>
  <c r="AX212" i="15"/>
  <c r="AX213" i="15"/>
  <c r="AX214" i="15"/>
  <c r="AX215" i="15"/>
  <c r="AX216" i="15"/>
  <c r="AX217" i="15"/>
  <c r="AX218" i="15"/>
  <c r="AX219" i="15"/>
  <c r="AX220" i="15"/>
  <c r="AX221" i="15"/>
  <c r="AX222" i="15"/>
  <c r="AX223" i="15"/>
  <c r="AX224" i="15"/>
  <c r="AX225" i="15"/>
  <c r="AX226" i="15"/>
  <c r="AX227" i="15"/>
  <c r="AX228" i="15"/>
  <c r="AX229" i="15"/>
  <c r="AX230" i="15"/>
  <c r="AX231" i="15"/>
  <c r="AX232" i="15"/>
  <c r="AX233" i="15"/>
  <c r="AX234" i="15"/>
  <c r="AX235" i="15"/>
  <c r="AX236" i="15"/>
  <c r="AV237" i="15"/>
  <c r="N376" i="2"/>
  <c r="N374" i="2"/>
  <c r="N375" i="2"/>
  <c r="N373" i="2"/>
  <c r="D43" i="17"/>
  <c r="E43" i="17"/>
  <c r="F43" i="17"/>
  <c r="G43" i="17"/>
  <c r="H43" i="17"/>
  <c r="D44" i="17"/>
  <c r="E44" i="17"/>
  <c r="F44" i="17"/>
  <c r="G44" i="17"/>
  <c r="H44" i="17"/>
  <c r="D45" i="17"/>
  <c r="E45" i="17"/>
  <c r="F45" i="17"/>
  <c r="G45" i="17"/>
  <c r="H45" i="17"/>
  <c r="I45" i="17"/>
  <c r="I44" i="17"/>
  <c r="I42" i="17"/>
  <c r="I43" i="17"/>
  <c r="H42" i="17"/>
  <c r="G42" i="17"/>
  <c r="F42" i="17"/>
  <c r="E42" i="17"/>
  <c r="D42" i="17"/>
  <c r="E38" i="17"/>
  <c r="D38" i="17"/>
  <c r="E37" i="17"/>
  <c r="D37" i="17"/>
  <c r="E36" i="17"/>
  <c r="D36" i="17"/>
  <c r="E35" i="17"/>
  <c r="D35" i="17"/>
  <c r="F34" i="17"/>
  <c r="F33" i="17"/>
  <c r="F32" i="17"/>
  <c r="F31" i="17"/>
  <c r="F30" i="17"/>
  <c r="F29" i="17"/>
  <c r="F26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11" i="17"/>
  <c r="F10" i="17"/>
  <c r="F9" i="17"/>
  <c r="F8" i="17"/>
  <c r="F7" i="17"/>
  <c r="F6" i="17"/>
  <c r="F5" i="17"/>
  <c r="F4" i="17"/>
  <c r="F3" i="17"/>
  <c r="AS36" i="15"/>
  <c r="AT36" i="15"/>
  <c r="AU36" i="15"/>
  <c r="AV36" i="15"/>
  <c r="AW36" i="15"/>
  <c r="AX36" i="15"/>
  <c r="AY36" i="15"/>
  <c r="AS37" i="15"/>
  <c r="AT37" i="15"/>
  <c r="AU37" i="15"/>
  <c r="AV37" i="15"/>
  <c r="AW37" i="15"/>
  <c r="AX37" i="15"/>
  <c r="AY37" i="15"/>
  <c r="AS40" i="15"/>
  <c r="AT40" i="15"/>
  <c r="AU40" i="15"/>
  <c r="AV40" i="15"/>
  <c r="AW40" i="15"/>
  <c r="AX40" i="15"/>
  <c r="AY40" i="15"/>
  <c r="AS41" i="15"/>
  <c r="AT41" i="15"/>
  <c r="AU41" i="15"/>
  <c r="AV41" i="15"/>
  <c r="AW41" i="15"/>
  <c r="AX41" i="15"/>
  <c r="AY41" i="15"/>
  <c r="AS44" i="15"/>
  <c r="AS45" i="15" s="1"/>
  <c r="AT44" i="15"/>
  <c r="AT45" i="15" s="1"/>
  <c r="AU44" i="15"/>
  <c r="AU45" i="15" s="1"/>
  <c r="AV44" i="15"/>
  <c r="AV45" i="15" s="1"/>
  <c r="X81" i="15"/>
  <c r="Y81" i="15"/>
  <c r="Z81" i="15"/>
  <c r="AA81" i="15"/>
  <c r="AB81" i="15"/>
  <c r="AC81" i="15"/>
  <c r="AD81" i="15"/>
  <c r="AE81" i="15"/>
  <c r="AF81" i="15"/>
  <c r="AG81" i="15"/>
  <c r="AH81" i="15"/>
  <c r="AN81" i="15"/>
  <c r="AO81" i="15"/>
  <c r="AP81" i="15"/>
  <c r="AQ81" i="15"/>
  <c r="AR81" i="15"/>
  <c r="AS81" i="15"/>
  <c r="AT81" i="15"/>
  <c r="AU81" i="15"/>
  <c r="AV81" i="15"/>
  <c r="AN84" i="15"/>
  <c r="AO84" i="15"/>
  <c r="AP84" i="15"/>
  <c r="AQ84" i="15"/>
  <c r="AR84" i="15"/>
  <c r="AS84" i="15"/>
  <c r="AT84" i="15"/>
  <c r="AU84" i="15"/>
  <c r="AV84" i="15"/>
  <c r="AS87" i="15"/>
  <c r="AT87" i="15"/>
  <c r="AU87" i="15"/>
  <c r="AV87" i="15"/>
  <c r="AU96" i="15"/>
  <c r="AV96" i="15"/>
  <c r="AS128" i="15"/>
  <c r="AT128" i="15"/>
  <c r="AU128" i="15"/>
  <c r="AV128" i="15"/>
  <c r="AS131" i="15"/>
  <c r="AT131" i="15"/>
  <c r="AU131" i="15"/>
  <c r="AV131" i="15"/>
  <c r="W96" i="15"/>
  <c r="X96" i="15"/>
  <c r="Y96" i="15"/>
  <c r="Z96" i="15"/>
  <c r="AA96" i="15"/>
  <c r="AB96" i="15"/>
  <c r="AC96" i="15"/>
  <c r="AR96" i="15"/>
  <c r="AS96" i="15"/>
  <c r="W155" i="15"/>
  <c r="X155" i="15"/>
  <c r="Y155" i="15"/>
  <c r="Z155" i="15"/>
  <c r="AA155" i="15"/>
  <c r="AB155" i="15"/>
  <c r="AC155" i="15"/>
  <c r="AD155" i="15"/>
  <c r="AE155" i="15"/>
  <c r="AF155" i="15"/>
  <c r="AG155" i="15"/>
  <c r="AH155" i="15"/>
  <c r="AI155" i="15"/>
  <c r="AJ155" i="15"/>
  <c r="AK155" i="15"/>
  <c r="AL155" i="15"/>
  <c r="AM155" i="15"/>
  <c r="AN155" i="15"/>
  <c r="AO155" i="15"/>
  <c r="AP155" i="15"/>
  <c r="AQ155" i="15"/>
  <c r="AR155" i="15"/>
  <c r="AS155" i="15"/>
  <c r="AT155" i="15"/>
  <c r="AU155" i="15"/>
  <c r="AV155" i="15"/>
  <c r="AW155" i="15"/>
  <c r="AX155" i="15"/>
  <c r="AY155" i="15"/>
  <c r="AZ155" i="15"/>
  <c r="BA155" i="15"/>
  <c r="BB155" i="15"/>
  <c r="BC155" i="15"/>
  <c r="W163" i="15"/>
  <c r="X163" i="15"/>
  <c r="Y163" i="15"/>
  <c r="Z163" i="15"/>
  <c r="AA163" i="15"/>
  <c r="AB163" i="15"/>
  <c r="AC163" i="15"/>
  <c r="AD163" i="15"/>
  <c r="AE163" i="15"/>
  <c r="AF163" i="15"/>
  <c r="AG163" i="15"/>
  <c r="AH163" i="15"/>
  <c r="AI163" i="15"/>
  <c r="AJ163" i="15"/>
  <c r="AK163" i="15"/>
  <c r="AL163" i="15"/>
  <c r="AM163" i="15"/>
  <c r="AN163" i="15"/>
  <c r="AO163" i="15"/>
  <c r="AP163" i="15"/>
  <c r="AQ163" i="15"/>
  <c r="AR163" i="15"/>
  <c r="AS163" i="15"/>
  <c r="AT163" i="15"/>
  <c r="AU163" i="15"/>
  <c r="AV163" i="15"/>
  <c r="AW163" i="15"/>
  <c r="AX163" i="15"/>
  <c r="AY163" i="15"/>
  <c r="AZ163" i="15"/>
  <c r="BA163" i="15"/>
  <c r="BB163" i="15"/>
  <c r="BC163" i="15"/>
  <c r="W165" i="15"/>
  <c r="X165" i="15"/>
  <c r="Y165" i="15"/>
  <c r="Z165" i="15"/>
  <c r="AA165" i="15"/>
  <c r="AB165" i="15"/>
  <c r="AC165" i="15"/>
  <c r="AD165" i="15"/>
  <c r="AE165" i="15"/>
  <c r="AF165" i="15"/>
  <c r="AG165" i="15"/>
  <c r="AH165" i="15"/>
  <c r="AI165" i="15"/>
  <c r="AJ165" i="15"/>
  <c r="AK165" i="15"/>
  <c r="AL165" i="15"/>
  <c r="AM165" i="15"/>
  <c r="AN165" i="15"/>
  <c r="AO165" i="15"/>
  <c r="AP165" i="15"/>
  <c r="AQ165" i="15"/>
  <c r="AR165" i="15"/>
  <c r="AS165" i="15"/>
  <c r="AT165" i="15"/>
  <c r="AU165" i="15"/>
  <c r="AV165" i="15"/>
  <c r="AW165" i="15"/>
  <c r="AX165" i="15"/>
  <c r="AY165" i="15"/>
  <c r="AZ165" i="15"/>
  <c r="BA165" i="15"/>
  <c r="BB165" i="15"/>
  <c r="BC165" i="15"/>
  <c r="W173" i="15"/>
  <c r="X173" i="15"/>
  <c r="Y173" i="15"/>
  <c r="Z173" i="15"/>
  <c r="AA173" i="15"/>
  <c r="AB173" i="15"/>
  <c r="AC173" i="15"/>
  <c r="AD173" i="15"/>
  <c r="AE173" i="15"/>
  <c r="AF173" i="15"/>
  <c r="AG173" i="15"/>
  <c r="AH173" i="15"/>
  <c r="AI173" i="15"/>
  <c r="AJ173" i="15"/>
  <c r="AK173" i="15"/>
  <c r="AL173" i="15"/>
  <c r="AM173" i="15"/>
  <c r="AN173" i="15"/>
  <c r="AO173" i="15"/>
  <c r="AP173" i="15"/>
  <c r="AQ173" i="15"/>
  <c r="AR173" i="15"/>
  <c r="AS173" i="15"/>
  <c r="AT173" i="15"/>
  <c r="AU173" i="15"/>
  <c r="AV173" i="15"/>
  <c r="AW173" i="15"/>
  <c r="AX173" i="15"/>
  <c r="AY173" i="15"/>
  <c r="AZ173" i="15"/>
  <c r="BA173" i="15"/>
  <c r="BB173" i="15"/>
  <c r="BC173" i="15"/>
  <c r="AT93" i="15" l="1"/>
  <c r="AX237" i="15"/>
  <c r="AS93" i="15"/>
  <c r="AV93" i="15"/>
  <c r="AU93" i="15"/>
  <c r="AT96" i="15"/>
  <c r="F36" i="17"/>
  <c r="F38" i="17"/>
  <c r="F35" i="17"/>
  <c r="F37" i="17"/>
  <c r="I6" i="10" l="1"/>
  <c r="G6" i="10" s="1"/>
  <c r="L7" i="10"/>
  <c r="I7" i="10" s="1"/>
  <c r="G7" i="10" s="1"/>
  <c r="G23" i="10" s="1"/>
  <c r="G8" i="10"/>
  <c r="H8" i="10"/>
  <c r="I8" i="10"/>
  <c r="I9" i="10"/>
  <c r="G9" i="10" s="1"/>
  <c r="L9" i="10"/>
  <c r="L10" i="10"/>
  <c r="I10" i="10" s="1"/>
  <c r="G10" i="10" s="1"/>
  <c r="H11" i="10"/>
  <c r="I11" i="10"/>
  <c r="G11" i="10" s="1"/>
  <c r="P11" i="10"/>
  <c r="L12" i="10"/>
  <c r="I12" i="10" s="1"/>
  <c r="G12" i="10" s="1"/>
  <c r="G13" i="10"/>
  <c r="I13" i="10"/>
  <c r="P13" i="10"/>
  <c r="I14" i="10"/>
  <c r="G14" i="10" s="1"/>
  <c r="P14" i="10"/>
  <c r="H15" i="10"/>
  <c r="H23" i="10" s="1"/>
  <c r="I15" i="10"/>
  <c r="G15" i="10" s="1"/>
  <c r="L16" i="10"/>
  <c r="I16" i="10" s="1"/>
  <c r="G16" i="10" s="1"/>
  <c r="P17" i="10"/>
  <c r="L17" i="10" s="1"/>
  <c r="I17" i="10" s="1"/>
  <c r="G17" i="10" s="1"/>
  <c r="L18" i="10"/>
  <c r="I18" i="10" s="1"/>
  <c r="G18" i="10" s="1"/>
  <c r="H19" i="10"/>
  <c r="L19" i="10" s="1"/>
  <c r="I19" i="10" s="1"/>
  <c r="G19" i="10" s="1"/>
  <c r="I20" i="10"/>
  <c r="G20" i="10" s="1"/>
  <c r="L20" i="10"/>
  <c r="L21" i="10"/>
  <c r="I21" i="10" s="1"/>
  <c r="G21" i="10" s="1"/>
  <c r="H24" i="10"/>
  <c r="H25" i="10"/>
  <c r="G25" i="10" l="1"/>
  <c r="I25" i="10" s="1"/>
  <c r="I23" i="10"/>
  <c r="G24" i="10"/>
  <c r="I24" i="10" s="1"/>
  <c r="N336" i="2" l="1"/>
  <c r="N340" i="2"/>
  <c r="N339" i="2"/>
  <c r="N343" i="2"/>
  <c r="N342" i="2"/>
  <c r="N338" i="2"/>
  <c r="N344" i="2"/>
  <c r="N278" i="2"/>
  <c r="N273" i="2"/>
  <c r="N363" i="2"/>
  <c r="N275" i="2"/>
  <c r="N274" i="2"/>
  <c r="N291" i="2"/>
  <c r="N290" i="2"/>
  <c r="N289" i="2"/>
  <c r="N288" i="2"/>
  <c r="N322" i="2"/>
  <c r="N330" i="2"/>
  <c r="N333" i="2"/>
  <c r="N324" i="2"/>
  <c r="N327" i="2"/>
  <c r="N320" i="2"/>
  <c r="N328" i="2"/>
  <c r="N325" i="2"/>
  <c r="N326" i="2"/>
  <c r="N331" i="2"/>
  <c r="N321" i="2"/>
  <c r="N323" i="2"/>
  <c r="N332" i="2"/>
  <c r="N329" i="2"/>
  <c r="Q369" i="2"/>
  <c r="Q368" i="2"/>
  <c r="R371" i="2"/>
  <c r="S371" i="2" s="1"/>
  <c r="N371" i="2"/>
  <c r="Q370" i="2"/>
  <c r="N370" i="2"/>
  <c r="N369" i="2"/>
  <c r="N368" i="2"/>
  <c r="W3" i="2"/>
  <c r="R351" i="2"/>
  <c r="S351" i="2" s="1"/>
  <c r="N351" i="2"/>
  <c r="R348" i="2"/>
  <c r="S348" i="2" s="1"/>
  <c r="N348" i="2"/>
  <c r="R352" i="2"/>
  <c r="S352" i="2" s="1"/>
  <c r="N352" i="2"/>
  <c r="R350" i="2"/>
  <c r="S350" i="2" s="1"/>
  <c r="R349" i="2"/>
  <c r="S349" i="2" s="1"/>
  <c r="N349" i="2"/>
  <c r="R302" i="2"/>
  <c r="S302" i="2" s="1"/>
  <c r="R303" i="2"/>
  <c r="S303" i="2" s="1"/>
  <c r="R193" i="2"/>
  <c r="S193" i="2" s="1"/>
  <c r="N193" i="2"/>
  <c r="R195" i="2"/>
  <c r="S195" i="2" s="1"/>
  <c r="N195" i="2"/>
  <c r="R196" i="2"/>
  <c r="S196" i="2" s="1"/>
  <c r="N191" i="2"/>
  <c r="R189" i="2"/>
  <c r="S189" i="2" s="1"/>
  <c r="R190" i="2"/>
  <c r="S190" i="2" s="1"/>
  <c r="N190" i="2"/>
  <c r="N189" i="2"/>
  <c r="R191" i="2"/>
  <c r="S191" i="2" s="1"/>
  <c r="R192" i="2"/>
  <c r="S192" i="2" s="1"/>
  <c r="N192" i="2"/>
  <c r="R194" i="2"/>
  <c r="S194" i="2" s="1"/>
  <c r="N194" i="2"/>
  <c r="R12" i="7" l="1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S38" i="7"/>
  <c r="T44" i="7"/>
  <c r="S44" i="7"/>
  <c r="X12" i="7" l="1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3" i="7"/>
  <c r="T34" i="7"/>
  <c r="T35" i="7"/>
  <c r="T36" i="7"/>
  <c r="T37" i="7"/>
  <c r="T38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Z38" i="7" l="1"/>
  <c r="Z34" i="7"/>
  <c r="Z30" i="7"/>
  <c r="Z26" i="7"/>
  <c r="Z22" i="7"/>
  <c r="Z18" i="7"/>
  <c r="Z14" i="7"/>
  <c r="Z36" i="7"/>
  <c r="Z28" i="7"/>
  <c r="Z24" i="7"/>
  <c r="Z20" i="7"/>
  <c r="Z16" i="7"/>
  <c r="Z35" i="7"/>
  <c r="Z27" i="7"/>
  <c r="Z23" i="7"/>
  <c r="Z19" i="7"/>
  <c r="Z15" i="7"/>
  <c r="Z37" i="7"/>
  <c r="Z33" i="7"/>
  <c r="Z29" i="7"/>
  <c r="Z25" i="7"/>
  <c r="Z21" i="7"/>
  <c r="Z17" i="7"/>
  <c r="R267" i="2"/>
  <c r="S267" i="2" s="1"/>
  <c r="N267" i="2"/>
  <c r="Q258" i="2"/>
  <c r="R268" i="2"/>
  <c r="S268" i="2" s="1"/>
  <c r="N268" i="2"/>
  <c r="N266" i="2"/>
  <c r="R337" i="2"/>
  <c r="S337" i="2" s="1"/>
  <c r="N337" i="2"/>
  <c r="N341" i="2"/>
  <c r="R240" i="2"/>
  <c r="S240" i="2" s="1"/>
  <c r="N240" i="2"/>
  <c r="R233" i="2"/>
  <c r="S233" i="2" s="1"/>
  <c r="N233" i="2"/>
  <c r="R243" i="2"/>
  <c r="S243" i="2" s="1"/>
  <c r="N243" i="2"/>
  <c r="R239" i="2"/>
  <c r="S239" i="2" s="1"/>
  <c r="N239" i="2"/>
  <c r="R237" i="2"/>
  <c r="S237" i="2" s="1"/>
  <c r="N237" i="2"/>
  <c r="R235" i="2"/>
  <c r="S235" i="2" s="1"/>
  <c r="N235" i="2"/>
  <c r="R236" i="2"/>
  <c r="S236" i="2" s="1"/>
  <c r="N236" i="2"/>
  <c r="R241" i="2"/>
  <c r="S241" i="2" s="1"/>
  <c r="N241" i="2"/>
  <c r="R234" i="2"/>
  <c r="S234" i="2" s="1"/>
  <c r="N234" i="2"/>
  <c r="R238" i="2"/>
  <c r="S238" i="2" s="1"/>
  <c r="N238" i="2"/>
  <c r="R242" i="2"/>
  <c r="S242" i="2" s="1"/>
  <c r="N242" i="2"/>
  <c r="R232" i="2"/>
  <c r="S232" i="2" s="1"/>
  <c r="N232" i="2"/>
  <c r="R258" i="2" l="1"/>
  <c r="S258" i="2" s="1"/>
  <c r="T12" i="7"/>
  <c r="Z12" i="7" s="1"/>
  <c r="R261" i="2"/>
  <c r="S261" i="2" s="1"/>
  <c r="N261" i="2"/>
  <c r="R257" i="2"/>
  <c r="S257" i="2" s="1"/>
  <c r="N257" i="2"/>
  <c r="R259" i="2"/>
  <c r="S259" i="2" s="1"/>
  <c r="N259" i="2"/>
  <c r="R260" i="2"/>
  <c r="S260" i="2" s="1"/>
  <c r="N260" i="2"/>
  <c r="N258" i="2"/>
  <c r="R188" i="2"/>
  <c r="S188" i="2" s="1"/>
  <c r="N188" i="2"/>
  <c r="R187" i="2"/>
  <c r="S187" i="2" s="1"/>
  <c r="N187" i="2"/>
  <c r="R185" i="2"/>
  <c r="S185" i="2" s="1"/>
  <c r="N185" i="2"/>
  <c r="R186" i="2"/>
  <c r="S186" i="2" s="1"/>
  <c r="N186" i="2"/>
  <c r="R180" i="2"/>
  <c r="S180" i="2" s="1"/>
  <c r="N180" i="2"/>
  <c r="R179" i="2"/>
  <c r="S179" i="2" s="1"/>
  <c r="N179" i="2"/>
  <c r="R178" i="2"/>
  <c r="S178" i="2" s="1"/>
  <c r="N178" i="2"/>
  <c r="R177" i="2"/>
  <c r="S177" i="2" s="1"/>
  <c r="N177" i="2"/>
  <c r="R279" i="2"/>
  <c r="S279" i="2" s="1"/>
  <c r="N279" i="2"/>
  <c r="R175" i="2"/>
  <c r="S175" i="2" s="1"/>
  <c r="N175" i="2"/>
  <c r="R174" i="2"/>
  <c r="S174" i="2" s="1"/>
  <c r="N174" i="2"/>
  <c r="R161" i="2"/>
  <c r="S161" i="2" s="1"/>
  <c r="N161" i="2"/>
  <c r="R160" i="2"/>
  <c r="S160" i="2" s="1"/>
  <c r="N160" i="2"/>
  <c r="R164" i="2"/>
  <c r="S164" i="2" s="1"/>
  <c r="N164" i="2"/>
  <c r="R167" i="2"/>
  <c r="S167" i="2" s="1"/>
  <c r="N167" i="2"/>
  <c r="R168" i="2"/>
  <c r="S168" i="2" s="1"/>
  <c r="N168" i="2"/>
  <c r="R158" i="2"/>
  <c r="S158" i="2" s="1"/>
  <c r="N158" i="2"/>
  <c r="R159" i="2"/>
  <c r="S159" i="2" s="1"/>
  <c r="N159" i="2"/>
  <c r="R165" i="2"/>
  <c r="R166" i="2"/>
  <c r="S166" i="2" s="1"/>
  <c r="N166" i="2"/>
  <c r="R162" i="2"/>
  <c r="S162" i="2" s="1"/>
  <c r="N162" i="2"/>
  <c r="S165" i="2" l="1"/>
  <c r="R133" i="2"/>
  <c r="S133" i="2" s="1"/>
  <c r="N133" i="2"/>
  <c r="R132" i="2"/>
  <c r="S132" i="2" s="1"/>
  <c r="N132" i="2"/>
  <c r="R140" i="2"/>
  <c r="S140" i="2" s="1"/>
  <c r="N140" i="2"/>
  <c r="R131" i="2"/>
  <c r="S131" i="2" s="1"/>
  <c r="N131" i="2"/>
  <c r="R136" i="2"/>
  <c r="S136" i="2" s="1"/>
  <c r="N136" i="2"/>
  <c r="R147" i="2"/>
  <c r="S147" i="2" s="1"/>
  <c r="R150" i="2"/>
  <c r="S150" i="2" s="1"/>
  <c r="N150" i="2"/>
  <c r="R145" i="2"/>
  <c r="S145" i="2" s="1"/>
  <c r="N145" i="2"/>
  <c r="R138" i="2"/>
  <c r="S138" i="2" s="1"/>
  <c r="N138" i="2"/>
  <c r="R139" i="2"/>
  <c r="S139" i="2" s="1"/>
  <c r="N139" i="2"/>
  <c r="R128" i="2"/>
  <c r="S128" i="2" s="1"/>
  <c r="N128" i="2"/>
  <c r="R143" i="2"/>
  <c r="S143" i="2" s="1"/>
  <c r="N143" i="2"/>
  <c r="R141" i="2"/>
  <c r="S141" i="2" s="1"/>
  <c r="N141" i="2"/>
  <c r="R144" i="2"/>
  <c r="S144" i="2" s="1"/>
  <c r="N144" i="2"/>
  <c r="R149" i="2"/>
  <c r="S149" i="2" s="1"/>
  <c r="N149" i="2"/>
  <c r="R129" i="2"/>
  <c r="S129" i="2" s="1"/>
  <c r="N129" i="2"/>
  <c r="R142" i="2"/>
  <c r="S142" i="2" s="1"/>
  <c r="N142" i="2"/>
  <c r="R134" i="2"/>
  <c r="S134" i="2" s="1"/>
  <c r="N134" i="2"/>
  <c r="R130" i="2"/>
  <c r="S130" i="2" s="1"/>
  <c r="N130" i="2"/>
  <c r="R127" i="2"/>
  <c r="S127" i="2" s="1"/>
  <c r="N127" i="2"/>
  <c r="R137" i="2"/>
  <c r="S137" i="2" s="1"/>
  <c r="N137" i="2"/>
  <c r="R148" i="2"/>
  <c r="S148" i="2" s="1"/>
  <c r="N148" i="2"/>
  <c r="R146" i="2"/>
  <c r="S146" i="2" s="1"/>
  <c r="N146" i="2"/>
  <c r="R135" i="2"/>
  <c r="S135" i="2" s="1"/>
  <c r="N135" i="2"/>
  <c r="R53" i="2"/>
  <c r="S53" i="2" s="1"/>
  <c r="N53" i="2"/>
  <c r="R61" i="2"/>
  <c r="S61" i="2" s="1"/>
  <c r="R59" i="2"/>
  <c r="S59" i="2" s="1"/>
  <c r="N59" i="2"/>
  <c r="R60" i="2"/>
  <c r="S60" i="2" s="1"/>
  <c r="N60" i="2"/>
  <c r="R57" i="2"/>
  <c r="S57" i="2" s="1"/>
  <c r="N57" i="2"/>
  <c r="R55" i="2"/>
  <c r="S55" i="2" s="1"/>
  <c r="N55" i="2"/>
  <c r="R52" i="2"/>
  <c r="S52" i="2" s="1"/>
  <c r="N52" i="2"/>
  <c r="R58" i="2"/>
  <c r="S58" i="2" s="1"/>
  <c r="N58" i="2"/>
  <c r="R56" i="2"/>
  <c r="S56" i="2" s="1"/>
  <c r="N56" i="2"/>
  <c r="R54" i="2"/>
  <c r="S54" i="2" s="1"/>
  <c r="N54" i="2"/>
  <c r="R35" i="2"/>
  <c r="S35" i="2" s="1"/>
  <c r="N35" i="2"/>
  <c r="R41" i="2"/>
  <c r="S41" i="2" s="1"/>
  <c r="N41" i="2"/>
  <c r="R43" i="2"/>
  <c r="S43" i="2" s="1"/>
  <c r="N43" i="2"/>
  <c r="R34" i="2"/>
  <c r="S34" i="2" s="1"/>
  <c r="N34" i="2"/>
  <c r="R36" i="2"/>
  <c r="S36" i="2" s="1"/>
  <c r="N36" i="2"/>
  <c r="R381" i="2"/>
  <c r="S381" i="2" s="1"/>
  <c r="N381" i="2"/>
  <c r="R39" i="2"/>
  <c r="S39" i="2" s="1"/>
  <c r="N39" i="2"/>
  <c r="R40" i="2"/>
  <c r="S40" i="2" s="1"/>
  <c r="N40" i="2"/>
  <c r="R42" i="2"/>
  <c r="S42" i="2" s="1"/>
  <c r="N42" i="2"/>
  <c r="R38" i="2"/>
  <c r="S38" i="2" s="1"/>
  <c r="N38" i="2"/>
  <c r="R45" i="2"/>
  <c r="S45" i="2" s="1"/>
  <c r="R46" i="2"/>
  <c r="S46" i="2" s="1"/>
  <c r="N46" i="2"/>
  <c r="R47" i="2"/>
  <c r="S47" i="2" s="1"/>
  <c r="N47" i="2"/>
  <c r="R44" i="2"/>
  <c r="S44" i="2" s="1"/>
  <c r="N44" i="2"/>
  <c r="R37" i="2"/>
  <c r="S37" i="2" s="1"/>
  <c r="N37" i="2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7" i="7"/>
  <c r="Q38" i="7"/>
  <c r="R298" i="2"/>
  <c r="S298" i="2" s="1"/>
  <c r="N298" i="2"/>
  <c r="R297" i="2"/>
  <c r="S297" i="2" s="1"/>
  <c r="N297" i="2"/>
  <c r="R296" i="2"/>
  <c r="S296" i="2" s="1"/>
  <c r="R295" i="2"/>
  <c r="S295" i="2" s="1"/>
  <c r="N295" i="2"/>
  <c r="R70" i="2"/>
  <c r="S70" i="2" s="1"/>
  <c r="N70" i="2"/>
  <c r="R67" i="2"/>
  <c r="S67" i="2" s="1"/>
  <c r="N67" i="2"/>
  <c r="R71" i="2"/>
  <c r="S71" i="2" s="1"/>
  <c r="N71" i="2"/>
  <c r="R72" i="2"/>
  <c r="S72" i="2" s="1"/>
  <c r="N72" i="2"/>
  <c r="R69" i="2"/>
  <c r="S69" i="2" s="1"/>
  <c r="N69" i="2"/>
  <c r="R73" i="2"/>
  <c r="S73" i="2" s="1"/>
  <c r="N73" i="2"/>
  <c r="R68" i="2"/>
  <c r="S68" i="2" s="1"/>
  <c r="N68" i="2"/>
  <c r="R74" i="2"/>
  <c r="S74" i="2" s="1"/>
  <c r="N74" i="2"/>
  <c r="V14" i="7" l="1"/>
  <c r="R79" i="2" l="1"/>
  <c r="S79" i="2" s="1"/>
  <c r="R80" i="2"/>
  <c r="S80" i="2" s="1"/>
  <c r="N80" i="2"/>
  <c r="R81" i="2"/>
  <c r="S81" i="2" s="1"/>
  <c r="N81" i="2"/>
  <c r="R87" i="2"/>
  <c r="S87" i="2" s="1"/>
  <c r="N87" i="2"/>
  <c r="R84" i="2"/>
  <c r="S84" i="2" s="1"/>
  <c r="N84" i="2"/>
  <c r="R92" i="2"/>
  <c r="S92" i="2" s="1"/>
  <c r="N92" i="2"/>
  <c r="R95" i="2"/>
  <c r="S95" i="2" s="1"/>
  <c r="N95" i="2"/>
  <c r="R96" i="2"/>
  <c r="S96" i="2" s="1"/>
  <c r="N96" i="2"/>
  <c r="R97" i="2"/>
  <c r="S97" i="2" s="1"/>
  <c r="N97" i="2"/>
  <c r="R85" i="2"/>
  <c r="S85" i="2" s="1"/>
  <c r="N85" i="2"/>
  <c r="R89" i="2"/>
  <c r="S89" i="2" s="1"/>
  <c r="R83" i="2"/>
  <c r="S83" i="2" s="1"/>
  <c r="N83" i="2"/>
  <c r="R86" i="2"/>
  <c r="S86" i="2" s="1"/>
  <c r="N86" i="2"/>
  <c r="R94" i="2"/>
  <c r="S94" i="2" s="1"/>
  <c r="R91" i="2"/>
  <c r="S91" i="2" s="1"/>
  <c r="N91" i="2"/>
  <c r="R82" i="2"/>
  <c r="S82" i="2" s="1"/>
  <c r="N82" i="2"/>
  <c r="R93" i="2"/>
  <c r="S93" i="2" s="1"/>
  <c r="N93" i="2"/>
  <c r="R88" i="2"/>
  <c r="S88" i="2" s="1"/>
  <c r="N88" i="2"/>
  <c r="R90" i="2"/>
  <c r="S90" i="2" s="1"/>
  <c r="N90" i="2"/>
  <c r="R109" i="2"/>
  <c r="S109" i="2" s="1"/>
  <c r="N109" i="2"/>
  <c r="R108" i="2"/>
  <c r="S108" i="2" s="1"/>
  <c r="N108" i="2"/>
  <c r="R111" i="2"/>
  <c r="S111" i="2" s="1"/>
  <c r="N111" i="2"/>
  <c r="R106" i="2"/>
  <c r="S106" i="2" s="1"/>
  <c r="N106" i="2"/>
  <c r="R104" i="2"/>
  <c r="S104" i="2" s="1"/>
  <c r="N104" i="2"/>
  <c r="R105" i="2"/>
  <c r="S105" i="2" s="1"/>
  <c r="N105" i="2"/>
  <c r="R102" i="2"/>
  <c r="S102" i="2" s="1"/>
  <c r="N102" i="2"/>
  <c r="R110" i="2"/>
  <c r="S110" i="2" s="1"/>
  <c r="N110" i="2"/>
  <c r="R112" i="2"/>
  <c r="S112" i="2" s="1"/>
  <c r="N112" i="2"/>
  <c r="R114" i="2"/>
  <c r="S114" i="2" s="1"/>
  <c r="N114" i="2"/>
  <c r="R103" i="2"/>
  <c r="S103" i="2" s="1"/>
  <c r="N103" i="2"/>
  <c r="R115" i="2"/>
  <c r="S115" i="2" s="1"/>
  <c r="N115" i="2"/>
  <c r="R113" i="2"/>
  <c r="S113" i="2" s="1"/>
  <c r="N113" i="2"/>
  <c r="R107" i="2"/>
  <c r="S107" i="2" s="1"/>
  <c r="N107" i="2"/>
  <c r="R120" i="2"/>
  <c r="S120" i="2" s="1"/>
  <c r="N120" i="2"/>
  <c r="R119" i="2"/>
  <c r="S119" i="2" s="1"/>
  <c r="N119" i="2"/>
  <c r="R118" i="2"/>
  <c r="S118" i="2" s="1"/>
  <c r="N118" i="2"/>
  <c r="R124" i="2"/>
  <c r="N124" i="2"/>
  <c r="R123" i="2"/>
  <c r="S123" i="2" s="1"/>
  <c r="N123" i="2"/>
  <c r="R122" i="2"/>
  <c r="N122" i="2"/>
  <c r="R229" i="2"/>
  <c r="S229" i="2" s="1"/>
  <c r="N229" i="2"/>
  <c r="R227" i="2"/>
  <c r="S227" i="2" s="1"/>
  <c r="R228" i="2"/>
  <c r="S228" i="2" s="1"/>
  <c r="R230" i="2"/>
  <c r="S230" i="2" s="1"/>
  <c r="N230" i="2"/>
  <c r="R223" i="2"/>
  <c r="S223" i="2" s="1"/>
  <c r="N223" i="2"/>
  <c r="R224" i="2"/>
  <c r="S224" i="2" s="1"/>
  <c r="N224" i="2"/>
  <c r="R222" i="2"/>
  <c r="S222" i="2" s="1"/>
  <c r="N221" i="2"/>
  <c r="N222" i="2"/>
  <c r="R226" i="2"/>
  <c r="S226" i="2" s="1"/>
  <c r="N226" i="2"/>
  <c r="R225" i="2"/>
  <c r="S225" i="2" s="1"/>
  <c r="N225" i="2"/>
  <c r="R221" i="2"/>
  <c r="S221" i="2" s="1"/>
  <c r="R206" i="2"/>
  <c r="S206" i="2" s="1"/>
  <c r="N206" i="2"/>
  <c r="R203" i="2"/>
  <c r="S203" i="2" s="1"/>
  <c r="N203" i="2"/>
  <c r="R202" i="2"/>
  <c r="S202" i="2" s="1"/>
  <c r="N207" i="2"/>
  <c r="N205" i="2"/>
  <c r="N201" i="2"/>
  <c r="N200" i="2"/>
  <c r="N202" i="2"/>
  <c r="R200" i="2"/>
  <c r="S200" i="2" s="1"/>
  <c r="R201" i="2"/>
  <c r="S201" i="2" s="1"/>
  <c r="R209" i="2"/>
  <c r="S209" i="2" s="1"/>
  <c r="N209" i="2"/>
  <c r="R205" i="2"/>
  <c r="S205" i="2" s="1"/>
  <c r="R207" i="2"/>
  <c r="S207" i="2" s="1"/>
  <c r="R212" i="2"/>
  <c r="S212" i="2" s="1"/>
  <c r="N212" i="2"/>
  <c r="R208" i="2"/>
  <c r="S208" i="2" s="1"/>
  <c r="N208" i="2"/>
  <c r="R213" i="2"/>
  <c r="S213" i="2" s="1"/>
  <c r="N213" i="2"/>
  <c r="R210" i="2"/>
  <c r="S210" i="2" s="1"/>
  <c r="N210" i="2"/>
  <c r="R204" i="2"/>
  <c r="S204" i="2" s="1"/>
  <c r="N204" i="2"/>
  <c r="R211" i="2"/>
  <c r="S211" i="2" s="1"/>
  <c r="N211" i="2"/>
  <c r="W47" i="2"/>
  <c r="R27" i="2"/>
  <c r="S27" i="2" s="1"/>
  <c r="R13" i="2"/>
  <c r="S13" i="2" s="1"/>
  <c r="R20" i="2"/>
  <c r="S20" i="2" s="1"/>
  <c r="R12" i="2"/>
  <c r="S12" i="2" s="1"/>
  <c r="R9" i="2"/>
  <c r="S9" i="2" s="1"/>
  <c r="R23" i="2"/>
  <c r="S23" i="2" s="1"/>
  <c r="R15" i="2"/>
  <c r="S15" i="2" s="1"/>
  <c r="R5" i="2"/>
  <c r="S5" i="2" s="1"/>
  <c r="R14" i="2"/>
  <c r="S14" i="2" s="1"/>
  <c r="R11" i="2"/>
  <c r="S11" i="2" s="1"/>
  <c r="R19" i="2"/>
  <c r="S19" i="2" s="1"/>
  <c r="R25" i="2"/>
  <c r="S25" i="2" s="1"/>
  <c r="R21" i="2"/>
  <c r="S21" i="2" s="1"/>
  <c r="R17" i="2"/>
  <c r="S17" i="2" s="1"/>
  <c r="R8" i="2"/>
  <c r="S8" i="2" s="1"/>
  <c r="R7" i="2"/>
  <c r="S7" i="2" s="1"/>
  <c r="B120" i="4"/>
  <c r="R18" i="2"/>
  <c r="S18" i="2" s="1"/>
  <c r="R22" i="2"/>
  <c r="S22" i="2" s="1"/>
  <c r="R6" i="2"/>
  <c r="S6" i="2" s="1"/>
  <c r="R3" i="2"/>
  <c r="S3" i="2" s="1"/>
  <c r="R10" i="2"/>
  <c r="S10" i="2" s="1"/>
  <c r="R4" i="2"/>
  <c r="S4" i="2" s="1"/>
  <c r="R24" i="2"/>
  <c r="S24" i="2" s="1"/>
  <c r="R16" i="2"/>
  <c r="S16" i="2" s="1"/>
  <c r="R26" i="2"/>
  <c r="S26" i="2" s="1"/>
  <c r="S124" i="2" l="1"/>
  <c r="W33" i="7" s="1"/>
  <c r="S122" i="2"/>
  <c r="X40" i="7"/>
  <c r="Z40" i="7" s="1"/>
  <c r="B121" i="4"/>
  <c r="X39" i="7"/>
  <c r="Z39" i="7" s="1"/>
  <c r="V16" i="7"/>
  <c r="V30" i="7"/>
  <c r="W22" i="7"/>
  <c r="V22" i="7"/>
  <c r="V38" i="7"/>
  <c r="V28" i="7"/>
  <c r="W36" i="7"/>
  <c r="V36" i="7"/>
  <c r="V35" i="7"/>
  <c r="W13" i="7"/>
  <c r="V29" i="7"/>
  <c r="V27" i="7"/>
  <c r="V23" i="7"/>
  <c r="W19" i="7"/>
  <c r="V19" i="7"/>
  <c r="V34" i="7"/>
  <c r="W20" i="7"/>
  <c r="V20" i="7"/>
  <c r="V25" i="7"/>
  <c r="W40" i="7"/>
  <c r="V17" i="7"/>
  <c r="V33" i="7"/>
  <c r="W15" i="7"/>
  <c r="V15" i="7"/>
  <c r="V21" i="7"/>
  <c r="V24" i="7"/>
  <c r="W12" i="7"/>
  <c r="V12" i="7"/>
  <c r="W18" i="7"/>
  <c r="V18" i="7"/>
  <c r="V26" i="7"/>
  <c r="V37" i="7"/>
  <c r="W39" i="7" l="1"/>
  <c r="X41" i="7"/>
  <c r="Z41" i="7" s="1"/>
  <c r="B122" i="4"/>
  <c r="W32" i="7"/>
  <c r="W30" i="7"/>
  <c r="W31" i="7"/>
  <c r="W25" i="7"/>
  <c r="W34" i="7"/>
  <c r="W23" i="7"/>
  <c r="W29" i="7"/>
  <c r="W14" i="7"/>
  <c r="W38" i="7"/>
  <c r="W21" i="7"/>
  <c r="W28" i="7"/>
  <c r="W16" i="7"/>
  <c r="W26" i="7"/>
  <c r="W37" i="7"/>
  <c r="W24" i="7"/>
  <c r="W17" i="7"/>
  <c r="W27" i="7"/>
  <c r="W35" i="7"/>
  <c r="R266" i="2"/>
  <c r="V32" i="7" s="1"/>
  <c r="B123" i="4" l="1"/>
  <c r="X42" i="7"/>
  <c r="Z42" i="7" s="1"/>
  <c r="T31" i="7"/>
  <c r="Z31" i="7" s="1"/>
  <c r="V31" i="7"/>
  <c r="Q266" i="2"/>
  <c r="V13" i="7"/>
  <c r="W42" i="7" l="1"/>
  <c r="B124" i="4"/>
  <c r="X43" i="7"/>
  <c r="Z43" i="7" s="1"/>
  <c r="T13" i="7"/>
  <c r="Z13" i="7" s="1"/>
  <c r="T32" i="7"/>
  <c r="Z32" i="7" s="1"/>
  <c r="W34" i="2"/>
  <c r="W43" i="2"/>
  <c r="W35" i="2"/>
  <c r="W45" i="2"/>
  <c r="W38" i="2"/>
  <c r="W44" i="2"/>
  <c r="W46" i="2"/>
  <c r="W40" i="2"/>
  <c r="W41" i="2"/>
  <c r="W42" i="2"/>
  <c r="W36" i="2"/>
  <c r="W39" i="2"/>
  <c r="W43" i="7" l="1"/>
  <c r="B125" i="4"/>
  <c r="W41" i="7"/>
  <c r="B126" i="4" l="1"/>
  <c r="D28" i="20"/>
  <c r="D29" i="20"/>
  <c r="D30" i="20"/>
  <c r="D31" i="20"/>
  <c r="D32" i="20"/>
  <c r="D33" i="20"/>
  <c r="D34" i="20"/>
  <c r="D35" i="20"/>
  <c r="D36" i="20"/>
  <c r="C37" i="20"/>
  <c r="D37" i="20" s="1"/>
  <c r="D38" i="20"/>
  <c r="C42" i="20"/>
  <c r="B127" i="4" l="1"/>
  <c r="D40" i="20"/>
  <c r="D42" i="20" s="1"/>
  <c r="B128" i="4" l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AU57" i="15"/>
  <c r="AV57" i="15"/>
  <c r="AW57" i="15"/>
  <c r="Q36" i="7" l="1"/>
  <c r="E33" i="29" l="1"/>
  <c r="E34" i="29"/>
  <c r="E35" i="29"/>
  <c r="E36" i="29"/>
</calcChain>
</file>

<file path=xl/comments1.xml><?xml version="1.0" encoding="utf-8"?>
<comments xmlns="http://schemas.openxmlformats.org/spreadsheetml/2006/main">
  <authors>
    <author>mbrooks1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&lt;?xml version="1.0" encoding="utf-8"?&gt;&lt;Schema xmlns:xsi="http://www.w3.org/2001/XMLSchema-instance" xmlns:xsd="http://www.w3.org/2001/XMLSchema" Version="1"&gt;&lt;FQL&gt;&lt;Q&gt;CCL-US^FF_ENTRPR_VAL_EBITDA_OPER(ANN_R,0)&lt;/Q&gt;&lt;R&gt;1&lt;/R&gt;&lt;C&gt;1&lt;/C&gt;&lt;D xsi:type="xsd:double"&gt;11.185375598086125&lt;/D&gt;&lt;/FQL&gt;&lt;FQL&gt;&lt;Q&gt;CCL-US^JULIAN(FF_ENTRPR_VAL_EBITDA_OPER(ANN_R,0).DATES)&lt;/Q&gt;&lt;R&gt;1&lt;/R&gt;&lt;C&gt;1&lt;/C&gt;&lt;D xsi:type="xsd:int"&gt;42338&lt;/D&gt;&lt;/FQL&gt;&lt;FQL&gt;&lt;Q&gt;CCL-US^FF_ENTRPR_VAL_DAILY(0,,,,,"DIL")&lt;/Q&gt;&lt;R&gt;1&lt;/R&gt;&lt;C&gt;1&lt;/C&gt;&lt;D xsi:type="xsd:double"&gt;44127.810000000005&lt;/D&gt;&lt;/FQL&gt;&lt;FQL&gt;&lt;Q&gt;CCL-US^JULIAN(FF_ENTRPR_VAL_DAILY(0,,,,,"DIL").DATES)&lt;/Q&gt;&lt;R&gt;1&lt;/R&gt;&lt;C&gt;1&lt;/C&gt;&lt;D xsi:type="xsd:int"&gt;42600&lt;/D&gt;&lt;/FQL&gt;&lt;FQL&gt;&lt;Q&gt;CCL-US^FG_EVAL_EBITDA_FY2(0)&lt;/Q&gt;&lt;R&gt;1&lt;/R&gt;&lt;C&gt;1&lt;/C&gt;&lt;D xsi:type="xsd:double"&gt;8.7486441211530384&lt;/D&gt;&lt;/FQL&gt;&lt;FQL&gt;&lt;Q&gt;CCL-US^JULIAN(FG_EVAL_EBITDA_FY2(0).DATES)&lt;/Q&gt;&lt;R&gt;1&lt;/R&gt;&lt;C&gt;1&lt;/C&gt;&lt;D xsi:type="xsd:int"&gt;42600&lt;/D&gt;&lt;/FQL&gt;&lt;FQL&gt;&lt;Q&gt;CCL-US^FG_ENT_VALUE(0)&lt;/Q&gt;&lt;R&gt;1&lt;/R&gt;&lt;C&gt;1&lt;/C&gt;&lt;D xsi:type="xsd:double"&gt;44798.867&lt;/D&gt;&lt;/FQL&gt;&lt;FQL&gt;&lt;Q&gt;CCL-US^JULIAN(FG_ENT_VALUE(0).DATES)&lt;/Q&gt;&lt;R&gt;1&lt;/R&gt;&lt;C&gt;1&lt;/C&gt;&lt;D xsi:type="xsd:int"&gt;42600&lt;/D&gt;&lt;/FQL&gt;&lt;FQL&gt;&lt;Q&gt;CCL-US^FG_ENT_VALUE(0,,,USD)&lt;/Q&gt;&lt;R&gt;1&lt;/R&gt;&lt;C&gt;1&lt;/C&gt;&lt;D xsi:type="xsd:double"&gt;44568.664&lt;/D&gt;&lt;/FQL&gt;&lt;FQL&gt;&lt;Q&gt;CCL-US^JULIAN(FG_ENT_VALUE(0,,,USD).DATES)&lt;/Q&gt;&lt;R&gt;1&lt;/R&gt;&lt;C&gt;1&lt;/C&gt;&lt;D xsi:type="xsd:int"&gt;42600&lt;/D&gt;&lt;/FQL&gt;&lt;FQL&gt;&lt;Q&gt;RCL-US^FG_ENT_VALUE(0,,,USD)&lt;/Q&gt;&lt;R&gt;1&lt;/R&gt;&lt;C&gt;1&lt;/C&gt;&lt;D xsi:type="xsd:double"&gt;25250.838&lt;/D&gt;&lt;/FQL&gt;&lt;FQL&gt;&lt;Q&gt;NCL-US^FG_ENT_VALUE(0,,,USD)&lt;/Q&gt;&lt;R&gt;0&lt;/R&gt;&lt;C&gt;0&lt;/C&gt;&lt;/FQL&gt;&lt;FQL&gt;&lt;Q&gt;NCLH-US^FG_ENT_VALUE(0,,,USD)&lt;/Q&gt;&lt;R&gt;1&lt;/R&gt;&lt;C&gt;1&lt;/C&gt;&lt;D xsi:type="xsd:double"&gt;14746.646&lt;/D&gt;&lt;/FQL&gt;&lt;FQL&gt;&lt;Q&gt;678-HKG^FG_ENT_VALUE(0,,,USD)&lt;/Q&gt;&lt;R&gt;1&lt;/R&gt;&lt;C&gt;1&lt;/C&gt;&lt;D xsi:type="xsd:double"&gt;-571.62085&lt;/D&gt;&lt;/FQL&gt;&lt;/Schema&gt;</t>
        </r>
      </text>
    </comment>
  </commentList>
</comments>
</file>

<file path=xl/comments2.xml><?xml version="1.0" encoding="utf-8"?>
<comments xmlns="http://schemas.openxmlformats.org/spreadsheetml/2006/main">
  <authors>
    <author>mbrooks1</author>
    <author>Amanda Adami (Macquarie Securities)</author>
  </authors>
  <commentList>
    <comment ref="D9" authorId="0">
      <text>
        <r>
          <rPr>
            <b/>
            <sz val="9"/>
            <color indexed="81"/>
            <rFont val="Tahoma"/>
            <family val="2"/>
          </rPr>
          <t>mbrooks1:</t>
        </r>
        <r>
          <rPr>
            <sz val="9"/>
            <color indexed="81"/>
            <rFont val="Tahoma"/>
            <family val="2"/>
          </rPr>
          <t xml:space="preserve">
Was Carnival Destiny.
Renames in 2013 after major $155m refurb.</t>
        </r>
      </text>
    </comment>
    <comment ref="D70" authorId="1">
      <text>
        <r>
          <rPr>
            <b/>
            <sz val="9"/>
            <color indexed="81"/>
            <rFont val="Tahoma"/>
            <family val="2"/>
          </rPr>
          <t>Amanda Adami (Macquarie Securities):</t>
        </r>
        <r>
          <rPr>
            <sz val="9"/>
            <color indexed="81"/>
            <rFont val="Tahoma"/>
            <family val="2"/>
          </rPr>
          <t xml:space="preserve">
Sold to RCL as Azamara Pursuit Mar 2018</t>
        </r>
      </text>
    </comment>
    <comment ref="W179" authorId="1">
      <text>
        <r>
          <rPr>
            <b/>
            <sz val="9"/>
            <color indexed="81"/>
            <rFont val="Tahoma"/>
            <family val="2"/>
          </rPr>
          <t>Amanda Adami (Macquarie Securities):</t>
        </r>
        <r>
          <rPr>
            <sz val="9"/>
            <color indexed="81"/>
            <rFont val="Tahoma"/>
            <family val="2"/>
          </rPr>
          <t xml:space="preserve">
From Seascanner </t>
        </r>
      </text>
    </comment>
    <comment ref="Q258" authorId="0">
      <text>
        <r>
          <rPr>
            <b/>
            <sz val="9"/>
            <color indexed="81"/>
            <rFont val="Tahoma"/>
            <family val="2"/>
          </rPr>
          <t>mbrooks1:</t>
        </r>
        <r>
          <rPr>
            <sz val="9"/>
            <color indexed="81"/>
            <rFont val="Tahoma"/>
            <family val="2"/>
          </rPr>
          <t xml:space="preserve">
650m SEK</t>
        </r>
      </text>
    </comment>
  </commentList>
</comments>
</file>

<file path=xl/comments3.xml><?xml version="1.0" encoding="utf-8"?>
<comments xmlns="http://schemas.openxmlformats.org/spreadsheetml/2006/main">
  <authors>
    <author>mbrooks1</author>
  </authors>
  <commentList>
    <comment ref="BM2" authorId="0">
      <text>
        <r>
          <rPr>
            <b/>
            <sz val="9"/>
            <color indexed="81"/>
            <rFont val="Tahoma"/>
            <family val="2"/>
          </rPr>
          <t>mbrooks1:</t>
        </r>
        <r>
          <rPr>
            <sz val="9"/>
            <color indexed="81"/>
            <rFont val="Tahoma"/>
            <family val="2"/>
          </rPr>
          <t xml:space="preserve">
Reporting changed to show ALBDs and not passenger days</t>
        </r>
      </text>
    </comment>
  </commentList>
</comments>
</file>

<file path=xl/comments4.xml><?xml version="1.0" encoding="utf-8"?>
<comments xmlns="http://schemas.openxmlformats.org/spreadsheetml/2006/main">
  <authors>
    <author>Amanda Adami (Macquarie Securities)</author>
    <author>mbrooks1</author>
  </authors>
  <commentList>
    <comment ref="AR35" authorId="0">
      <text>
        <r>
          <rPr>
            <b/>
            <sz val="9"/>
            <color indexed="81"/>
            <rFont val="Tahoma"/>
            <family val="2"/>
          </rPr>
          <t>Amanda Adami (Macquarie Securities):</t>
        </r>
        <r>
          <rPr>
            <sz val="9"/>
            <color indexed="81"/>
            <rFont val="Tahoma"/>
            <family val="2"/>
          </rPr>
          <t xml:space="preserve">
Amanda Adami (Macquarie Securities):
Higher estimates from 2014 CCL 10-K:
 Global Cruise  Industry
2008 - 377,000
2009 - 397,000
2010 - 423,000
2011 - 443,000
2012- 455,000
2013 - 470,000
2014 - 482,000
2015 - 500,000
2016 - 525,000
2017 552,000</t>
        </r>
      </text>
    </comment>
    <comment ref="AK39" authorId="0">
      <text>
        <r>
          <rPr>
            <b/>
            <sz val="9"/>
            <color indexed="81"/>
            <rFont val="Tahoma"/>
            <family val="2"/>
          </rPr>
          <t>Amanda Adami (Macquarie Securities):</t>
        </r>
        <r>
          <rPr>
            <sz val="9"/>
            <color indexed="81"/>
            <rFont val="Tahoma"/>
            <family val="2"/>
          </rPr>
          <t xml:space="preserve">
CCL - 4 yr capacity growth doubled due to acquisition/consolidation of Costa's 9,200 berths during 2001,  34,428 berths from the
DLC transaction with P&amp;O Princess during 2003 and the deliveries of 17 new
cruise ships during this four-year period</t>
        </r>
      </text>
    </comment>
    <comment ref="B139" authorId="1">
      <text>
        <r>
          <rPr>
            <b/>
            <sz val="9"/>
            <color indexed="81"/>
            <rFont val="Tahoma"/>
            <family val="2"/>
          </rPr>
          <t>mbrooks1:</t>
        </r>
        <r>
          <rPr>
            <sz val="9"/>
            <color indexed="81"/>
            <rFont val="Tahoma"/>
            <family val="2"/>
          </rPr>
          <t xml:space="preserve">
from North American Cruise Market Profile</t>
        </r>
      </text>
    </comment>
  </commentList>
</comments>
</file>

<file path=xl/sharedStrings.xml><?xml version="1.0" encoding="utf-8"?>
<sst xmlns="http://schemas.openxmlformats.org/spreadsheetml/2006/main" count="4683" uniqueCount="1503">
  <si>
    <t>Ship</t>
  </si>
  <si>
    <t>Brand</t>
  </si>
  <si>
    <t>Harmony of the Seas</t>
  </si>
  <si>
    <t>Ovation of the Seas</t>
  </si>
  <si>
    <t>Anthem of the Seas</t>
  </si>
  <si>
    <t>Quantum of the Seas</t>
  </si>
  <si>
    <t>Allure of the Seas</t>
  </si>
  <si>
    <t>Oasis of the Seas</t>
  </si>
  <si>
    <t>Independence of the Seas</t>
  </si>
  <si>
    <t>Liberty of the Seas</t>
  </si>
  <si>
    <t>Freedom of the Seas</t>
  </si>
  <si>
    <t>Jewel of the Seas</t>
  </si>
  <si>
    <t>Mariner of the Seas</t>
  </si>
  <si>
    <t>Serenade of the Seas</t>
  </si>
  <si>
    <t>Navigator of the Seas</t>
  </si>
  <si>
    <t>Brilliance of the Seas</t>
  </si>
  <si>
    <t>Adventure of the Seas</t>
  </si>
  <si>
    <t>Radiance of the Seas</t>
  </si>
  <si>
    <t>Explorer of the Seas</t>
  </si>
  <si>
    <t>Voyager of the Seas</t>
  </si>
  <si>
    <t>Vision of the Seas</t>
  </si>
  <si>
    <t>Enchantment of the Seas</t>
  </si>
  <si>
    <t>Rhapsody of the Seas</t>
  </si>
  <si>
    <t>Grandeur of the Seas</t>
  </si>
  <si>
    <t>Majesty of the Seas</t>
  </si>
  <si>
    <t>Celebrity Reflection</t>
  </si>
  <si>
    <t>Celebrity Silhouette</t>
  </si>
  <si>
    <t>Celebrity Eclipse</t>
  </si>
  <si>
    <t>Celebrity Equinox</t>
  </si>
  <si>
    <t>Celebrity Solstice</t>
  </si>
  <si>
    <t>Celebrity Constellation</t>
  </si>
  <si>
    <t>Celebrity Summit</t>
  </si>
  <si>
    <t>Celebrity Infinity</t>
  </si>
  <si>
    <t>Celebrity Millennium</t>
  </si>
  <si>
    <t>Celebrity Xpedition</t>
  </si>
  <si>
    <t>Azamara Quest</t>
  </si>
  <si>
    <t>Azamara Journey</t>
  </si>
  <si>
    <t>Pullmantur</t>
  </si>
  <si>
    <t>Monarch</t>
  </si>
  <si>
    <t>Sovereign</t>
  </si>
  <si>
    <t>Horizon</t>
  </si>
  <si>
    <t>Zenith</t>
  </si>
  <si>
    <t>Mein Schiff 5</t>
  </si>
  <si>
    <t>Mein Schiff 4</t>
  </si>
  <si>
    <t>Mein Schiff 3</t>
  </si>
  <si>
    <t>RCL</t>
  </si>
  <si>
    <t>Norwegian</t>
  </si>
  <si>
    <t>Norwegian Escape</t>
  </si>
  <si>
    <t>Norwegian Getaway</t>
  </si>
  <si>
    <t>Norwegian Breakaway</t>
  </si>
  <si>
    <t>Norwegian Epic</t>
  </si>
  <si>
    <t>Norwegian Gem</t>
  </si>
  <si>
    <t>Norwegian Jade</t>
  </si>
  <si>
    <t>Norwegian Pearl</t>
  </si>
  <si>
    <t>Norwegian Jewel</t>
  </si>
  <si>
    <t>Pride of America</t>
  </si>
  <si>
    <t>Norwegian Star</t>
  </si>
  <si>
    <t>Norwegian Sun</t>
  </si>
  <si>
    <t>Norwegian Sky</t>
  </si>
  <si>
    <t>Norwegian Spirit</t>
  </si>
  <si>
    <t>Seven Seas Voyager</t>
  </si>
  <si>
    <t>Seven Seas Mariner</t>
  </si>
  <si>
    <t>Seven Seas Navigator</t>
  </si>
  <si>
    <t>NCLH</t>
  </si>
  <si>
    <t>Seven Seas Explorer</t>
  </si>
  <si>
    <t>Regent</t>
  </si>
  <si>
    <t>Breakaway Plus</t>
  </si>
  <si>
    <t>Carnival Breeze</t>
  </si>
  <si>
    <t>Caribbean</t>
  </si>
  <si>
    <t>Carnival Conquest</t>
  </si>
  <si>
    <t>Carnival Dream</t>
  </si>
  <si>
    <t>Carnival</t>
  </si>
  <si>
    <t>Carnival Ecstasy</t>
  </si>
  <si>
    <t>Carnival Elation</t>
  </si>
  <si>
    <t>Carnival Fantasy</t>
  </si>
  <si>
    <t>Carnival Fascination</t>
  </si>
  <si>
    <t>Carnival Freedom</t>
  </si>
  <si>
    <t>Carnival Glory</t>
  </si>
  <si>
    <t>Carnival Horizon</t>
  </si>
  <si>
    <t>Carnival Imagination</t>
  </si>
  <si>
    <t>Carnival Inspiration</t>
  </si>
  <si>
    <t>Carnival Legend</t>
  </si>
  <si>
    <t>Carnival Liberty</t>
  </si>
  <si>
    <t>Carnival Magic</t>
  </si>
  <si>
    <t>Carnival Miracle</t>
  </si>
  <si>
    <t>Carnival Paradise</t>
  </si>
  <si>
    <t>Carnival Pride</t>
  </si>
  <si>
    <t>Carnival Sensation</t>
  </si>
  <si>
    <t>Carnival Splendor</t>
  </si>
  <si>
    <t>Carnival Sunshine</t>
  </si>
  <si>
    <t>Carnival Valor</t>
  </si>
  <si>
    <t>Carnival Victory</t>
  </si>
  <si>
    <t>Carnival Vista</t>
  </si>
  <si>
    <t>CCL</t>
  </si>
  <si>
    <t>Caribbean Princess</t>
  </si>
  <si>
    <t>Coral Princess</t>
  </si>
  <si>
    <t>Crown Princess</t>
  </si>
  <si>
    <t>Diamond Princess</t>
  </si>
  <si>
    <t>Emerald Princess</t>
  </si>
  <si>
    <t>Grand Princess</t>
  </si>
  <si>
    <t>Golden Princess</t>
  </si>
  <si>
    <t>Island Princess</t>
  </si>
  <si>
    <t>Majestic Princess</t>
  </si>
  <si>
    <t>Pacific Princess</t>
  </si>
  <si>
    <t>Regal Princess</t>
  </si>
  <si>
    <t>Royal Princess</t>
  </si>
  <si>
    <t>Ruby Princess</t>
  </si>
  <si>
    <t>Sapphire Princess</t>
  </si>
  <si>
    <t>Sea Princess</t>
  </si>
  <si>
    <t>Star Princess</t>
  </si>
  <si>
    <t>Sun Princess</t>
  </si>
  <si>
    <t>Seabourn</t>
  </si>
  <si>
    <t>Seabourn Encore</t>
  </si>
  <si>
    <t>Seabourn Ovation</t>
  </si>
  <si>
    <t>Seabourn Odyssey</t>
  </si>
  <si>
    <t>T. Mariotti</t>
  </si>
  <si>
    <t>Seabourn Sojourn</t>
  </si>
  <si>
    <t>Seabourn Quest</t>
  </si>
  <si>
    <t>Adonia</t>
  </si>
  <si>
    <t>Costa Diadema</t>
  </si>
  <si>
    <t>Costa Fascinosa</t>
  </si>
  <si>
    <t>Costa Favolosa</t>
  </si>
  <si>
    <t>Costa Deliziosa</t>
  </si>
  <si>
    <t>Costa Pacifica</t>
  </si>
  <si>
    <t>Costa Luminosa</t>
  </si>
  <si>
    <t>Costa Serena</t>
  </si>
  <si>
    <t>Costa Fortuna</t>
  </si>
  <si>
    <t>Costa Mediteranea</t>
  </si>
  <si>
    <t>Costa Atlantica</t>
  </si>
  <si>
    <t>Costa Magica</t>
  </si>
  <si>
    <t>Costa neoRiviera</t>
  </si>
  <si>
    <t>Costa Victoria</t>
  </si>
  <si>
    <t>Costa</t>
  </si>
  <si>
    <t>AIDAcara</t>
  </si>
  <si>
    <t>AIDAvita</t>
  </si>
  <si>
    <t>AIDAaura</t>
  </si>
  <si>
    <t>AIDAdiva</t>
  </si>
  <si>
    <t>AIDAbella</t>
  </si>
  <si>
    <t>AIDAluna</t>
  </si>
  <si>
    <t>AIDAblu</t>
  </si>
  <si>
    <t>AIDAsol</t>
  </si>
  <si>
    <t>AIDAmar</t>
  </si>
  <si>
    <t>AIDAstella</t>
  </si>
  <si>
    <t>AIDA</t>
  </si>
  <si>
    <t>Britannia</t>
  </si>
  <si>
    <t>Aurora</t>
  </si>
  <si>
    <t>Azura</t>
  </si>
  <si>
    <t>Oceana</t>
  </si>
  <si>
    <t>Ventura</t>
  </si>
  <si>
    <t>Arcadia</t>
  </si>
  <si>
    <t>Oriana</t>
  </si>
  <si>
    <t>P&amp;O</t>
  </si>
  <si>
    <t>Queen Mary 2</t>
  </si>
  <si>
    <t>Queen Elizabeth</t>
  </si>
  <si>
    <t>Queen Victoria</t>
  </si>
  <si>
    <t>Cunard</t>
  </si>
  <si>
    <t>P&amp;O Australia</t>
  </si>
  <si>
    <t>Pacific Aria</t>
  </si>
  <si>
    <t>Pacific Eden</t>
  </si>
  <si>
    <t>MSC Armonia</t>
  </si>
  <si>
    <t>MSC Magnifica</t>
  </si>
  <si>
    <t>MSC Orchestra</t>
  </si>
  <si>
    <t>MSC Seaview</t>
  </si>
  <si>
    <t>MSC Divina</t>
  </si>
  <si>
    <t>MSC Meraviglia</t>
  </si>
  <si>
    <t>MSC Poesia</t>
  </si>
  <si>
    <t>MSC Sinfonia</t>
  </si>
  <si>
    <t>MSC Fantasia</t>
  </si>
  <si>
    <t>MSC Musica</t>
  </si>
  <si>
    <t>MSC Preziosa</t>
  </si>
  <si>
    <t>MSC Splendida</t>
  </si>
  <si>
    <t>MSC Lirica</t>
  </si>
  <si>
    <t>MSC Opera</t>
  </si>
  <si>
    <t>MSC Seaside</t>
  </si>
  <si>
    <t>Disney Magic</t>
  </si>
  <si>
    <t>Disney Dream</t>
  </si>
  <si>
    <t>Disney Wonder</t>
  </si>
  <si>
    <t>Disney Fantasy</t>
  </si>
  <si>
    <t>Disney</t>
  </si>
  <si>
    <t>Superstar Virgo</t>
  </si>
  <si>
    <t>Superstar Gemini</t>
  </si>
  <si>
    <t>Superstar Libra</t>
  </si>
  <si>
    <t>Superstar Aquarius</t>
  </si>
  <si>
    <t>Star Pisces</t>
  </si>
  <si>
    <t>MSC</t>
  </si>
  <si>
    <t>Royal Caribbean</t>
  </si>
  <si>
    <t>Norwegian Dawn</t>
  </si>
  <si>
    <t>Norwegian Joy</t>
  </si>
  <si>
    <t>Asia</t>
  </si>
  <si>
    <t>Poor</t>
  </si>
  <si>
    <t>Terrible</t>
  </si>
  <si>
    <t>Mediterranean</t>
  </si>
  <si>
    <t>Holland America Line</t>
  </si>
  <si>
    <t>Empress of the Seas</t>
  </si>
  <si>
    <t>Star</t>
  </si>
  <si>
    <t>Princess</t>
  </si>
  <si>
    <t>Oceania</t>
  </si>
  <si>
    <t>CDF</t>
  </si>
  <si>
    <t>Celebrity</t>
  </si>
  <si>
    <t>TUI</t>
  </si>
  <si>
    <t>Contemporary</t>
  </si>
  <si>
    <t>Premium</t>
  </si>
  <si>
    <t>Luxury</t>
  </si>
  <si>
    <t>Shipbuilder</t>
  </si>
  <si>
    <t>Group</t>
  </si>
  <si>
    <t>Built</t>
  </si>
  <si>
    <t>Cost
US$m</t>
  </si>
  <si>
    <t>Carnival Triumph</t>
  </si>
  <si>
    <t>Fantasy</t>
  </si>
  <si>
    <t>Carnival Spirit</t>
  </si>
  <si>
    <t>Australia</t>
  </si>
  <si>
    <t>Passenger
to Space</t>
  </si>
  <si>
    <t>Fincantieri</t>
  </si>
  <si>
    <t>Year</t>
  </si>
  <si>
    <t>CPI Index</t>
  </si>
  <si>
    <t>Cost / Berth
2016 US$</t>
  </si>
  <si>
    <t>Cost / Berth
US$ '000s</t>
  </si>
  <si>
    <t>Class</t>
  </si>
  <si>
    <t>Dream</t>
  </si>
  <si>
    <t>USA</t>
  </si>
  <si>
    <t>Conquest</t>
  </si>
  <si>
    <t>Freedom</t>
  </si>
  <si>
    <t>Spirit</t>
  </si>
  <si>
    <t>Vista</t>
  </si>
  <si>
    <t>Kvaener Masa</t>
  </si>
  <si>
    <t>Concordia</t>
  </si>
  <si>
    <t>Destiny</t>
  </si>
  <si>
    <t>Age</t>
  </si>
  <si>
    <t>Meyer Werft</t>
  </si>
  <si>
    <t>Breakaway</t>
  </si>
  <si>
    <t>Dawn</t>
  </si>
  <si>
    <t>Epic</t>
  </si>
  <si>
    <t>Jewel</t>
  </si>
  <si>
    <t>Sky</t>
  </si>
  <si>
    <t>Sun</t>
  </si>
  <si>
    <t>STX France</t>
  </si>
  <si>
    <t>Lloyd Werft</t>
  </si>
  <si>
    <t>Europe</t>
  </si>
  <si>
    <t>Leo</t>
  </si>
  <si>
    <t>Project America</t>
  </si>
  <si>
    <t>R-Class</t>
  </si>
  <si>
    <t>Chantiers de l'Antique</t>
  </si>
  <si>
    <t>Admiralty</t>
  </si>
  <si>
    <t>T.Mariotti</t>
  </si>
  <si>
    <t>Global</t>
  </si>
  <si>
    <t>Signature</t>
  </si>
  <si>
    <t>Pinnacle</t>
  </si>
  <si>
    <t>S-Class</t>
  </si>
  <si>
    <t>No Class</t>
  </si>
  <si>
    <t>Grand</t>
  </si>
  <si>
    <t>Coral</t>
  </si>
  <si>
    <t>Royal</t>
  </si>
  <si>
    <t>Mitsubishi</t>
  </si>
  <si>
    <t>GENHK</t>
  </si>
  <si>
    <t>DIS</t>
  </si>
  <si>
    <t>Luminosa</t>
  </si>
  <si>
    <t>Classica</t>
  </si>
  <si>
    <t>Bremer Vulkan</t>
  </si>
  <si>
    <t>Aker MTW</t>
  </si>
  <si>
    <t>Sphinx</t>
  </si>
  <si>
    <t>Kvaerner Masa-Yards</t>
  </si>
  <si>
    <t>Voyager</t>
  </si>
  <si>
    <t>STX Europe</t>
  </si>
  <si>
    <t>Oasis</t>
  </si>
  <si>
    <t>Quantum</t>
  </si>
  <si>
    <t>Radiance</t>
  </si>
  <si>
    <t>Vision</t>
  </si>
  <si>
    <t>Millennium</t>
  </si>
  <si>
    <t>Solstice</t>
  </si>
  <si>
    <t>Cassens Schiffswerft</t>
  </si>
  <si>
    <t>Century</t>
  </si>
  <si>
    <t>Massa-Yards</t>
  </si>
  <si>
    <t>Wartsila Marine</t>
  </si>
  <si>
    <t>Jos. L. Meyer GMBH</t>
  </si>
  <si>
    <t>Lirica</t>
  </si>
  <si>
    <t>Fantasia</t>
  </si>
  <si>
    <t>Musica</t>
  </si>
  <si>
    <t>Private</t>
  </si>
  <si>
    <t>Lord of the Glens</t>
  </si>
  <si>
    <t>National Geographic Endeavour</t>
  </si>
  <si>
    <t>National Geographic Endeavour II</t>
  </si>
  <si>
    <t>National Geographic Explorer</t>
  </si>
  <si>
    <t>National Geographic Islander</t>
  </si>
  <si>
    <t>National Geographic Orion</t>
  </si>
  <si>
    <t>National Geographic Sea Bird</t>
  </si>
  <si>
    <t>National Geographic Sea Lion</t>
  </si>
  <si>
    <t>Sea Cloud</t>
  </si>
  <si>
    <t>Weser Seebeck</t>
  </si>
  <si>
    <t>Crystal</t>
  </si>
  <si>
    <t>Crystal Esprit</t>
  </si>
  <si>
    <t>Crystal Serenity</t>
  </si>
  <si>
    <t>Crystal Symphony</t>
  </si>
  <si>
    <t>Flender Werft</t>
  </si>
  <si>
    <t>Genting</t>
  </si>
  <si>
    <t>Cruise Brand</t>
  </si>
  <si>
    <t>Total</t>
  </si>
  <si>
    <t>This sheet contains FactSet XML data for use with this workbook's =FDS codes.  Modifying the worksheet's contents may damage the workbook's =FDS functionality.</t>
  </si>
  <si>
    <t>Silver Shadow</t>
  </si>
  <si>
    <t>Dalian</t>
  </si>
  <si>
    <t>MS Europa</t>
  </si>
  <si>
    <t>Hong Kong</t>
  </si>
  <si>
    <t>L'Austral</t>
  </si>
  <si>
    <t>MS Europa 2</t>
  </si>
  <si>
    <t>Silver Whisper</t>
  </si>
  <si>
    <t>Magellan</t>
  </si>
  <si>
    <t>Dawn Princess</t>
  </si>
  <si>
    <t>Artania</t>
  </si>
  <si>
    <t>Shanghai</t>
  </si>
  <si>
    <t>Silver Cloud</t>
  </si>
  <si>
    <t xml:space="preserve">Silver Discoverer </t>
  </si>
  <si>
    <t>NKK Tsu Works</t>
  </si>
  <si>
    <t>Silver Explorer</t>
  </si>
  <si>
    <t>Rauma-Repola</t>
  </si>
  <si>
    <t>Silver Galapagos</t>
  </si>
  <si>
    <t>Silver Spirit</t>
  </si>
  <si>
    <t>Silver Wind</t>
  </si>
  <si>
    <t>Silversea</t>
  </si>
  <si>
    <t>Viking</t>
  </si>
  <si>
    <t>Viking Star</t>
  </si>
  <si>
    <t>Viking Sea</t>
  </si>
  <si>
    <t>Le Boreal</t>
  </si>
  <si>
    <t>Le Lyrial</t>
  </si>
  <si>
    <t>Le Ponant</t>
  </si>
  <si>
    <t>Le Soleal</t>
  </si>
  <si>
    <t>SFCN</t>
  </si>
  <si>
    <t>Astoria</t>
  </si>
  <si>
    <t>Astor</t>
  </si>
  <si>
    <t>Gotaverken</t>
  </si>
  <si>
    <t>VEB Mathias-Thesen Werft</t>
  </si>
  <si>
    <t>Aalbord Varerft</t>
  </si>
  <si>
    <t>Holiday</t>
  </si>
  <si>
    <t>Howaldtswerke-Deutsche Werft</t>
  </si>
  <si>
    <t>Hurtigruten</t>
  </si>
  <si>
    <t>MS Finnmarken</t>
  </si>
  <si>
    <t>MS Fram</t>
  </si>
  <si>
    <t>MS Kong Harald</t>
  </si>
  <si>
    <t>MS Lofoten</t>
  </si>
  <si>
    <t>MS Midnatsol</t>
  </si>
  <si>
    <t>MS Nordkapp</t>
  </si>
  <si>
    <t>MS Nordlys</t>
  </si>
  <si>
    <t>MS Nordnorge</t>
  </si>
  <si>
    <t>MS Polarlys</t>
  </si>
  <si>
    <t>MS Richard With</t>
  </si>
  <si>
    <t>MS Spitbergen</t>
  </si>
  <si>
    <t>MS Trollfjord</t>
  </si>
  <si>
    <t>MS Vesteralen</t>
  </si>
  <si>
    <t>Kvaener Kleven</t>
  </si>
  <si>
    <t>Volkswerft</t>
  </si>
  <si>
    <t>Fosen Mekaniske Verksteder</t>
  </si>
  <si>
    <t>Akers Mekaniske Verksted</t>
  </si>
  <si>
    <t>Blohm &amp; Coss Hamburg</t>
  </si>
  <si>
    <t>Estaleiros Navais de Viana do Castelo</t>
  </si>
  <si>
    <t>Kaarbo Mek Verk</t>
  </si>
  <si>
    <t>Costa neoRomantica</t>
  </si>
  <si>
    <t>Hapag-Lloyd</t>
  </si>
  <si>
    <t>MS Bremen</t>
  </si>
  <si>
    <t>Hanseatic</t>
  </si>
  <si>
    <t>Mitsubishi Shipyard</t>
  </si>
  <si>
    <t>Rauma Repola</t>
  </si>
  <si>
    <t>Phoenix Reisen</t>
  </si>
  <si>
    <t>Classic International</t>
  </si>
  <si>
    <t>Other</t>
  </si>
  <si>
    <t>Wartsila / Kvaener Masa</t>
  </si>
  <si>
    <t>TDR Capital</t>
  </si>
  <si>
    <t>Ulstein Verft</t>
  </si>
  <si>
    <t>Chantiers Naval de Marseille</t>
  </si>
  <si>
    <t>Asenav Shipyard</t>
  </si>
  <si>
    <t>Cassens-Werft</t>
  </si>
  <si>
    <t>Nichols Bros Boat Builders</t>
  </si>
  <si>
    <t>Krupp Germaniawerft</t>
  </si>
  <si>
    <t>Lindblad</t>
  </si>
  <si>
    <t>Cruise &amp; Maritime</t>
  </si>
  <si>
    <t>Viking Ocean</t>
  </si>
  <si>
    <t>Holland America</t>
  </si>
  <si>
    <t>Ponant</t>
  </si>
  <si>
    <t>Seven Seas Cruises</t>
  </si>
  <si>
    <t>Radisson Diamond Cruises</t>
  </si>
  <si>
    <t>Artemis</t>
  </si>
  <si>
    <t xml:space="preserve">Ponant </t>
  </si>
  <si>
    <t>Genting Hong Kong</t>
  </si>
  <si>
    <t>Crystal Cruises</t>
  </si>
  <si>
    <t>Hurtigruten Cruises</t>
  </si>
  <si>
    <t>Premium / Luxury</t>
  </si>
  <si>
    <t>Prestige Cruises</t>
  </si>
  <si>
    <t>Conemporary</t>
  </si>
  <si>
    <t xml:space="preserve">Pullmantur </t>
  </si>
  <si>
    <t xml:space="preserve">P&amp;O Princess Cruises </t>
  </si>
  <si>
    <t>2003</t>
  </si>
  <si>
    <t>Genting HK (Star Cruises)</t>
  </si>
  <si>
    <t>Costa Cruises</t>
  </si>
  <si>
    <t>Cunard Line</t>
  </si>
  <si>
    <t>1998</t>
  </si>
  <si>
    <t>Celebrity Cruise Lines</t>
  </si>
  <si>
    <t>1992</t>
  </si>
  <si>
    <t>Contemporay</t>
  </si>
  <si>
    <t>Premier Cruise Lines</t>
  </si>
  <si>
    <t>1988</t>
  </si>
  <si>
    <t>Sitmar Cruises</t>
  </si>
  <si>
    <t>Royal Admiral Cruise Lines</t>
  </si>
  <si>
    <t>Royal Viking Line</t>
  </si>
  <si>
    <t>1983</t>
  </si>
  <si>
    <t>US$</t>
  </si>
  <si>
    <t>2016 Dollars</t>
  </si>
  <si>
    <t>Acquisition</t>
  </si>
  <si>
    <t>Deal US$m</t>
  </si>
  <si>
    <t>EV/EBITDA</t>
  </si>
  <si>
    <t>EV / Berth</t>
  </si>
  <si>
    <t>Berths</t>
  </si>
  <si>
    <t>Segment</t>
  </si>
  <si>
    <t>Buyer</t>
  </si>
  <si>
    <t>Asset</t>
  </si>
  <si>
    <t xml:space="preserve">Year of </t>
  </si>
  <si>
    <t>Ibero</t>
  </si>
  <si>
    <t>TUI (50%)</t>
  </si>
  <si>
    <t>CDF (49%)</t>
  </si>
  <si>
    <t>Azamara (49%)</t>
  </si>
  <si>
    <t>Thomson</t>
  </si>
  <si>
    <t>All Other</t>
  </si>
  <si>
    <t>Louis</t>
  </si>
  <si>
    <t>Pullmantur / CDF</t>
  </si>
  <si>
    <t>Saga</t>
  </si>
  <si>
    <t>All Leisure</t>
  </si>
  <si>
    <t>Ocean Star</t>
  </si>
  <si>
    <t>Celebration</t>
  </si>
  <si>
    <t>Star Clippers</t>
  </si>
  <si>
    <t>Paul Gauguin</t>
  </si>
  <si>
    <t>Pearl Seas</t>
  </si>
  <si>
    <t>Fred Olsen</t>
  </si>
  <si>
    <t>Discovery Wolrd</t>
  </si>
  <si>
    <t>American Cruis</t>
  </si>
  <si>
    <t>SeaDream</t>
  </si>
  <si>
    <t>Orion</t>
  </si>
  <si>
    <t>Swan Hellenic</t>
  </si>
  <si>
    <t>Blount Small Ship</t>
  </si>
  <si>
    <t>Hebridean Island</t>
  </si>
  <si>
    <t>Quark Expeditions</t>
  </si>
  <si>
    <t>Travel Dynamics</t>
  </si>
  <si>
    <t>Owner</t>
  </si>
  <si>
    <t>Scenic</t>
  </si>
  <si>
    <t>Cruise Line</t>
  </si>
  <si>
    <t>Cost</t>
  </si>
  <si>
    <t>Genting Dream</t>
  </si>
  <si>
    <t>Mein Schiff 6</t>
  </si>
  <si>
    <t>Viking Sky</t>
  </si>
  <si>
    <t>AIDAperla</t>
  </si>
  <si>
    <t>Silver Muse</t>
  </si>
  <si>
    <t>World Dream</t>
  </si>
  <si>
    <t>Viking Sun</t>
  </si>
  <si>
    <t>Crystal Endeavor</t>
  </si>
  <si>
    <t>Viking Spirit</t>
  </si>
  <si>
    <t>Scenic Eclipse</t>
  </si>
  <si>
    <t>Nieuw Statendam</t>
  </si>
  <si>
    <t>Crystal Exclusive</t>
  </si>
  <si>
    <t>Meraviglia Plus</t>
  </si>
  <si>
    <t>Windstar</t>
  </si>
  <si>
    <t>Passenger Capacity</t>
  </si>
  <si>
    <t>Number of Ships</t>
  </si>
  <si>
    <t>Cruise Lines share of American vacation market</t>
  </si>
  <si>
    <t>North Americans who have taken a cruise</t>
  </si>
  <si>
    <t xml:space="preserve">    Carnival market share (%global)</t>
  </si>
  <si>
    <t>Carnival cruise passengers carried ('000s)</t>
  </si>
  <si>
    <t xml:space="preserve">    bps change</t>
  </si>
  <si>
    <t>Asia / Pacific</t>
  </si>
  <si>
    <t>North America</t>
  </si>
  <si>
    <t xml:space="preserve">    %YoY</t>
  </si>
  <si>
    <t xml:space="preserve">    Growth %YoY</t>
  </si>
  <si>
    <t xml:space="preserve">    Growth in units</t>
  </si>
  <si>
    <t>Carnival Capacity</t>
  </si>
  <si>
    <t>Cruise Industry Statistics</t>
  </si>
  <si>
    <t>Zuiderdam</t>
  </si>
  <si>
    <t>Zaandam</t>
  </si>
  <si>
    <t>Amsterdam</t>
  </si>
  <si>
    <t>Volendam</t>
  </si>
  <si>
    <t>Rotterdam</t>
  </si>
  <si>
    <t>Veendam</t>
  </si>
  <si>
    <t>Maasdam</t>
  </si>
  <si>
    <t>Westerdam</t>
  </si>
  <si>
    <t>Noordam</t>
  </si>
  <si>
    <t>Cost / Berth
(US$ '000s)</t>
  </si>
  <si>
    <t>2017e</t>
  </si>
  <si>
    <t>2018e</t>
  </si>
  <si>
    <t>Nieuw Statendam (HAL)</t>
  </si>
  <si>
    <t>2019e</t>
  </si>
  <si>
    <t>AIDA Newbuild
Costa Newbuild
Cosa Asia Newbuild
P&amp;O Australia Newbuild</t>
  </si>
  <si>
    <t>Princess Newbuild</t>
  </si>
  <si>
    <t>2020e</t>
  </si>
  <si>
    <t>AIDA Newbuild
Costa Newbuild
Cosa Asia Newbuild</t>
  </si>
  <si>
    <t>TUI: Mein Schiff 6</t>
  </si>
  <si>
    <t>Royal Caribbean: Oasis 4
TUI: Mein Schiff 7</t>
  </si>
  <si>
    <t>Celebrity: Edge-class 1</t>
  </si>
  <si>
    <t>Royal Caribbean: Quantum 4
TUI: Mein Schiff 8</t>
  </si>
  <si>
    <t>Royal Caribbean: Quantum 5</t>
  </si>
  <si>
    <t>Celebrity: Edge Class 2</t>
  </si>
  <si>
    <t>Norwegian Breakaway-Plus</t>
  </si>
  <si>
    <t>Regent Newbuild</t>
  </si>
  <si>
    <t>Star: Global Glass</t>
  </si>
  <si>
    <t>MSC Meraviglia
MSC Seaside</t>
  </si>
  <si>
    <t>MSC Meraviglia 2
Meraviglia Plus</t>
  </si>
  <si>
    <t>Viking Sky
Viking Sun</t>
  </si>
  <si>
    <t>Viking Newbuild</t>
  </si>
  <si>
    <t>Virgin</t>
  </si>
  <si>
    <t>Virgin Newbuild 1</t>
  </si>
  <si>
    <t>Virgin Newbuild 2</t>
  </si>
  <si>
    <t>Star Clippers: Flying Clipper</t>
  </si>
  <si>
    <t>Silversea: Silver Muse</t>
  </si>
  <si>
    <t>Scenic: Scenic Eclipse</t>
  </si>
  <si>
    <t>Saga  Newbuild</t>
  </si>
  <si>
    <t>5 ships, 18,324 berths</t>
  </si>
  <si>
    <t>4 ships, 8,784 berths</t>
  </si>
  <si>
    <t>2 ships, 896 berths</t>
  </si>
  <si>
    <t>5 ships, 20,325 berths</t>
  </si>
  <si>
    <t>3 ships, 6,480 berths</t>
  </si>
  <si>
    <t>3 ships, 1,032 berths</t>
  </si>
  <si>
    <t>10 ships, 41,502 berths</t>
  </si>
  <si>
    <t>2 ships, 4,640 berths</t>
  </si>
  <si>
    <t>2 ships, 1,000 berths</t>
  </si>
  <si>
    <t>7 ships, 31,068 berths</t>
  </si>
  <si>
    <t>3 ships, 7,390 berths</t>
  </si>
  <si>
    <t>2 ships, 1,738 berths</t>
  </si>
  <si>
    <t>Insignia</t>
  </si>
  <si>
    <t>Xiamen</t>
  </si>
  <si>
    <t>Yantai</t>
  </si>
  <si>
    <t>Nautica</t>
  </si>
  <si>
    <t>Albatros</t>
  </si>
  <si>
    <t>Amadea</t>
  </si>
  <si>
    <t>MS Deutschland</t>
  </si>
  <si>
    <t>Wartsila</t>
  </si>
  <si>
    <t>Mitsubishi Heavy Industries</t>
  </si>
  <si>
    <t>Phoenix</t>
  </si>
  <si>
    <t>Sirena</t>
  </si>
  <si>
    <t>Regatta</t>
  </si>
  <si>
    <t>Marina</t>
  </si>
  <si>
    <t>Riviera</t>
  </si>
  <si>
    <t>Passenger Market Share (2015)</t>
  </si>
  <si>
    <t>Herfindahl</t>
  </si>
  <si>
    <t>Alaska</t>
  </si>
  <si>
    <t>South America</t>
  </si>
  <si>
    <t>Europe ex-Med</t>
  </si>
  <si>
    <t>Australasia</t>
  </si>
  <si>
    <t>25-29</t>
  </si>
  <si>
    <t>30-39</t>
  </si>
  <si>
    <t>40-49</t>
  </si>
  <si>
    <t>50-59</t>
  </si>
  <si>
    <t>60-74</t>
  </si>
  <si>
    <t>75+</t>
  </si>
  <si>
    <t>Age Distribution of Cruise Travellers (2014, Source: CLIA)</t>
  </si>
  <si>
    <t>Income Distribution of Cruise Travellers (2014, Source: CLIA)</t>
  </si>
  <si>
    <t>$40-49k</t>
  </si>
  <si>
    <t>$50-59k</t>
  </si>
  <si>
    <t>$60-69k</t>
  </si>
  <si>
    <t>$70-99k</t>
  </si>
  <si>
    <t>$100-199k</t>
  </si>
  <si>
    <t>$200-300k</t>
  </si>
  <si>
    <t>$300k +</t>
  </si>
  <si>
    <t>Employment Status (2014, Source: CLIA)</t>
  </si>
  <si>
    <t>Retired</t>
  </si>
  <si>
    <t>Not Employed</t>
  </si>
  <si>
    <t>Employed</t>
  </si>
  <si>
    <t>Length of Cruise (2014, Source CLIA)</t>
  </si>
  <si>
    <t>3-5 days</t>
  </si>
  <si>
    <t>6-8 days</t>
  </si>
  <si>
    <t>9-15 days</t>
  </si>
  <si>
    <t>16+ days</t>
  </si>
  <si>
    <t>Cruise Trip Companions (2014, Source: CLIA)</t>
  </si>
  <si>
    <t>Spouse</t>
  </si>
  <si>
    <t>Partner</t>
  </si>
  <si>
    <t>Child 2-5</t>
  </si>
  <si>
    <t>Child 6-12</t>
  </si>
  <si>
    <t>Child 13-17</t>
  </si>
  <si>
    <t>Adult Child</t>
  </si>
  <si>
    <t>Other Family</t>
  </si>
  <si>
    <t>Friends</t>
  </si>
  <si>
    <t>Members of Group</t>
  </si>
  <si>
    <t>Child Under 18</t>
  </si>
  <si>
    <t>Child Under 2</t>
  </si>
  <si>
    <t>Repeat Cruise</t>
  </si>
  <si>
    <t>Taken Multiple Cruises</t>
  </si>
  <si>
    <t>First Cruise</t>
  </si>
  <si>
    <t>Travel Party Size</t>
  </si>
  <si>
    <t>1 Person</t>
  </si>
  <si>
    <t>2 People</t>
  </si>
  <si>
    <t>3 People</t>
  </si>
  <si>
    <t>Over 5 People</t>
  </si>
  <si>
    <t>4 People</t>
  </si>
  <si>
    <t>Trip Spending on Cruises (2014, Source: CLIA)</t>
  </si>
  <si>
    <t>&lt;$500</t>
  </si>
  <si>
    <t>$500-999</t>
  </si>
  <si>
    <t>$1,000-1,499</t>
  </si>
  <si>
    <t>$1,500-1,999</t>
  </si>
  <si>
    <t>$2,000-2,999</t>
  </si>
  <si>
    <t>$3,000-3,999</t>
  </si>
  <si>
    <t>$4,000-4,999</t>
  </si>
  <si>
    <t>$5,000 +</t>
  </si>
  <si>
    <t>Distribution of Average Vacation Spending (2014, source: CLIA)</t>
  </si>
  <si>
    <t>Total Cost per Person</t>
  </si>
  <si>
    <t>Cruise Fare</t>
  </si>
  <si>
    <t>Onboard &amp; Shore Expenses</t>
  </si>
  <si>
    <t>Airfare</t>
  </si>
  <si>
    <t>Appeal of Ship Size (2014, Source: CLIA)</t>
  </si>
  <si>
    <t>Very Large</t>
  </si>
  <si>
    <t>Large</t>
  </si>
  <si>
    <t>Medium</t>
  </si>
  <si>
    <t>Small</t>
  </si>
  <si>
    <t>Intermediate / Yacht</t>
  </si>
  <si>
    <t>Appeal of Onboard Atmosphere (2014, Source: CLIA)</t>
  </si>
  <si>
    <t>Formal</t>
  </si>
  <si>
    <t>Country Club</t>
  </si>
  <si>
    <t>Casual Elegance</t>
  </si>
  <si>
    <t>Casual</t>
  </si>
  <si>
    <t>Laid-back</t>
  </si>
  <si>
    <t>Planning &amp; Booking Horizon of Last Cruise (2014, Source: CLIA)</t>
  </si>
  <si>
    <t>1-3 months</t>
  </si>
  <si>
    <t>Under 1 month</t>
  </si>
  <si>
    <t>4-6 months</t>
  </si>
  <si>
    <t>7-12 months</t>
  </si>
  <si>
    <t>1-2 years</t>
  </si>
  <si>
    <t>Planning</t>
  </si>
  <si>
    <t>Booking</t>
  </si>
  <si>
    <t>Factors Influencing Cruise Selection (2014, Source: CLIA)</t>
  </si>
  <si>
    <t>Destination</t>
  </si>
  <si>
    <t>Overall Experience</t>
  </si>
  <si>
    <t>Property / Ship</t>
  </si>
  <si>
    <t>Facilities</t>
  </si>
  <si>
    <t>Importance of Amenities (2014, Source: CLIA)</t>
  </si>
  <si>
    <t>Entertainment - shows, revues</t>
  </si>
  <si>
    <t>Entertainment - well known</t>
  </si>
  <si>
    <t>Suite &amp; balcony cabins</t>
  </si>
  <si>
    <t>Onboard shopping &amp; duty free</t>
  </si>
  <si>
    <t>Adult only areas</t>
  </si>
  <si>
    <t>Internet access</t>
  </si>
  <si>
    <t>Health club &amp; gym</t>
  </si>
  <si>
    <t>Casino &amp; gaming</t>
  </si>
  <si>
    <t>Specialty restaurants</t>
  </si>
  <si>
    <t>Sporting facilities</t>
  </si>
  <si>
    <t>Spa &amp; salon services</t>
  </si>
  <si>
    <t>Celebrity chef restaurants</t>
  </si>
  <si>
    <t>Programs for child uner 13</t>
  </si>
  <si>
    <t>Programs for child 13-17</t>
  </si>
  <si>
    <t>Babysitting services</t>
  </si>
  <si>
    <t>Canada</t>
  </si>
  <si>
    <t>UK</t>
  </si>
  <si>
    <t>Spain</t>
  </si>
  <si>
    <t>France</t>
  </si>
  <si>
    <t>Germany</t>
  </si>
  <si>
    <t>Italy</t>
  </si>
  <si>
    <t>China</t>
  </si>
  <si>
    <t>Cruise Capacity Share by Region (2016, Source: CLIA)</t>
  </si>
  <si>
    <t>Capacity Changes by Region in 2016 (Source: CLIA)</t>
  </si>
  <si>
    <t>(Percentage Point Change / ALBDs* 2015 vs 2016)</t>
  </si>
  <si>
    <t>Asia Passenger Volume Source Market (2015, Source: CLIA)</t>
  </si>
  <si>
    <t>Taiwan</t>
  </si>
  <si>
    <t>Singapore</t>
  </si>
  <si>
    <t>Japan</t>
  </si>
  <si>
    <t>India</t>
  </si>
  <si>
    <t>Malaysia</t>
  </si>
  <si>
    <t>Indonesia</t>
  </si>
  <si>
    <t>Korea</t>
  </si>
  <si>
    <t>Philippines</t>
  </si>
  <si>
    <t>Thailand</t>
  </si>
  <si>
    <t>Vietnam</t>
  </si>
  <si>
    <t>Other Asia</t>
  </si>
  <si>
    <t>Kuala Lumpur</t>
  </si>
  <si>
    <t>Taipei</t>
  </si>
  <si>
    <t>2-3 nights</t>
  </si>
  <si>
    <t>4-6 nights</t>
  </si>
  <si>
    <t>7-13 nights</t>
  </si>
  <si>
    <t>Top 10 Ports by Total Calls (2016, Source: CLIA)</t>
  </si>
  <si>
    <t>Fukuoka</t>
  </si>
  <si>
    <t>Okinawa</t>
  </si>
  <si>
    <t>Busan</t>
  </si>
  <si>
    <t>Ho Chi Minh</t>
  </si>
  <si>
    <t>Top Ports by Total Calls in China (2016, Source: CLIA)</t>
  </si>
  <si>
    <t>Baoshan / Shanghai</t>
  </si>
  <si>
    <t>Tianjin / Beijing</t>
  </si>
  <si>
    <t>Hainan / Sanya / Haikou</t>
  </si>
  <si>
    <t>Nansha / Guangzhou</t>
  </si>
  <si>
    <t>Ports</t>
  </si>
  <si>
    <t>Juju 
Island</t>
  </si>
  <si>
    <t>Under 12</t>
  </si>
  <si>
    <t>Age Distribution of China Cruise Travellers (2015)</t>
  </si>
  <si>
    <t>13-19</t>
  </si>
  <si>
    <t>20-29</t>
  </si>
  <si>
    <t>60-69</t>
  </si>
  <si>
    <t>70+</t>
  </si>
  <si>
    <t>Length of Cruise in China (2015, Source: CLIA)</t>
  </si>
  <si>
    <t>14+ nights</t>
  </si>
  <si>
    <t>Passenger growth</t>
  </si>
  <si>
    <t>China Passenger Volumes</t>
  </si>
  <si>
    <t>Source of Cruise Passengers (2015, millions, Source: CLIA)</t>
  </si>
  <si>
    <t>2016e</t>
  </si>
  <si>
    <t>Kota Kinabalu</t>
  </si>
  <si>
    <t>Victoria</t>
  </si>
  <si>
    <t>Legend</t>
  </si>
  <si>
    <t>Mariner</t>
  </si>
  <si>
    <t>Ovation</t>
  </si>
  <si>
    <t>AIDAprima</t>
  </si>
  <si>
    <t>Mitsubishi Heavy Ind</t>
  </si>
  <si>
    <t>Pacific Dawn</t>
  </si>
  <si>
    <t>Pacific Jewel</t>
  </si>
  <si>
    <t>Pacific Pearl</t>
  </si>
  <si>
    <t>Atlantica</t>
  </si>
  <si>
    <t>Serena</t>
  </si>
  <si>
    <t>Fortuna</t>
  </si>
  <si>
    <t>NeoRomantica</t>
  </si>
  <si>
    <t>Costa Asia Newbuild</t>
  </si>
  <si>
    <t>Sapphire</t>
  </si>
  <si>
    <t>Golden</t>
  </si>
  <si>
    <t>SkySea (35%)</t>
  </si>
  <si>
    <t>Golden Era</t>
  </si>
  <si>
    <t>Virgo</t>
  </si>
  <si>
    <t>Acquarius</t>
  </si>
  <si>
    <t>Libra</t>
  </si>
  <si>
    <t>Splendida</t>
  </si>
  <si>
    <t>NCL</t>
  </si>
  <si>
    <t xml:space="preserve">    Growth (%YoY)</t>
  </si>
  <si>
    <t>Total Berths</t>
  </si>
  <si>
    <t>SkySea (100%)</t>
  </si>
  <si>
    <t>Baoshan (Shanghai)</t>
  </si>
  <si>
    <t>Sanya (Hainan)</t>
  </si>
  <si>
    <t>Global Class</t>
  </si>
  <si>
    <t>Xiamen (Fujian)</t>
  </si>
  <si>
    <t>Nansha</t>
  </si>
  <si>
    <t>May 2015</t>
  </si>
  <si>
    <t>Tianjin (Beijing)</t>
  </si>
  <si>
    <t>July 2017</t>
  </si>
  <si>
    <t>April 2016</t>
  </si>
  <si>
    <t>May 2014</t>
  </si>
  <si>
    <t>April 2017</t>
  </si>
  <si>
    <t>May 2012</t>
  </si>
  <si>
    <t>April 2015</t>
  </si>
  <si>
    <t>May 2013</t>
  </si>
  <si>
    <t>Home Port</t>
  </si>
  <si>
    <t>In China Since</t>
  </si>
  <si>
    <t>SkySea</t>
  </si>
  <si>
    <t>Bohai Ferry</t>
  </si>
  <si>
    <t>Diamond</t>
  </si>
  <si>
    <t>Chinese Taishan</t>
  </si>
  <si>
    <t>Boahai Ferry</t>
  </si>
  <si>
    <t>Norwegian Bliss</t>
  </si>
  <si>
    <t>Kleven Werft</t>
  </si>
  <si>
    <t>Le Laperouse</t>
  </si>
  <si>
    <t>Le Champlain</t>
  </si>
  <si>
    <t>Celebrity Edge</t>
  </si>
  <si>
    <t>MV Werften</t>
  </si>
  <si>
    <t>Le Bougainville</t>
  </si>
  <si>
    <t>Celebrity Beyond</t>
  </si>
  <si>
    <t>Meyer Turku</t>
  </si>
  <si>
    <t>Holland</t>
  </si>
  <si>
    <t>Tonnage</t>
  </si>
  <si>
    <t>Length
(ft)</t>
  </si>
  <si>
    <t>Build</t>
  </si>
  <si>
    <t>Avg.
Rating</t>
  </si>
  <si>
    <t>Avg.</t>
  </si>
  <si>
    <t>Carnival New 2020</t>
  </si>
  <si>
    <t>Carnival New 2022</t>
  </si>
  <si>
    <t>New Class</t>
  </si>
  <si>
    <t>Costa New 2021</t>
  </si>
  <si>
    <t>Eurodam</t>
  </si>
  <si>
    <t>Koningsdam</t>
  </si>
  <si>
    <t>Nieuw Amsterdam</t>
  </si>
  <si>
    <t>Oosterdam</t>
  </si>
  <si>
    <t>Prinsendam</t>
  </si>
  <si>
    <t>Princess New 2020</t>
  </si>
  <si>
    <t>Celebrity Xperience</t>
  </si>
  <si>
    <t>Celebrity Xploration</t>
  </si>
  <si>
    <t>Unknown</t>
  </si>
  <si>
    <t>Edge</t>
  </si>
  <si>
    <t>AIDA New 2020</t>
  </si>
  <si>
    <t>Norwegian New 2022</t>
  </si>
  <si>
    <t>Norwegian New 2023</t>
  </si>
  <si>
    <t>Norwegian New 2024</t>
  </si>
  <si>
    <t>Norwegian New 2025</t>
  </si>
  <si>
    <t>MSC New 2022</t>
  </si>
  <si>
    <t>MSC New 2024</t>
  </si>
  <si>
    <t>Disney New 2021</t>
  </si>
  <si>
    <t>Disney New 2023</t>
  </si>
  <si>
    <t>Exclusive</t>
  </si>
  <si>
    <t>Vard</t>
  </si>
  <si>
    <t>Expedition Yacht</t>
  </si>
  <si>
    <t>Virgin New 2020</t>
  </si>
  <si>
    <t>Virgin New 2021</t>
  </si>
  <si>
    <t>Virgin New 2022</t>
  </si>
  <si>
    <t>Uljanik</t>
  </si>
  <si>
    <t>Saga Pearl II</t>
  </si>
  <si>
    <t>Saga Sapphire</t>
  </si>
  <si>
    <t>Bremer Vulkan Werft</t>
  </si>
  <si>
    <t>TDR</t>
  </si>
  <si>
    <t>Celestyal Crystal</t>
  </si>
  <si>
    <t>Celestyal</t>
  </si>
  <si>
    <t>Wartsila Marine Perno Shipyard</t>
  </si>
  <si>
    <t>Celestyal Nefeli</t>
  </si>
  <si>
    <t>Celestyal Olympia</t>
  </si>
  <si>
    <t>Union Navale de Levante</t>
  </si>
  <si>
    <t>Wartsila Hietalahti</t>
  </si>
  <si>
    <t>Expedition</t>
  </si>
  <si>
    <t>National Geographic Quest</t>
  </si>
  <si>
    <t>National Geographic Venture</t>
  </si>
  <si>
    <t>Azamara</t>
  </si>
  <si>
    <t>LIND</t>
  </si>
  <si>
    <t>Retire after X years</t>
  </si>
  <si>
    <t>Global, net retirements</t>
  </si>
  <si>
    <t xml:space="preserve">    Growth</t>
  </si>
  <si>
    <t>2021e</t>
  </si>
  <si>
    <t>2022e</t>
  </si>
  <si>
    <t>2023e</t>
  </si>
  <si>
    <t>2024e</t>
  </si>
  <si>
    <t>2025e</t>
  </si>
  <si>
    <t>Symphony of the Seas</t>
  </si>
  <si>
    <t>AIDAnova</t>
  </si>
  <si>
    <t>Spirit of Discovery</t>
  </si>
  <si>
    <t>Hanseatic Nature</t>
  </si>
  <si>
    <t>Hanseatic Inspiration</t>
  </si>
  <si>
    <t xml:space="preserve">    CCL Report</t>
  </si>
  <si>
    <t>Weighted Average Supply of Berths Marketed Globally (RCL)</t>
  </si>
  <si>
    <t>RCL Total Berths</t>
  </si>
  <si>
    <t>Global Cruise Ship Berths</t>
  </si>
  <si>
    <t>Cruise Ship Berths</t>
  </si>
  <si>
    <t>Cruise Capacity Deployment (% ALBDs)</t>
  </si>
  <si>
    <t>Caribbean / Bahamas</t>
  </si>
  <si>
    <t>Australia / NZ / Pacific</t>
  </si>
  <si>
    <t>United States</t>
  </si>
  <si>
    <t>United Kingdom</t>
  </si>
  <si>
    <t>Brazil</t>
  </si>
  <si>
    <t>Rest of World</t>
  </si>
  <si>
    <t>Number of Cruise Ships</t>
  </si>
  <si>
    <t>Number of Cruise Lines (Brands)</t>
  </si>
  <si>
    <t>Cruise Passengers ('000s)</t>
  </si>
  <si>
    <t>Market Penetration (%)</t>
  </si>
  <si>
    <t>Passenger Sourcing ('000s)</t>
  </si>
  <si>
    <t>Repeat Cruise (% of cruisers)</t>
  </si>
  <si>
    <t xml:space="preserve">    Taken multiple cruises</t>
  </si>
  <si>
    <t xml:space="preserve">    New to cruise</t>
  </si>
  <si>
    <t>Mexico</t>
  </si>
  <si>
    <t>Nordic</t>
  </si>
  <si>
    <t>North America (from RCL Weighted Avg Supply Marketed)</t>
  </si>
  <si>
    <t>Occpancy</t>
  </si>
  <si>
    <t xml:space="preserve">    Growth ('000s)</t>
  </si>
  <si>
    <t>Refurb</t>
  </si>
  <si>
    <t>V. Good</t>
  </si>
  <si>
    <t>Excel.</t>
  </si>
  <si>
    <t>Mein Schiff 2 (b)</t>
  </si>
  <si>
    <t>Mein Schiff 2 (a)</t>
  </si>
  <si>
    <t>Flying Clipper</t>
  </si>
  <si>
    <t>Star Clipper</t>
  </si>
  <si>
    <t>Brodosplit</t>
  </si>
  <si>
    <t>Spectrum of Seas</t>
  </si>
  <si>
    <t>Hondius</t>
  </si>
  <si>
    <t>China Merchants HI</t>
  </si>
  <si>
    <t>Astillero Barreras</t>
  </si>
  <si>
    <t>Costa Asia New 2020</t>
  </si>
  <si>
    <t>Quantum 5</t>
  </si>
  <si>
    <t>SunStone New 2020</t>
  </si>
  <si>
    <t>SunStone</t>
  </si>
  <si>
    <t>Silver Moon</t>
  </si>
  <si>
    <t>Oasis 5</t>
  </si>
  <si>
    <t>Celebrity New 2021 (Edge-class 3)</t>
  </si>
  <si>
    <t>Viking New 2021</t>
  </si>
  <si>
    <t>SunStone New 2021</t>
  </si>
  <si>
    <t>Celebrity New 2022(Edge-class 4)</t>
  </si>
  <si>
    <t>Viking New 2022</t>
  </si>
  <si>
    <t>Disney New 2022</t>
  </si>
  <si>
    <t>Marco Polo</t>
  </si>
  <si>
    <t>MS Nordstjernen</t>
  </si>
  <si>
    <t>"Consumers Loved It"</t>
  </si>
  <si>
    <t>Passengers to Space</t>
  </si>
  <si>
    <t>Cost/Berth</t>
  </si>
  <si>
    <t>Cunard New 2022</t>
  </si>
  <si>
    <t>KEY METRICS</t>
  </si>
  <si>
    <t>Cruise Industry</t>
  </si>
  <si>
    <t>MSC Cruises</t>
  </si>
  <si>
    <t>MSC Musica (Jul 2006, Musica)</t>
  </si>
  <si>
    <t>MSC Opera (Mar 2004, Lirica)</t>
  </si>
  <si>
    <t>MSC Orchestra (May 2007, Musica)</t>
  </si>
  <si>
    <t>MSC Poesia (Oct 2008, Musica)</t>
  </si>
  <si>
    <t>MSC Magnifica (Mar 2010, Musica)</t>
  </si>
  <si>
    <t>MSC Fantasia (Dec 2008, Fantasia)</t>
  </si>
  <si>
    <t>MSC Spendida (Jul 2009, Fantasia)</t>
  </si>
  <si>
    <t>MSC Divina (Jun 2012, Fantasia)</t>
  </si>
  <si>
    <t>MSC Preziosa (Mar 2013, Fantasia)</t>
  </si>
  <si>
    <t>MSC Meraviglia (May 2017, Meraviglia)</t>
  </si>
  <si>
    <t>MSC Seaside (Nov 2017)</t>
  </si>
  <si>
    <t>MSC Bellissima (Mar 2019)</t>
  </si>
  <si>
    <t>MSC Seaview (Jun 2018)</t>
  </si>
  <si>
    <t>MSC World Class 1 (2022)</t>
  </si>
  <si>
    <t>MSC World Class 2 (2024)</t>
  </si>
  <si>
    <t>MSC World Class 3 (2025)</t>
  </si>
  <si>
    <t>MSC World Class 4 (2026)</t>
  </si>
  <si>
    <t>MSC Project Meraviglia Plus 1 (Oct 2019)</t>
  </si>
  <si>
    <t>MSC Project Meraviglia Plus 2 (Sep 2020)</t>
  </si>
  <si>
    <t>Genting Dream (2016)</t>
  </si>
  <si>
    <t>World Dream (2017)</t>
  </si>
  <si>
    <t>Star Global (2020)</t>
  </si>
  <si>
    <t>Star Global (2021)</t>
  </si>
  <si>
    <t>Other Large Ships</t>
  </si>
  <si>
    <t>TUI Mein Schiff 3</t>
  </si>
  <si>
    <t>TUI Mein Schiff 4</t>
  </si>
  <si>
    <t>TUI Mein Schiff 5</t>
  </si>
  <si>
    <t>TUI Mein Schiff 6</t>
  </si>
  <si>
    <t>TUI Mein Schiff 1</t>
  </si>
  <si>
    <t>TUI Mein Schiff 2</t>
  </si>
  <si>
    <t>Virgin 1 (2020)</t>
  </si>
  <si>
    <t>Virgin 2 (2021)</t>
  </si>
  <si>
    <t>Virgin 3 (2022)</t>
  </si>
  <si>
    <t>Disney (2021)</t>
  </si>
  <si>
    <t>Disney (2023)</t>
  </si>
  <si>
    <t>Other (Genting Hong Kong, TUI Cruises, Virgin, Disney)</t>
  </si>
  <si>
    <t>Carnival Panorama</t>
  </si>
  <si>
    <t>Cost / Berth
2018 US$</t>
  </si>
  <si>
    <t>Silver Dawn</t>
  </si>
  <si>
    <t>Viking Jupiter</t>
  </si>
  <si>
    <t>Costa Venezia</t>
  </si>
  <si>
    <t>Roald Amundsen</t>
  </si>
  <si>
    <t>Le Dumont-d'Urville</t>
  </si>
  <si>
    <t>Costa Smeralda</t>
  </si>
  <si>
    <t>Sky Princess</t>
  </si>
  <si>
    <t>Encore</t>
  </si>
  <si>
    <t>Fridtjof Nansen</t>
  </si>
  <si>
    <t>Greg Mortimer</t>
  </si>
  <si>
    <t>Grandiosa</t>
  </si>
  <si>
    <t>Bellissima</t>
  </si>
  <si>
    <t>Ritz-Carlton 2019</t>
  </si>
  <si>
    <t>Ritz-Carlton</t>
  </si>
  <si>
    <t>Splendor</t>
  </si>
  <si>
    <t>Iona</t>
  </si>
  <si>
    <t>Virtuosa</t>
  </si>
  <si>
    <t>Ocean Victory</t>
  </si>
  <si>
    <t>CSSC</t>
  </si>
  <si>
    <t>Dream 2020</t>
  </si>
  <si>
    <t>Dream 2021</t>
  </si>
  <si>
    <t>Adventurer</t>
  </si>
  <si>
    <t>VARD</t>
  </si>
  <si>
    <t>Celebrity Flora</t>
  </si>
  <si>
    <t>De Hoop</t>
  </si>
  <si>
    <t>Antarctica21</t>
  </si>
  <si>
    <t>Ocean Nova</t>
  </si>
  <si>
    <t>Hebridean Sky</t>
  </si>
  <si>
    <t>Magellan Explorer</t>
  </si>
  <si>
    <t>National Geographic Endurance</t>
  </si>
  <si>
    <t>Le Bellot</t>
  </si>
  <si>
    <t>Le Surville</t>
  </si>
  <si>
    <t>Ponant New 2021</t>
  </si>
  <si>
    <t>Scenic Eclipse II</t>
  </si>
  <si>
    <t>Spirit of Adventure</t>
  </si>
  <si>
    <t>Quark New 2020</t>
  </si>
  <si>
    <t>Quark</t>
  </si>
  <si>
    <t>Ocean Adventurer</t>
  </si>
  <si>
    <t>Ocean Diamond</t>
  </si>
  <si>
    <t>Ocean Endeavour</t>
  </si>
  <si>
    <t>Sea Spirit</t>
  </si>
  <si>
    <t>Ocean Atlantic</t>
  </si>
  <si>
    <t>Kapitan Khlebnikov</t>
  </si>
  <si>
    <t>Ritz-Carlton 2021</t>
  </si>
  <si>
    <t>Ritz-Carlton 2022</t>
  </si>
  <si>
    <t>MSC New 2021</t>
  </si>
  <si>
    <t>MSC New 2023</t>
  </si>
  <si>
    <t>MSC New 2025</t>
  </si>
  <si>
    <t>MSC New 2026</t>
  </si>
  <si>
    <t>HAL New 2021</t>
  </si>
  <si>
    <t>Viking Orion</t>
  </si>
  <si>
    <t>Viking Expedition New 2021</t>
  </si>
  <si>
    <t>Viking Expedition New 2022</t>
  </si>
  <si>
    <t>Viking New 2023</t>
  </si>
  <si>
    <t>Viking New 2024</t>
  </si>
  <si>
    <t>Viking New 2025</t>
  </si>
  <si>
    <t>Viking New 2026</t>
  </si>
  <si>
    <t>Viking New 2027</t>
  </si>
  <si>
    <t>Hapag-Lloyd 2021</t>
  </si>
  <si>
    <t>Princess New 2022</t>
  </si>
  <si>
    <t>Crystal Endeavor 3 (2022)</t>
  </si>
  <si>
    <t>Crystal Endeavor 2 (2021)</t>
  </si>
  <si>
    <t>Endeavor</t>
  </si>
  <si>
    <t>Crystal Exclusive 2022</t>
  </si>
  <si>
    <t>P&amp;O 2022</t>
  </si>
  <si>
    <t>Mein Schiff 7</t>
  </si>
  <si>
    <t>AIDA New 2023</t>
  </si>
  <si>
    <t>Azamara Pursuit</t>
  </si>
  <si>
    <t>Grand Classica</t>
  </si>
  <si>
    <t>Grand Celebration</t>
  </si>
  <si>
    <t>Bahamas Paradise</t>
  </si>
  <si>
    <t>Kockums Mekaniska</t>
  </si>
  <si>
    <t>Celestyal Majesty</t>
  </si>
  <si>
    <t>Louis Aura</t>
  </si>
  <si>
    <t>AG Weser</t>
  </si>
  <si>
    <t>Balmoral</t>
  </si>
  <si>
    <t>Boudicca</t>
  </si>
  <si>
    <t>Black Watch</t>
  </si>
  <si>
    <t>GREECE</t>
  </si>
  <si>
    <t>Marella Explorer</t>
  </si>
  <si>
    <t>Marella</t>
  </si>
  <si>
    <t>Marella Discovery</t>
  </si>
  <si>
    <t>Mein Schiff 1</t>
  </si>
  <si>
    <t>Marella Discovery 2</t>
  </si>
  <si>
    <t>Marella Dream</t>
  </si>
  <si>
    <t>Marella Celebration</t>
  </si>
  <si>
    <t>Marella Spirit</t>
  </si>
  <si>
    <t>Marella Explorer 2</t>
  </si>
  <si>
    <t>Star Legend</t>
  </si>
  <si>
    <t>Star Breeze</t>
  </si>
  <si>
    <t>Star Pride</t>
  </si>
  <si>
    <t>Wind Surf</t>
  </si>
  <si>
    <t>Wind Spirit</t>
  </si>
  <si>
    <t>Wind Star</t>
  </si>
  <si>
    <t>Schichau Seebeckwerft</t>
  </si>
  <si>
    <t>Windstar Yacht</t>
  </si>
  <si>
    <t>Ateliers et Chantiers du Havre</t>
  </si>
  <si>
    <t>Motor Sailing</t>
  </si>
  <si>
    <t>Birka Stockholm</t>
  </si>
  <si>
    <t>Birka</t>
  </si>
  <si>
    <t>Rauma</t>
  </si>
  <si>
    <t>Glory Sea</t>
  </si>
  <si>
    <t>Diamond Cruises</t>
  </si>
  <si>
    <t>Blohm +Voss</t>
  </si>
  <si>
    <t>Pacific Venus</t>
  </si>
  <si>
    <t>Venus Cruises</t>
  </si>
  <si>
    <t>Carnival China 1</t>
  </si>
  <si>
    <t>Carnival China 2</t>
  </si>
  <si>
    <t>IHI Corporation</t>
  </si>
  <si>
    <t>Hamburg</t>
  </si>
  <si>
    <t>Plantours</t>
  </si>
  <si>
    <t>MV Werften Wismar</t>
  </si>
  <si>
    <t>TUI Travel</t>
  </si>
  <si>
    <t>SeaDream 1</t>
  </si>
  <si>
    <t>SeaDream 2</t>
  </si>
  <si>
    <t>Star Flyer</t>
  </si>
  <si>
    <t>Royal Clipper</t>
  </si>
  <si>
    <t>Scheepswerven</t>
  </si>
  <si>
    <t xml:space="preserve">Stocznie Gdynia </t>
  </si>
  <si>
    <t>Marriott</t>
  </si>
  <si>
    <t>New Cruise Ship Berths</t>
  </si>
  <si>
    <t>Contributions to Global Growth</t>
  </si>
  <si>
    <t>Contributions to Segment Growth</t>
  </si>
  <si>
    <t>Share of Global Berths</t>
  </si>
  <si>
    <t>Share of Segment Berths</t>
  </si>
  <si>
    <t>New Cruise Ship Berths (%YoY)</t>
  </si>
  <si>
    <t>APCDs</t>
  </si>
  <si>
    <t>Pgr Days</t>
  </si>
  <si>
    <t>Pgrs</t>
  </si>
  <si>
    <t>2019-21e</t>
  </si>
  <si>
    <t>Growth</t>
  </si>
  <si>
    <t>CAGR</t>
  </si>
  <si>
    <t>Build
Year</t>
  </si>
  <si>
    <t>Delivery</t>
  </si>
  <si>
    <t>Mar</t>
  </si>
  <si>
    <t>Dec</t>
  </si>
  <si>
    <t>Nov</t>
  </si>
  <si>
    <t>Apr</t>
  </si>
  <si>
    <t>May</t>
  </si>
  <si>
    <t>Jul</t>
  </si>
  <si>
    <t>Jun</t>
  </si>
  <si>
    <t>Aug</t>
  </si>
  <si>
    <t>Sep</t>
  </si>
  <si>
    <t>Oct</t>
  </si>
  <si>
    <t>Feb</t>
  </si>
  <si>
    <t>Oceanwide</t>
  </si>
  <si>
    <t>Jan</t>
  </si>
  <si>
    <t>Icon</t>
  </si>
  <si>
    <t>Icon 1</t>
  </si>
  <si>
    <t>Icon 2</t>
  </si>
  <si>
    <t>Leonardo</t>
  </si>
  <si>
    <t>Meraviglia</t>
  </si>
  <si>
    <t>Seaside</t>
  </si>
  <si>
    <t xml:space="preserve">World </t>
  </si>
  <si>
    <t>Fuel</t>
  </si>
  <si>
    <t>LNG</t>
  </si>
  <si>
    <t>Long Beach</t>
  </si>
  <si>
    <t>First Sailing</t>
  </si>
  <si>
    <t>Departure Port</t>
  </si>
  <si>
    <t>Price</t>
  </si>
  <si>
    <t>Nights</t>
  </si>
  <si>
    <t>Daily Price</t>
  </si>
  <si>
    <t>Athens</t>
  </si>
  <si>
    <t>Market</t>
  </si>
  <si>
    <t>Med</t>
  </si>
  <si>
    <t>Rome</t>
  </si>
  <si>
    <t>Fort Lauderdale</t>
  </si>
  <si>
    <t>Carribean</t>
  </si>
  <si>
    <t>Baltra</t>
  </si>
  <si>
    <t>Galapagos</t>
  </si>
  <si>
    <t>Southampton</t>
  </si>
  <si>
    <t>Transatlantic</t>
  </si>
  <si>
    <t>Barcelona</t>
  </si>
  <si>
    <t>Genoa</t>
  </si>
  <si>
    <t>Nice</t>
  </si>
  <si>
    <t>Stockholm</t>
  </si>
  <si>
    <t>Luxury &amp; Expedition</t>
  </si>
  <si>
    <t>www.Cruisecritic.com Reviews</t>
  </si>
  <si>
    <t>Rating</t>
  </si>
  <si>
    <t>Excellent</t>
  </si>
  <si>
    <t>Very Good</t>
  </si>
  <si>
    <t>Average</t>
  </si>
  <si>
    <t>P&amp;O Aust.</t>
  </si>
  <si>
    <t>carnival fantasy</t>
  </si>
  <si>
    <t>carnival ecstasy</t>
  </si>
  <si>
    <t>carnival sensation</t>
  </si>
  <si>
    <t>carnival fascination</t>
  </si>
  <si>
    <t>carnival imagination</t>
  </si>
  <si>
    <t>carnival inspiration</t>
  </si>
  <si>
    <t>carnival sunshine</t>
  </si>
  <si>
    <t>carnival elation</t>
  </si>
  <si>
    <t>carnival paradise</t>
  </si>
  <si>
    <t>carnival triumph</t>
  </si>
  <si>
    <t>carnival victory</t>
  </si>
  <si>
    <t>carnival pride</t>
  </si>
  <si>
    <t>carnival spirit</t>
  </si>
  <si>
    <t>carnival conquest</t>
  </si>
  <si>
    <t>carnival legend</t>
  </si>
  <si>
    <t>carnival glory</t>
  </si>
  <si>
    <t>carnival miracle</t>
  </si>
  <si>
    <t>carnival valor</t>
  </si>
  <si>
    <t>carnival liberty</t>
  </si>
  <si>
    <t>carnival freedom</t>
  </si>
  <si>
    <t>carnival splendor</t>
  </si>
  <si>
    <t>carnival dream</t>
  </si>
  <si>
    <t>carnival magic</t>
  </si>
  <si>
    <t>carnival breeze</t>
  </si>
  <si>
    <t>carnival vista</t>
  </si>
  <si>
    <t>carnival horizon</t>
  </si>
  <si>
    <t>carnival panorama</t>
  </si>
  <si>
    <t>carnival new 2020</t>
  </si>
  <si>
    <t>carnival new 2022</t>
  </si>
  <si>
    <t>carnival china 1</t>
  </si>
  <si>
    <t>carnival china 2</t>
  </si>
  <si>
    <t>costa neoromantica</t>
  </si>
  <si>
    <t>costa victoria</t>
  </si>
  <si>
    <t>costa neoriviera</t>
  </si>
  <si>
    <t>costa atlantica</t>
  </si>
  <si>
    <t>costa fortuna</t>
  </si>
  <si>
    <t>costa mediteranea</t>
  </si>
  <si>
    <t>costa magica</t>
  </si>
  <si>
    <t>costa serena</t>
  </si>
  <si>
    <t>costa luminosa</t>
  </si>
  <si>
    <t>costa pacifica</t>
  </si>
  <si>
    <t>costa deliziosa</t>
  </si>
  <si>
    <t>costa favolosa</t>
  </si>
  <si>
    <t>costa fascinosa</t>
  </si>
  <si>
    <t>costa diadema</t>
  </si>
  <si>
    <t>costa venezia</t>
  </si>
  <si>
    <t>costa smeralda</t>
  </si>
  <si>
    <t>costa asia new 2020</t>
  </si>
  <si>
    <t>costa new 2021</t>
  </si>
  <si>
    <t>aidacara</t>
  </si>
  <si>
    <t>aidavita</t>
  </si>
  <si>
    <t>aidaaura</t>
  </si>
  <si>
    <t>aidadiva</t>
  </si>
  <si>
    <t>aidabella</t>
  </si>
  <si>
    <t>aidaluna</t>
  </si>
  <si>
    <t>aidablu</t>
  </si>
  <si>
    <t>aidasol</t>
  </si>
  <si>
    <t>aidamar</t>
  </si>
  <si>
    <t>aidastella</t>
  </si>
  <si>
    <t>aidaprima</t>
  </si>
  <si>
    <t>aidaperla</t>
  </si>
  <si>
    <t>aidanova</t>
  </si>
  <si>
    <t>aida new 2020</t>
  </si>
  <si>
    <t>aida new 2023</t>
  </si>
  <si>
    <t>oriana</t>
  </si>
  <si>
    <t>aurora</t>
  </si>
  <si>
    <t>oceana</t>
  </si>
  <si>
    <t>adonia</t>
  </si>
  <si>
    <t>arcadia</t>
  </si>
  <si>
    <t>ventura</t>
  </si>
  <si>
    <t>azura</t>
  </si>
  <si>
    <t>britannia</t>
  </si>
  <si>
    <t>iona</t>
  </si>
  <si>
    <t>p&amp;o 2022</t>
  </si>
  <si>
    <t>pacific jewel</t>
  </si>
  <si>
    <t>pacific dawn</t>
  </si>
  <si>
    <t>pacific eden</t>
  </si>
  <si>
    <t>pacific aria</t>
  </si>
  <si>
    <t>sun princess</t>
  </si>
  <si>
    <t>dawn princess</t>
  </si>
  <si>
    <t>grand princess</t>
  </si>
  <si>
    <t>sea princess</t>
  </si>
  <si>
    <t>pacific princess</t>
  </si>
  <si>
    <t>golden princess</t>
  </si>
  <si>
    <t>star princess</t>
  </si>
  <si>
    <t>coral princess</t>
  </si>
  <si>
    <t>island princess</t>
  </si>
  <si>
    <t>caribbean princess</t>
  </si>
  <si>
    <t>diamond princess</t>
  </si>
  <si>
    <t>sapphire princess</t>
  </si>
  <si>
    <t>crown princess</t>
  </si>
  <si>
    <t>emerald princess</t>
  </si>
  <si>
    <t>ruby princess</t>
  </si>
  <si>
    <t>royal princess</t>
  </si>
  <si>
    <t>regal princess</t>
  </si>
  <si>
    <t>majestic princess</t>
  </si>
  <si>
    <t>sky princess</t>
  </si>
  <si>
    <t>princess new 2020</t>
  </si>
  <si>
    <t>princess new 2022</t>
  </si>
  <si>
    <t>prinsendam</t>
  </si>
  <si>
    <t>maasdam</t>
  </si>
  <si>
    <t>veendam</t>
  </si>
  <si>
    <t>rotterdam</t>
  </si>
  <si>
    <t>volendam</t>
  </si>
  <si>
    <t>amsterdam</t>
  </si>
  <si>
    <t>zaandam</t>
  </si>
  <si>
    <t>zuiderdam</t>
  </si>
  <si>
    <t>oosterdam</t>
  </si>
  <si>
    <t>westerdam</t>
  </si>
  <si>
    <t>noordam</t>
  </si>
  <si>
    <t>eurodam</t>
  </si>
  <si>
    <t>nieuw amsterdam</t>
  </si>
  <si>
    <t>koningsdam</t>
  </si>
  <si>
    <t>nieuw statendam</t>
  </si>
  <si>
    <t>hal new 2021</t>
  </si>
  <si>
    <t>queen mary 2</t>
  </si>
  <si>
    <t>queen victoria</t>
  </si>
  <si>
    <t>queen elizabeth</t>
  </si>
  <si>
    <t>cunard new 2022</t>
  </si>
  <si>
    <t>seabourn odyssey</t>
  </si>
  <si>
    <t>seabourn sojourn</t>
  </si>
  <si>
    <t>seabourn quest</t>
  </si>
  <si>
    <t>seabourn encore</t>
  </si>
  <si>
    <t>seabourn ovation</t>
  </si>
  <si>
    <t>empress of the seas</t>
  </si>
  <si>
    <t>majesty of the seas</t>
  </si>
  <si>
    <t>grandeur of the seas</t>
  </si>
  <si>
    <t>enchantment of the seas</t>
  </si>
  <si>
    <t>rhapsody of the seas</t>
  </si>
  <si>
    <t>vision of the seas</t>
  </si>
  <si>
    <t>voyager of the seas</t>
  </si>
  <si>
    <t>explorer of the seas</t>
  </si>
  <si>
    <t>adventure of the seas</t>
  </si>
  <si>
    <t>radiance of the seas</t>
  </si>
  <si>
    <t>brilliance of the seas</t>
  </si>
  <si>
    <t>navigator of the seas</t>
  </si>
  <si>
    <t>mariner of the seas</t>
  </si>
  <si>
    <t>serenade of the seas</t>
  </si>
  <si>
    <t>jewel of the seas</t>
  </si>
  <si>
    <t>freedom of the seas</t>
  </si>
  <si>
    <t>liberty of the seas</t>
  </si>
  <si>
    <t>independence of the seas</t>
  </si>
  <si>
    <t>oasis of the seas</t>
  </si>
  <si>
    <t>allure of the seas</t>
  </si>
  <si>
    <t>quantum of the seas</t>
  </si>
  <si>
    <t>anthem of the seas</t>
  </si>
  <si>
    <t>harmony of the seas</t>
  </si>
  <si>
    <t>ovation of the seas</t>
  </si>
  <si>
    <t>symphony of the seas</t>
  </si>
  <si>
    <t>spectrum of seas</t>
  </si>
  <si>
    <t>quantum 5</t>
  </si>
  <si>
    <t>oasis 5</t>
  </si>
  <si>
    <t>icon 1</t>
  </si>
  <si>
    <t>icon 2</t>
  </si>
  <si>
    <t>celebrity xperience</t>
  </si>
  <si>
    <t>celebrity millennium</t>
  </si>
  <si>
    <t>celebrity infinity</t>
  </si>
  <si>
    <t>celebrity summit</t>
  </si>
  <si>
    <t>celebrity xpedition</t>
  </si>
  <si>
    <t>celebrity constellation</t>
  </si>
  <si>
    <t>celebrity xploration</t>
  </si>
  <si>
    <t>celebrity solstice</t>
  </si>
  <si>
    <t>celebrity equinox</t>
  </si>
  <si>
    <t>celebrity eclipse</t>
  </si>
  <si>
    <t>celebrity silhouette</t>
  </si>
  <si>
    <t>celebrity reflection</t>
  </si>
  <si>
    <t>celebrity edge</t>
  </si>
  <si>
    <t>celebrity flora</t>
  </si>
  <si>
    <t>celebrity beyond</t>
  </si>
  <si>
    <t>celebrity new 2021 (edge-class 3)</t>
  </si>
  <si>
    <t>celebrity new 2022(edge-class 4)</t>
  </si>
  <si>
    <t>azamara quest</t>
  </si>
  <si>
    <t>azamara journey</t>
  </si>
  <si>
    <t>azamara pursuit</t>
  </si>
  <si>
    <t>mein schiff 3</t>
  </si>
  <si>
    <t>mein schiff 4</t>
  </si>
  <si>
    <t>mein schiff 5</t>
  </si>
  <si>
    <t>mein schiff 6</t>
  </si>
  <si>
    <t>mein schiff 1</t>
  </si>
  <si>
    <t>mein schiff 7</t>
  </si>
  <si>
    <t>sovereign</t>
  </si>
  <si>
    <t>monarch</t>
  </si>
  <si>
    <t>horizon</t>
  </si>
  <si>
    <t>zenith</t>
  </si>
  <si>
    <t xml:space="preserve">silver discoverer </t>
  </si>
  <si>
    <t>silver explorer</t>
  </si>
  <si>
    <t>silver galapagos</t>
  </si>
  <si>
    <t>silver cloud</t>
  </si>
  <si>
    <t>silver wind</t>
  </si>
  <si>
    <t>silver shadow</t>
  </si>
  <si>
    <t>silver whisper</t>
  </si>
  <si>
    <t>silver spirit</t>
  </si>
  <si>
    <t>silver muse</t>
  </si>
  <si>
    <t>silver moon</t>
  </si>
  <si>
    <t>silver dawn</t>
  </si>
  <si>
    <t>norwegian spirit</t>
  </si>
  <si>
    <t>norwegian sky</t>
  </si>
  <si>
    <t>norwegian star</t>
  </si>
  <si>
    <t>norwegian sun</t>
  </si>
  <si>
    <t>norwegian dawn</t>
  </si>
  <si>
    <t>norwegian jewel</t>
  </si>
  <si>
    <t>pride of america</t>
  </si>
  <si>
    <t>norwegian jade</t>
  </si>
  <si>
    <t>norwegian gem</t>
  </si>
  <si>
    <t>norwegian pearl</t>
  </si>
  <si>
    <t>norwegian epic</t>
  </si>
  <si>
    <t>norwegian breakaway</t>
  </si>
  <si>
    <t>norwegian getaway</t>
  </si>
  <si>
    <t>norwegian escape</t>
  </si>
  <si>
    <t>norwegian joy</t>
  </si>
  <si>
    <t>norwegian bliss</t>
  </si>
  <si>
    <t>encore</t>
  </si>
  <si>
    <t>norwegian new 2022</t>
  </si>
  <si>
    <t>norwegian new 2023</t>
  </si>
  <si>
    <t>norwegian new 2024</t>
  </si>
  <si>
    <t>norwegian new 2025</t>
  </si>
  <si>
    <t>seven seas navigator</t>
  </si>
  <si>
    <t>seven seas mariner</t>
  </si>
  <si>
    <t>seven seas voyager</t>
  </si>
  <si>
    <t>seven seas explorer</t>
  </si>
  <si>
    <t>splendor</t>
  </si>
  <si>
    <t>msc armonia</t>
  </si>
  <si>
    <t>msc sinfonia</t>
  </si>
  <si>
    <t>msc lirica</t>
  </si>
  <si>
    <t>msc opera</t>
  </si>
  <si>
    <t>msc musica</t>
  </si>
  <si>
    <t>msc orchestra</t>
  </si>
  <si>
    <t>msc fantasia</t>
  </si>
  <si>
    <t>msc poesia</t>
  </si>
  <si>
    <t>msc splendida</t>
  </si>
  <si>
    <t>msc magnifica</t>
  </si>
  <si>
    <t>msc divina</t>
  </si>
  <si>
    <t>msc preziosa</t>
  </si>
  <si>
    <t>msc meraviglia</t>
  </si>
  <si>
    <t>msc seaside</t>
  </si>
  <si>
    <t>msc seaview</t>
  </si>
  <si>
    <t>virtuosa</t>
  </si>
  <si>
    <t>msc new 2021</t>
  </si>
  <si>
    <t>msc new 2022</t>
  </si>
  <si>
    <t>msc new 2023</t>
  </si>
  <si>
    <t>msc new 2024</t>
  </si>
  <si>
    <t>msc new 2025</t>
  </si>
  <si>
    <t>msc new 2026</t>
  </si>
  <si>
    <t>superstar libra</t>
  </si>
  <si>
    <t>star pisces</t>
  </si>
  <si>
    <t>superstar gemini</t>
  </si>
  <si>
    <t>superstar aquarius</t>
  </si>
  <si>
    <t>superstar virgo</t>
  </si>
  <si>
    <t>genting dream</t>
  </si>
  <si>
    <t>world dream</t>
  </si>
  <si>
    <t>dream 2020</t>
  </si>
  <si>
    <t>dream 2021</t>
  </si>
  <si>
    <t>crystal esprit</t>
  </si>
  <si>
    <t>crystal symphony</t>
  </si>
  <si>
    <t>crystal serenity</t>
  </si>
  <si>
    <t>crystal endeavor</t>
  </si>
  <si>
    <t>crystal endeavor 2 (2021)</t>
  </si>
  <si>
    <t>crystal exclusive 2022</t>
  </si>
  <si>
    <t>crystal endeavor 3 (2022)</t>
  </si>
  <si>
    <t>marella spirit</t>
  </si>
  <si>
    <t>marella celebration</t>
  </si>
  <si>
    <t>marella dream</t>
  </si>
  <si>
    <t>marella explorer 2</t>
  </si>
  <si>
    <t>marella discovery 2</t>
  </si>
  <si>
    <t>marella discovery</t>
  </si>
  <si>
    <t>marella explorer</t>
  </si>
  <si>
    <t>ocean diamond</t>
  </si>
  <si>
    <t>ocean adventurer</t>
  </si>
  <si>
    <t>kapitan khlebnikov</t>
  </si>
  <si>
    <t>ocean endeavour</t>
  </si>
  <si>
    <t>ocean atlantic</t>
  </si>
  <si>
    <t>sea spirit</t>
  </si>
  <si>
    <t>ocean nova</t>
  </si>
  <si>
    <t>quark new 2020</t>
  </si>
  <si>
    <t>hanseatic</t>
  </si>
  <si>
    <t>hanseatic nature</t>
  </si>
  <si>
    <t>hanseatic inspiration</t>
  </si>
  <si>
    <t>hapag-lloyd 2021</t>
  </si>
  <si>
    <t>disney magic</t>
  </si>
  <si>
    <t>disney wonder</t>
  </si>
  <si>
    <t>disney dream</t>
  </si>
  <si>
    <t>disney fantasy</t>
  </si>
  <si>
    <t>disney new 2021</t>
  </si>
  <si>
    <t>disney new 2022</t>
  </si>
  <si>
    <t>disney new 2023</t>
  </si>
  <si>
    <t>viking star</t>
  </si>
  <si>
    <t>viking sea</t>
  </si>
  <si>
    <t>viking sky</t>
  </si>
  <si>
    <t>viking sun</t>
  </si>
  <si>
    <t>viking orion</t>
  </si>
  <si>
    <t>viking jupiter</t>
  </si>
  <si>
    <t>viking new 2021</t>
  </si>
  <si>
    <t>viking expedition new 2021</t>
  </si>
  <si>
    <t>viking expedition new 2022</t>
  </si>
  <si>
    <t>viking new 2022</t>
  </si>
  <si>
    <t>viking new 2023</t>
  </si>
  <si>
    <t>viking new 2024</t>
  </si>
  <si>
    <t>viking new 2025</t>
  </si>
  <si>
    <t>viking new 2026</t>
  </si>
  <si>
    <t>viking new 2027</t>
  </si>
  <si>
    <t>ms nordstjernen</t>
  </si>
  <si>
    <t>ms lofoten</t>
  </si>
  <si>
    <t>ms vesteralen</t>
  </si>
  <si>
    <t>ms kong harald</t>
  </si>
  <si>
    <t>ms richard with</t>
  </si>
  <si>
    <t>ms nordlys</t>
  </si>
  <si>
    <t>ms nordkapp</t>
  </si>
  <si>
    <t>ms polarlys</t>
  </si>
  <si>
    <t>ms nordnorge</t>
  </si>
  <si>
    <t>ms finnmarken</t>
  </si>
  <si>
    <t>ms trollfjord</t>
  </si>
  <si>
    <t>ms midnatsol</t>
  </si>
  <si>
    <t>ms fram</t>
  </si>
  <si>
    <t>ms spitbergen</t>
  </si>
  <si>
    <t>roald amundsen</t>
  </si>
  <si>
    <t>fridtjof nansen</t>
  </si>
  <si>
    <t>sea cloud</t>
  </si>
  <si>
    <t>national geographic endeavour</t>
  </si>
  <si>
    <t>national geographic explorer</t>
  </si>
  <si>
    <t>national geographic sea bird</t>
  </si>
  <si>
    <t>national geographic sea lion</t>
  </si>
  <si>
    <t>lord of the glens</t>
  </si>
  <si>
    <t>national geographic islander</t>
  </si>
  <si>
    <t>national geographic orion</t>
  </si>
  <si>
    <t>national geographic endeavour ii</t>
  </si>
  <si>
    <t>national geographic quest</t>
  </si>
  <si>
    <t>national geographic venture</t>
  </si>
  <si>
    <t>national geographic endurance</t>
  </si>
  <si>
    <t>le ponant</t>
  </si>
  <si>
    <t>l'austral</t>
  </si>
  <si>
    <t>le boreal</t>
  </si>
  <si>
    <t>le soleal</t>
  </si>
  <si>
    <t>le lyrial</t>
  </si>
  <si>
    <t>le laperouse</t>
  </si>
  <si>
    <t>le champlain</t>
  </si>
  <si>
    <t>le bougainville</t>
  </si>
  <si>
    <t>le dumont-d'urville</t>
  </si>
  <si>
    <t>le bellot</t>
  </si>
  <si>
    <t>le surville</t>
  </si>
  <si>
    <t>ponant new 2021</t>
  </si>
  <si>
    <t>celestyal crystal</t>
  </si>
  <si>
    <t>celestyal olympia</t>
  </si>
  <si>
    <t>celestyal nefeli</t>
  </si>
  <si>
    <t>celestyal majesty</t>
  </si>
  <si>
    <t>louis aura</t>
  </si>
  <si>
    <t>virgin new 2020</t>
  </si>
  <si>
    <t>virgin new 2021</t>
  </si>
  <si>
    <t>virgin new 2022</t>
  </si>
  <si>
    <t>astoria</t>
  </si>
  <si>
    <t>marco polo</t>
  </si>
  <si>
    <t>magellan</t>
  </si>
  <si>
    <t>astor</t>
  </si>
  <si>
    <t>pacific pearl</t>
  </si>
  <si>
    <t>albatros</t>
  </si>
  <si>
    <t>artania</t>
  </si>
  <si>
    <t>amadea</t>
  </si>
  <si>
    <t>balmoral</t>
  </si>
  <si>
    <t>boudicca</t>
  </si>
  <si>
    <t>black watch</t>
  </si>
  <si>
    <t>grand celebration</t>
  </si>
  <si>
    <t>grand classica</t>
  </si>
  <si>
    <t>star flyer</t>
  </si>
  <si>
    <t>royal clipper</t>
  </si>
  <si>
    <t>star clipper</t>
  </si>
  <si>
    <t>flying clipper</t>
  </si>
  <si>
    <t>saga pearl ii</t>
  </si>
  <si>
    <t>saga sapphire</t>
  </si>
  <si>
    <t>spirit of discovery</t>
  </si>
  <si>
    <t>spirit of adventure</t>
  </si>
  <si>
    <t>star legend</t>
  </si>
  <si>
    <t>star breeze</t>
  </si>
  <si>
    <t>star pride</t>
  </si>
  <si>
    <t>wind surf</t>
  </si>
  <si>
    <t>wind spirit</t>
  </si>
  <si>
    <t>wind star</t>
  </si>
  <si>
    <t>ritz-carlton 2019</t>
  </si>
  <si>
    <t>ritz-carlton 2021</t>
  </si>
  <si>
    <t>ritz-carlton 2022</t>
  </si>
  <si>
    <t>scenic eclipse</t>
  </si>
  <si>
    <t>scenic eclipse ii</t>
  </si>
  <si>
    <t>greg mortimer</t>
  </si>
  <si>
    <t>sunstone new 2020</t>
  </si>
  <si>
    <t>ocean victory</t>
  </si>
  <si>
    <t>sunstone new 2021</t>
  </si>
  <si>
    <t>hebridean sky</t>
  </si>
  <si>
    <t>magellan explorer</t>
  </si>
  <si>
    <t>hondius</t>
  </si>
  <si>
    <t>adventurer</t>
  </si>
  <si>
    <t>birka stockholm</t>
  </si>
  <si>
    <t>glory sea</t>
  </si>
  <si>
    <t>chinese taishan</t>
  </si>
  <si>
    <t>pacific venus</t>
  </si>
  <si>
    <t>hamburg</t>
  </si>
  <si>
    <t>paul gauguin</t>
  </si>
  <si>
    <t>seadream 1</t>
  </si>
  <si>
    <t>seadream 2</t>
  </si>
  <si>
    <t/>
  </si>
  <si>
    <t>Test (to be deleted)</t>
  </si>
  <si>
    <t>bremen</t>
  </si>
  <si>
    <t>deutschland</t>
  </si>
  <si>
    <t>europa</t>
  </si>
  <si>
    <t>europa 2</t>
  </si>
  <si>
    <t>mein schiff 2</t>
  </si>
  <si>
    <t>mein schiff 2 neu</t>
  </si>
  <si>
    <t>msc bellissima</t>
  </si>
  <si>
    <t>msc grandiosa</t>
  </si>
  <si>
    <t>oceania insignia</t>
  </si>
  <si>
    <t>oceania marina</t>
  </si>
  <si>
    <t>oceania nautica</t>
  </si>
  <si>
    <t>oceania regatta</t>
  </si>
  <si>
    <t>oceania riviera</t>
  </si>
  <si>
    <t>oceania sirena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</si>
</sst>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_(* #,##0.00_);_(* \(#,##0.00\);_(* &quot;-&quot;??_);_(@_)"/>
    <numFmt numFmtId="165" formatCode="_(* #,##0_);_(* \(#,##0\);_(* &quot;-&quot;??_);_(@_)"/>
    <numFmt numFmtId="166" formatCode="#,##0.0"/>
    <numFmt numFmtId="167" formatCode="0.0"/>
    <numFmt numFmtId="168" formatCode="0.0%"/>
    <numFmt numFmtId="169" formatCode="#,##0.0_);\(#,##0.0\)"/>
    <numFmt numFmtId="170" formatCode="mmm\ yyyy"/>
    <numFmt numFmtId="171" formatCode="yyyy"/>
    <numFmt numFmtId="172" formatCode="#,##0.0%;\(#,##0.0%\)"/>
  </numFmts>
  <fonts count="1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Inherit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99">
    <xf numFmtId="0" fontId="0" fillId="0" borderId="0" xfId="0"/>
    <xf numFmtId="0" fontId="1" fillId="2" borderId="0" xfId="0" applyFont="1" applyFill="1" applyBorder="1"/>
    <xf numFmtId="0" fontId="0" fillId="2" borderId="0" xfId="0" applyFill="1"/>
    <xf numFmtId="0" fontId="0" fillId="2" borderId="0" xfId="0" applyFill="1" applyBorder="1"/>
    <xf numFmtId="0" fontId="0" fillId="2" borderId="0" xfId="0" applyFont="1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0" borderId="0" xfId="0" applyFill="1" applyBorder="1"/>
    <xf numFmtId="0" fontId="1" fillId="2" borderId="3" xfId="0" applyFont="1" applyFill="1" applyBorder="1"/>
    <xf numFmtId="0" fontId="0" fillId="2" borderId="0" xfId="0" applyFill="1" applyBorder="1" applyAlignment="1">
      <alignment horizontal="right" vertical="top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center" vertical="top" wrapText="1"/>
    </xf>
    <xf numFmtId="0" fontId="0" fillId="2" borderId="0" xfId="0" applyFill="1" applyBorder="1" applyAlignment="1">
      <alignment horizontal="center" vertical="top"/>
    </xf>
    <xf numFmtId="37" fontId="1" fillId="2" borderId="0" xfId="0" applyNumberFormat="1" applyFont="1" applyFill="1" applyBorder="1" applyAlignment="1">
      <alignment horizontal="right"/>
    </xf>
    <xf numFmtId="37" fontId="0" fillId="2" borderId="0" xfId="0" applyNumberFormat="1" applyFill="1" applyBorder="1" applyAlignment="1">
      <alignment horizontal="right"/>
    </xf>
    <xf numFmtId="0" fontId="1" fillId="0" borderId="0" xfId="0" applyFont="1" applyBorder="1" applyAlignment="1">
      <alignment vertical="top"/>
    </xf>
    <xf numFmtId="0" fontId="1" fillId="2" borderId="0" xfId="0" applyFont="1" applyFill="1" applyBorder="1" applyAlignment="1">
      <alignment horizontal="center" vertical="top"/>
    </xf>
    <xf numFmtId="0" fontId="1" fillId="0" borderId="0" xfId="0" applyFont="1" applyFill="1" applyBorder="1"/>
    <xf numFmtId="166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Border="1" applyAlignment="1">
      <alignment horizontal="right"/>
    </xf>
    <xf numFmtId="0" fontId="1" fillId="0" borderId="0" xfId="0" applyFont="1" applyBorder="1" applyAlignment="1">
      <alignment horizontal="right" vertical="top"/>
    </xf>
    <xf numFmtId="0" fontId="0" fillId="0" borderId="0" xfId="0" applyFont="1" applyFill="1" applyBorder="1"/>
    <xf numFmtId="37" fontId="0" fillId="2" borderId="0" xfId="0" applyNumberFormat="1" applyFont="1" applyFill="1" applyBorder="1" applyAlignment="1">
      <alignment horizontal="right"/>
    </xf>
    <xf numFmtId="0" fontId="0" fillId="2" borderId="0" xfId="0" applyFont="1" applyFill="1" applyBorder="1"/>
    <xf numFmtId="0" fontId="0" fillId="2" borderId="0" xfId="0" applyFont="1" applyFill="1" applyBorder="1" applyAlignment="1">
      <alignment horizontal="center" vertical="top" wrapText="1"/>
    </xf>
    <xf numFmtId="9" fontId="0" fillId="0" borderId="0" xfId="0" applyNumberFormat="1"/>
    <xf numFmtId="168" fontId="0" fillId="2" borderId="0" xfId="2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1" fillId="2" borderId="2" xfId="0" applyFont="1" applyFill="1" applyBorder="1"/>
    <xf numFmtId="9" fontId="0" fillId="0" borderId="0" xfId="2" applyFont="1"/>
    <xf numFmtId="0" fontId="0" fillId="2" borderId="0" xfId="0" applyFill="1" applyAlignment="1">
      <alignment horizontal="left"/>
    </xf>
    <xf numFmtId="0" fontId="0" fillId="2" borderId="1" xfId="0" applyFill="1" applyBorder="1"/>
    <xf numFmtId="0" fontId="1" fillId="2" borderId="4" xfId="0" applyFont="1" applyFill="1" applyBorder="1"/>
    <xf numFmtId="0" fontId="1" fillId="2" borderId="4" xfId="0" applyFont="1" applyFill="1" applyBorder="1" applyAlignment="1">
      <alignment horizontal="left"/>
    </xf>
    <xf numFmtId="0" fontId="1" fillId="2" borderId="0" xfId="0" applyFont="1" applyFill="1"/>
    <xf numFmtId="0" fontId="1" fillId="0" borderId="0" xfId="0" applyFont="1"/>
    <xf numFmtId="1" fontId="0" fillId="0" borderId="0" xfId="0" applyNumberFormat="1"/>
    <xf numFmtId="37" fontId="0" fillId="0" borderId="0" xfId="2" applyNumberFormat="1" applyFont="1"/>
    <xf numFmtId="0" fontId="1" fillId="2" borderId="4" xfId="0" applyFont="1" applyFill="1" applyBorder="1" applyAlignment="1">
      <alignment vertical="top"/>
    </xf>
    <xf numFmtId="0" fontId="1" fillId="2" borderId="4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right" vertical="top" wrapText="1"/>
    </xf>
    <xf numFmtId="169" fontId="0" fillId="0" borderId="0" xfId="2" applyNumberFormat="1" applyFont="1"/>
    <xf numFmtId="166" fontId="0" fillId="4" borderId="0" xfId="0" applyNumberFormat="1" applyFill="1" applyAlignment="1">
      <alignment horizontal="right"/>
    </xf>
    <xf numFmtId="37" fontId="0" fillId="0" borderId="0" xfId="0" applyNumberFormat="1"/>
    <xf numFmtId="3" fontId="0" fillId="0" borderId="0" xfId="0" applyNumberFormat="1" applyAlignment="1">
      <alignment horizontal="right"/>
    </xf>
    <xf numFmtId="170" fontId="0" fillId="0" borderId="0" xfId="0" applyNumberFormat="1" applyAlignment="1">
      <alignment horizontal="center"/>
    </xf>
    <xf numFmtId="3" fontId="1" fillId="2" borderId="3" xfId="0" applyNumberFormat="1" applyFont="1" applyFill="1" applyBorder="1" applyAlignment="1">
      <alignment horizontal="right"/>
    </xf>
    <xf numFmtId="170" fontId="1" fillId="2" borderId="3" xfId="0" applyNumberFormat="1" applyFont="1" applyFill="1" applyBorder="1" applyAlignment="1">
      <alignment horizontal="center"/>
    </xf>
    <xf numFmtId="3" fontId="1" fillId="2" borderId="0" xfId="0" applyNumberFormat="1" applyFont="1" applyFill="1" applyBorder="1" applyAlignment="1">
      <alignment horizontal="right"/>
    </xf>
    <xf numFmtId="170" fontId="1" fillId="2" borderId="0" xfId="0" applyNumberFormat="1" applyFont="1" applyFill="1" applyBorder="1" applyAlignment="1">
      <alignment horizontal="center"/>
    </xf>
    <xf numFmtId="3" fontId="1" fillId="2" borderId="2" xfId="0" applyNumberFormat="1" applyFont="1" applyFill="1" applyBorder="1" applyAlignment="1">
      <alignment horizontal="right"/>
    </xf>
    <xf numFmtId="170" fontId="1" fillId="2" borderId="2" xfId="0" applyNumberFormat="1" applyFont="1" applyFill="1" applyBorder="1" applyAlignment="1">
      <alignment horizontal="center"/>
    </xf>
    <xf numFmtId="3" fontId="0" fillId="2" borderId="0" xfId="0" applyNumberFormat="1" applyFill="1" applyAlignment="1">
      <alignment horizontal="right"/>
    </xf>
    <xf numFmtId="170" fontId="0" fillId="2" borderId="0" xfId="0" applyNumberFormat="1" applyFill="1" applyAlignment="1">
      <alignment horizontal="center"/>
    </xf>
    <xf numFmtId="171" fontId="0" fillId="2" borderId="0" xfId="0" applyNumberFormat="1" applyFill="1" applyAlignment="1">
      <alignment horizontal="center"/>
    </xf>
    <xf numFmtId="171" fontId="0" fillId="2" borderId="0" xfId="0" quotePrefix="1" applyNumberFormat="1" applyFill="1" applyAlignment="1">
      <alignment horizontal="center"/>
    </xf>
    <xf numFmtId="3" fontId="0" fillId="2" borderId="1" xfId="0" applyNumberFormat="1" applyFill="1" applyBorder="1" applyAlignment="1">
      <alignment horizontal="right"/>
    </xf>
    <xf numFmtId="171" fontId="0" fillId="2" borderId="1" xfId="0" applyNumberFormat="1" applyFill="1" applyBorder="1" applyAlignment="1">
      <alignment horizontal="center"/>
    </xf>
    <xf numFmtId="171" fontId="0" fillId="2" borderId="1" xfId="0" quotePrefix="1" applyNumberFormat="1" applyFill="1" applyBorder="1" applyAlignment="1">
      <alignment horizontal="center"/>
    </xf>
    <xf numFmtId="0" fontId="1" fillId="2" borderId="4" xfId="0" applyFont="1" applyFill="1" applyBorder="1" applyAlignment="1">
      <alignment horizontal="right"/>
    </xf>
    <xf numFmtId="0" fontId="0" fillId="2" borderId="0" xfId="0" applyFill="1" applyAlignment="1">
      <alignment horizontal="right"/>
    </xf>
    <xf numFmtId="0" fontId="0" fillId="2" borderId="1" xfId="0" applyFill="1" applyBorder="1" applyAlignment="1">
      <alignment horizontal="right"/>
    </xf>
    <xf numFmtId="2" fontId="0" fillId="0" borderId="0" xfId="0" applyNumberFormat="1"/>
    <xf numFmtId="168" fontId="0" fillId="0" borderId="0" xfId="2" applyNumberFormat="1" applyFont="1"/>
    <xf numFmtId="3" fontId="0" fillId="0" borderId="0" xfId="0" applyNumberFormat="1"/>
    <xf numFmtId="0" fontId="1" fillId="2" borderId="5" xfId="0" applyFont="1" applyFill="1" applyBorder="1"/>
    <xf numFmtId="168" fontId="0" fillId="2" borderId="0" xfId="2" applyNumberFormat="1" applyFont="1" applyFill="1"/>
    <xf numFmtId="37" fontId="0" fillId="2" borderId="0" xfId="0" applyNumberFormat="1" applyFill="1"/>
    <xf numFmtId="37" fontId="0" fillId="2" borderId="0" xfId="0" applyNumberFormat="1" applyFill="1" applyAlignment="1">
      <alignment horizontal="right"/>
    </xf>
    <xf numFmtId="0" fontId="0" fillId="2" borderId="0" xfId="0" applyFill="1" applyAlignment="1">
      <alignment horizontal="center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top"/>
    </xf>
    <xf numFmtId="0" fontId="0" fillId="0" borderId="0" xfId="0" applyBorder="1" applyAlignment="1">
      <alignment horizontal="right" vertical="top"/>
    </xf>
    <xf numFmtId="0" fontId="1" fillId="2" borderId="6" xfId="0" applyFont="1" applyFill="1" applyBorder="1" applyAlignment="1">
      <alignment horizontal="right" vertical="top" wrapText="1"/>
    </xf>
    <xf numFmtId="0" fontId="0" fillId="0" borderId="0" xfId="0" applyFont="1" applyBorder="1" applyAlignment="1">
      <alignment vertical="top"/>
    </xf>
    <xf numFmtId="0" fontId="0" fillId="2" borderId="7" xfId="0" applyFont="1" applyFill="1" applyBorder="1" applyAlignment="1">
      <alignment horizontal="center" vertical="top"/>
    </xf>
    <xf numFmtId="3" fontId="0" fillId="2" borderId="7" xfId="0" applyNumberFormat="1" applyFont="1" applyFill="1" applyBorder="1" applyAlignment="1">
      <alignment horizontal="right" vertical="top"/>
    </xf>
    <xf numFmtId="3" fontId="0" fillId="2" borderId="8" xfId="0" applyNumberFormat="1" applyFont="1" applyFill="1" applyBorder="1" applyAlignment="1">
      <alignment horizontal="right" vertical="top"/>
    </xf>
    <xf numFmtId="0" fontId="0" fillId="5" borderId="0" xfId="0" applyFont="1" applyFill="1" applyBorder="1" applyAlignment="1">
      <alignment horizontal="center" vertical="top"/>
    </xf>
    <xf numFmtId="3" fontId="0" fillId="5" borderId="0" xfId="0" applyNumberFormat="1" applyFont="1" applyFill="1" applyBorder="1" applyAlignment="1">
      <alignment horizontal="right" vertical="top"/>
    </xf>
    <xf numFmtId="3" fontId="0" fillId="5" borderId="8" xfId="0" applyNumberFormat="1" applyFont="1" applyFill="1" applyBorder="1" applyAlignment="1">
      <alignment horizontal="right" vertical="top"/>
    </xf>
    <xf numFmtId="0" fontId="0" fillId="2" borderId="0" xfId="0" applyFont="1" applyFill="1" applyBorder="1" applyAlignment="1">
      <alignment horizontal="center" vertical="top"/>
    </xf>
    <xf numFmtId="3" fontId="0" fillId="2" borderId="0" xfId="0" applyNumberFormat="1" applyFont="1" applyFill="1" applyBorder="1" applyAlignment="1">
      <alignment horizontal="right" vertical="top"/>
    </xf>
    <xf numFmtId="0" fontId="0" fillId="5" borderId="1" xfId="0" applyFont="1" applyFill="1" applyBorder="1" applyAlignment="1">
      <alignment horizontal="center" vertical="top"/>
    </xf>
    <xf numFmtId="3" fontId="0" fillId="5" borderId="1" xfId="0" applyNumberFormat="1" applyFont="1" applyFill="1" applyBorder="1" applyAlignment="1">
      <alignment horizontal="right" vertical="top"/>
    </xf>
    <xf numFmtId="3" fontId="0" fillId="5" borderId="9" xfId="0" applyNumberFormat="1" applyFont="1" applyFill="1" applyBorder="1" applyAlignment="1">
      <alignment horizontal="right" vertical="top"/>
    </xf>
    <xf numFmtId="0" fontId="0" fillId="5" borderId="1" xfId="0" applyFont="1" applyFill="1" applyBorder="1" applyAlignment="1">
      <alignment horizontal="center" vertical="top" wrapText="1"/>
    </xf>
    <xf numFmtId="0" fontId="0" fillId="5" borderId="0" xfId="0" applyFill="1" applyBorder="1" applyAlignment="1">
      <alignment horizontal="center" vertical="top" wrapText="1"/>
    </xf>
    <xf numFmtId="0" fontId="0" fillId="5" borderId="0" xfId="0" applyFill="1" applyBorder="1" applyAlignment="1">
      <alignment horizontal="center" vertical="top"/>
    </xf>
    <xf numFmtId="0" fontId="0" fillId="5" borderId="1" xfId="0" applyFill="1" applyBorder="1" applyAlignment="1">
      <alignment horizontal="center" vertical="top"/>
    </xf>
    <xf numFmtId="0" fontId="0" fillId="0" borderId="7" xfId="0" applyBorder="1" applyAlignment="1">
      <alignment vertical="top"/>
    </xf>
    <xf numFmtId="0" fontId="0" fillId="0" borderId="1" xfId="0" applyBorder="1" applyAlignment="1">
      <alignment vertical="top"/>
    </xf>
    <xf numFmtId="0" fontId="0" fillId="5" borderId="0" xfId="0" applyFill="1" applyBorder="1" applyAlignment="1">
      <alignment horizontal="right" vertical="top"/>
    </xf>
    <xf numFmtId="0" fontId="0" fillId="5" borderId="1" xfId="0" applyFill="1" applyBorder="1" applyAlignment="1">
      <alignment horizontal="right" vertical="top"/>
    </xf>
    <xf numFmtId="0" fontId="1" fillId="2" borderId="2" xfId="0" applyFont="1" applyFill="1" applyBorder="1" applyAlignment="1">
      <alignment horizontal="center" vertical="top"/>
    </xf>
    <xf numFmtId="3" fontId="1" fillId="2" borderId="2" xfId="0" applyNumberFormat="1" applyFont="1" applyFill="1" applyBorder="1" applyAlignment="1">
      <alignment horizontal="right" vertical="top"/>
    </xf>
    <xf numFmtId="3" fontId="1" fillId="2" borderId="10" xfId="0" applyNumberFormat="1" applyFont="1" applyFill="1" applyBorder="1" applyAlignment="1">
      <alignment horizontal="right" vertical="top"/>
    </xf>
    <xf numFmtId="0" fontId="1" fillId="2" borderId="2" xfId="0" applyFont="1" applyFill="1" applyBorder="1" applyAlignment="1">
      <alignment horizontal="center" vertical="top" wrapText="1"/>
    </xf>
    <xf numFmtId="0" fontId="1" fillId="5" borderId="0" xfId="0" applyFont="1" applyFill="1" applyBorder="1" applyAlignment="1">
      <alignment horizontal="center" vertical="top"/>
    </xf>
    <xf numFmtId="3" fontId="1" fillId="5" borderId="0" xfId="0" applyNumberFormat="1" applyFont="1" applyFill="1" applyBorder="1" applyAlignment="1">
      <alignment horizontal="right" vertical="top"/>
    </xf>
    <xf numFmtId="3" fontId="1" fillId="5" borderId="8" xfId="0" applyNumberFormat="1" applyFont="1" applyFill="1" applyBorder="1" applyAlignment="1">
      <alignment horizontal="right" vertical="top"/>
    </xf>
    <xf numFmtId="0" fontId="1" fillId="5" borderId="0" xfId="0" applyFont="1" applyFill="1" applyBorder="1" applyAlignment="1">
      <alignment horizontal="center" vertical="top" wrapText="1"/>
    </xf>
    <xf numFmtId="3" fontId="1" fillId="2" borderId="0" xfId="0" applyNumberFormat="1" applyFont="1" applyFill="1" applyBorder="1" applyAlignment="1">
      <alignment horizontal="right" vertical="top"/>
    </xf>
    <xf numFmtId="3" fontId="1" fillId="2" borderId="8" xfId="0" applyNumberFormat="1" applyFont="1" applyFill="1" applyBorder="1" applyAlignment="1">
      <alignment horizontal="right" vertical="top"/>
    </xf>
    <xf numFmtId="0" fontId="1" fillId="5" borderId="3" xfId="0" applyFont="1" applyFill="1" applyBorder="1" applyAlignment="1">
      <alignment horizontal="center" vertical="top"/>
    </xf>
    <xf numFmtId="3" fontId="1" fillId="5" borderId="3" xfId="0" applyNumberFormat="1" applyFont="1" applyFill="1" applyBorder="1" applyAlignment="1">
      <alignment horizontal="right" vertical="top"/>
    </xf>
    <xf numFmtId="3" fontId="1" fillId="5" borderId="11" xfId="0" applyNumberFormat="1" applyFont="1" applyFill="1" applyBorder="1" applyAlignment="1">
      <alignment horizontal="right" vertical="top"/>
    </xf>
    <xf numFmtId="3" fontId="0" fillId="0" borderId="0" xfId="0" applyNumberFormat="1" applyBorder="1" applyAlignment="1">
      <alignment horizontal="right" vertical="top"/>
    </xf>
    <xf numFmtId="3" fontId="0" fillId="0" borderId="0" xfId="0" applyNumberFormat="1" applyBorder="1" applyAlignment="1">
      <alignment horizontal="center" vertical="top"/>
    </xf>
    <xf numFmtId="0" fontId="0" fillId="0" borderId="0" xfId="0" applyBorder="1" applyAlignment="1">
      <alignment horizontal="right" vertical="top" wrapText="1"/>
    </xf>
    <xf numFmtId="0" fontId="0" fillId="0" borderId="0" xfId="0" applyBorder="1" applyAlignment="1">
      <alignment horizontal="center" vertical="top" wrapText="1"/>
    </xf>
    <xf numFmtId="0" fontId="0" fillId="0" borderId="0" xfId="0" applyFont="1" applyBorder="1" applyAlignment="1">
      <alignment horizontal="right" vertical="top"/>
    </xf>
    <xf numFmtId="0" fontId="0" fillId="2" borderId="5" xfId="0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/>
    <xf numFmtId="168" fontId="0" fillId="0" borderId="0" xfId="0" applyNumberFormat="1"/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/>
    </xf>
    <xf numFmtId="37" fontId="0" fillId="2" borderId="1" xfId="0" applyNumberFormat="1" applyFill="1" applyBorder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3" borderId="12" xfId="0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right"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right" vertical="center"/>
    </xf>
    <xf numFmtId="0" fontId="1" fillId="2" borderId="8" xfId="0" applyFont="1" applyFill="1" applyBorder="1" applyAlignment="1">
      <alignment vertical="center"/>
    </xf>
    <xf numFmtId="0" fontId="0" fillId="2" borderId="0" xfId="0" applyFill="1" applyAlignment="1">
      <alignment horizontal="right" vertical="center"/>
    </xf>
    <xf numFmtId="0" fontId="1" fillId="3" borderId="10" xfId="0" applyFont="1" applyFill="1" applyBorder="1" applyAlignment="1">
      <alignment vertical="center"/>
    </xf>
    <xf numFmtId="0" fontId="0" fillId="3" borderId="2" xfId="0" applyFill="1" applyBorder="1" applyAlignment="1">
      <alignment horizontal="right" vertical="center"/>
    </xf>
    <xf numFmtId="0" fontId="0" fillId="3" borderId="0" xfId="0" applyFill="1" applyBorder="1" applyAlignment="1">
      <alignment horizontal="right" vertical="center"/>
    </xf>
    <xf numFmtId="0" fontId="0" fillId="2" borderId="0" xfId="0" applyFill="1" applyBorder="1" applyAlignment="1">
      <alignment horizontal="right" vertical="center"/>
    </xf>
    <xf numFmtId="0" fontId="1" fillId="2" borderId="2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0" fillId="2" borderId="2" xfId="0" applyFill="1" applyBorder="1" applyAlignment="1">
      <alignment horizontal="right" vertical="center"/>
    </xf>
    <xf numFmtId="0" fontId="1" fillId="2" borderId="1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0" fillId="2" borderId="1" xfId="0" applyFill="1" applyBorder="1" applyAlignment="1">
      <alignment horizontal="right" vertical="center"/>
    </xf>
    <xf numFmtId="9" fontId="3" fillId="0" borderId="0" xfId="2" applyFont="1" applyAlignment="1">
      <alignment horizontal="right"/>
    </xf>
    <xf numFmtId="0" fontId="3" fillId="2" borderId="0" xfId="0" applyFont="1" applyFill="1" applyBorder="1"/>
    <xf numFmtId="37" fontId="1" fillId="2" borderId="4" xfId="0" applyNumberFormat="1" applyFont="1" applyFill="1" applyBorder="1" applyAlignment="1">
      <alignment horizontal="right"/>
    </xf>
    <xf numFmtId="37" fontId="0" fillId="2" borderId="5" xfId="0" applyNumberFormat="1" applyFill="1" applyBorder="1" applyAlignment="1">
      <alignment horizontal="right"/>
    </xf>
    <xf numFmtId="0" fontId="0" fillId="2" borderId="5" xfId="0" applyFill="1" applyBorder="1" applyAlignment="1">
      <alignment horizontal="center"/>
    </xf>
    <xf numFmtId="0" fontId="0" fillId="2" borderId="5" xfId="0" applyFill="1" applyBorder="1"/>
    <xf numFmtId="37" fontId="0" fillId="2" borderId="1" xfId="0" applyNumberFormat="1" applyFont="1" applyFill="1" applyBorder="1" applyAlignment="1">
      <alignment horizontal="right" vertical="center"/>
    </xf>
    <xf numFmtId="37" fontId="0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right" vertical="center"/>
    </xf>
    <xf numFmtId="37" fontId="0" fillId="2" borderId="0" xfId="0" applyNumberFormat="1" applyFont="1" applyFill="1" applyBorder="1" applyAlignment="1">
      <alignment horizontal="right" vertical="center"/>
    </xf>
    <xf numFmtId="37" fontId="0" fillId="2" borderId="2" xfId="0" applyNumberFormat="1" applyFont="1" applyFill="1" applyBorder="1" applyAlignment="1">
      <alignment horizontal="center" vertical="center"/>
    </xf>
    <xf numFmtId="37" fontId="0" fillId="2" borderId="2" xfId="0" applyNumberFormat="1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right" vertical="center"/>
    </xf>
    <xf numFmtId="37" fontId="0" fillId="3" borderId="1" xfId="0" applyNumberFormat="1" applyFont="1" applyFill="1" applyBorder="1" applyAlignment="1">
      <alignment horizontal="right" vertical="center"/>
    </xf>
    <xf numFmtId="37" fontId="0" fillId="3" borderId="0" xfId="0" applyNumberFormat="1" applyFont="1" applyFill="1" applyBorder="1" applyAlignment="1">
      <alignment horizontal="center" vertical="center"/>
    </xf>
    <xf numFmtId="37" fontId="0" fillId="3" borderId="0" xfId="0" applyNumberFormat="1" applyFont="1" applyFill="1" applyBorder="1" applyAlignment="1">
      <alignment horizontal="right" vertical="center"/>
    </xf>
    <xf numFmtId="0" fontId="0" fillId="3" borderId="0" xfId="0" applyFont="1" applyFill="1" applyBorder="1" applyAlignment="1">
      <alignment horizontal="right" vertical="center"/>
    </xf>
    <xf numFmtId="37" fontId="0" fillId="2" borderId="0" xfId="0" applyNumberFormat="1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right" vertical="center"/>
    </xf>
    <xf numFmtId="37" fontId="0" fillId="3" borderId="2" xfId="0" applyNumberFormat="1" applyFont="1" applyFill="1" applyBorder="1" applyAlignment="1">
      <alignment horizontal="right" vertical="center"/>
    </xf>
    <xf numFmtId="37" fontId="0" fillId="3" borderId="2" xfId="0" applyNumberFormat="1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right" vertical="center"/>
    </xf>
    <xf numFmtId="37" fontId="0" fillId="2" borderId="0" xfId="0" quotePrefix="1" applyNumberFormat="1" applyFont="1" applyFill="1" applyBorder="1" applyAlignment="1">
      <alignment horizontal="center" vertical="center"/>
    </xf>
    <xf numFmtId="37" fontId="0" fillId="3" borderId="0" xfId="0" quotePrefix="1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right" vertical="center"/>
    </xf>
    <xf numFmtId="37" fontId="0" fillId="2" borderId="4" xfId="0" applyNumberFormat="1" applyFont="1" applyFill="1" applyBorder="1" applyAlignment="1">
      <alignment horizontal="right" vertical="center"/>
    </xf>
    <xf numFmtId="37" fontId="0" fillId="2" borderId="4" xfId="0" applyNumberFormat="1" applyFont="1" applyFill="1" applyBorder="1" applyAlignment="1">
      <alignment horizontal="center" vertical="center"/>
    </xf>
    <xf numFmtId="0" fontId="0" fillId="2" borderId="4" xfId="0" applyFill="1" applyBorder="1" applyAlignment="1">
      <alignment horizontal="right" vertical="center"/>
    </xf>
    <xf numFmtId="0" fontId="1" fillId="2" borderId="4" xfId="0" applyFont="1" applyFill="1" applyBorder="1" applyAlignment="1">
      <alignment horizontal="center"/>
    </xf>
    <xf numFmtId="0" fontId="3" fillId="2" borderId="0" xfId="0" applyFont="1" applyFill="1" applyAlignment="1">
      <alignment horizontal="right"/>
    </xf>
    <xf numFmtId="0" fontId="3" fillId="2" borderId="0" xfId="0" applyFont="1" applyFill="1" applyAlignment="1">
      <alignment horizontal="center"/>
    </xf>
    <xf numFmtId="9" fontId="3" fillId="2" borderId="0" xfId="2" applyFont="1" applyFill="1" applyAlignment="1">
      <alignment horizontal="right"/>
    </xf>
    <xf numFmtId="0" fontId="0" fillId="0" borderId="0" xfId="0" applyAlignment="1">
      <alignment horizontal="left"/>
    </xf>
    <xf numFmtId="37" fontId="1" fillId="2" borderId="5" xfId="0" applyNumberFormat="1" applyFont="1" applyFill="1" applyBorder="1"/>
    <xf numFmtId="169" fontId="0" fillId="2" borderId="0" xfId="0" applyNumberFormat="1" applyFill="1"/>
    <xf numFmtId="0" fontId="1" fillId="2" borderId="5" xfId="0" applyFont="1" applyFill="1" applyBorder="1" applyAlignment="1">
      <alignment horizontal="left"/>
    </xf>
    <xf numFmtId="37" fontId="1" fillId="2" borderId="4" xfId="0" applyNumberFormat="1" applyFont="1" applyFill="1" applyBorder="1"/>
    <xf numFmtId="0" fontId="1" fillId="2" borderId="13" xfId="0" applyFont="1" applyFill="1" applyBorder="1" applyAlignment="1">
      <alignment horizontal="center"/>
    </xf>
    <xf numFmtId="37" fontId="0" fillId="0" borderId="0" xfId="0" applyNumberFormat="1" applyAlignment="1">
      <alignment horizontal="left"/>
    </xf>
    <xf numFmtId="9" fontId="0" fillId="0" borderId="0" xfId="2" applyNumberFormat="1" applyFont="1"/>
    <xf numFmtId="171" fontId="1" fillId="0" borderId="0" xfId="0" applyNumberFormat="1" applyFont="1" applyFill="1" applyBorder="1" applyAlignment="1">
      <alignment horizontal="right"/>
    </xf>
    <xf numFmtId="37" fontId="1" fillId="0" borderId="0" xfId="0" applyNumberFormat="1" applyFont="1" applyFill="1" applyBorder="1"/>
    <xf numFmtId="37" fontId="0" fillId="0" borderId="0" xfId="0" applyNumberFormat="1" applyFill="1" applyBorder="1"/>
    <xf numFmtId="168" fontId="0" fillId="0" borderId="0" xfId="2" applyNumberFormat="1" applyFont="1" applyFill="1" applyBorder="1"/>
    <xf numFmtId="3" fontId="8" fillId="0" borderId="0" xfId="0" applyNumberFormat="1" applyFont="1" applyFill="1" applyBorder="1" applyAlignment="1" applyProtection="1"/>
    <xf numFmtId="38" fontId="8" fillId="0" borderId="0" xfId="0" applyNumberFormat="1" applyFont="1" applyFill="1" applyBorder="1" applyAlignment="1" applyProtection="1"/>
    <xf numFmtId="37" fontId="1" fillId="0" borderId="0" xfId="0" applyNumberFormat="1" applyFont="1" applyFill="1" applyBorder="1" applyAlignment="1">
      <alignment horizontal="right"/>
    </xf>
    <xf numFmtId="37" fontId="0" fillId="0" borderId="0" xfId="0" applyNumberFormat="1" applyFill="1" applyBorder="1" applyAlignment="1">
      <alignment horizontal="right"/>
    </xf>
    <xf numFmtId="168" fontId="0" fillId="0" borderId="0" xfId="2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167" fontId="0" fillId="0" borderId="0" xfId="0" applyNumberFormat="1" applyFill="1" applyBorder="1"/>
    <xf numFmtId="1" fontId="0" fillId="0" borderId="0" xfId="0" applyNumberFormat="1" applyFill="1" applyBorder="1"/>
    <xf numFmtId="0" fontId="1" fillId="6" borderId="0" xfId="0" applyFont="1" applyFill="1" applyBorder="1"/>
    <xf numFmtId="171" fontId="1" fillId="6" borderId="0" xfId="0" applyNumberFormat="1" applyFont="1" applyFill="1" applyBorder="1" applyAlignment="1">
      <alignment horizontal="right"/>
    </xf>
    <xf numFmtId="0" fontId="7" fillId="7" borderId="0" xfId="0" applyFont="1" applyFill="1" applyBorder="1"/>
    <xf numFmtId="168" fontId="0" fillId="2" borderId="0" xfId="2" applyNumberFormat="1" applyFont="1" applyFill="1" applyBorder="1"/>
    <xf numFmtId="9" fontId="0" fillId="2" borderId="0" xfId="2" applyNumberFormat="1" applyFont="1" applyFill="1" applyBorder="1"/>
    <xf numFmtId="171" fontId="7" fillId="7" borderId="0" xfId="0" applyNumberFormat="1" applyFont="1" applyFill="1" applyBorder="1"/>
    <xf numFmtId="3" fontId="8" fillId="2" borderId="0" xfId="0" applyNumberFormat="1" applyFont="1" applyFill="1" applyBorder="1" applyAlignment="1" applyProtection="1"/>
    <xf numFmtId="3" fontId="0" fillId="2" borderId="0" xfId="0" applyNumberFormat="1" applyFont="1" applyFill="1" applyBorder="1" applyAlignment="1">
      <alignment horizontal="right"/>
    </xf>
    <xf numFmtId="10" fontId="0" fillId="2" borderId="0" xfId="0" applyNumberFormat="1" applyFont="1" applyFill="1" applyBorder="1" applyAlignment="1">
      <alignment horizontal="right"/>
    </xf>
    <xf numFmtId="10" fontId="0" fillId="2" borderId="0" xfId="0" applyNumberFormat="1" applyFill="1" applyBorder="1"/>
    <xf numFmtId="10" fontId="0" fillId="2" borderId="0" xfId="2" applyNumberFormat="1" applyFont="1" applyFill="1" applyBorder="1" applyAlignment="1">
      <alignment horizontal="right"/>
    </xf>
    <xf numFmtId="3" fontId="0" fillId="2" borderId="0" xfId="2" applyNumberFormat="1" applyFont="1" applyFill="1" applyBorder="1" applyAlignment="1">
      <alignment horizontal="right"/>
    </xf>
    <xf numFmtId="38" fontId="8" fillId="2" borderId="0" xfId="0" applyNumberFormat="1" applyFont="1" applyFill="1" applyBorder="1" applyAlignment="1" applyProtection="1"/>
    <xf numFmtId="9" fontId="0" fillId="2" borderId="0" xfId="0" applyNumberFormat="1" applyFont="1" applyFill="1" applyBorder="1" applyAlignment="1">
      <alignment horizontal="right"/>
    </xf>
    <xf numFmtId="37" fontId="0" fillId="2" borderId="0" xfId="0" applyNumberFormat="1" applyFill="1" applyBorder="1"/>
    <xf numFmtId="37" fontId="1" fillId="2" borderId="0" xfId="0" applyNumberFormat="1" applyFont="1" applyFill="1" applyBorder="1"/>
    <xf numFmtId="0" fontId="7" fillId="0" borderId="0" xfId="0" applyFont="1" applyFill="1" applyBorder="1"/>
    <xf numFmtId="172" fontId="0" fillId="0" borderId="0" xfId="0" applyNumberFormat="1" applyFill="1" applyBorder="1"/>
    <xf numFmtId="172" fontId="0" fillId="2" borderId="0" xfId="0" applyNumberFormat="1" applyFill="1" applyBorder="1"/>
    <xf numFmtId="172" fontId="0" fillId="2" borderId="0" xfId="0" applyNumberFormat="1" applyFill="1" applyBorder="1" applyAlignment="1">
      <alignment horizontal="right"/>
    </xf>
    <xf numFmtId="37" fontId="8" fillId="2" borderId="0" xfId="0" applyNumberFormat="1" applyFont="1" applyFill="1" applyAlignment="1"/>
    <xf numFmtId="37" fontId="8" fillId="2" borderId="0" xfId="0" applyNumberFormat="1" applyFont="1" applyFill="1"/>
    <xf numFmtId="37" fontId="9" fillId="2" borderId="5" xfId="0" applyNumberFormat="1" applyFont="1" applyFill="1" applyBorder="1" applyAlignment="1"/>
    <xf numFmtId="37" fontId="1" fillId="2" borderId="5" xfId="0" applyNumberFormat="1" applyFont="1" applyFill="1" applyBorder="1" applyAlignment="1">
      <alignment horizontal="right"/>
    </xf>
    <xf numFmtId="37" fontId="9" fillId="2" borderId="5" xfId="0" applyNumberFormat="1" applyFont="1" applyFill="1" applyBorder="1"/>
    <xf numFmtId="37" fontId="0" fillId="2" borderId="5" xfId="0" applyNumberFormat="1" applyFill="1" applyBorder="1"/>
    <xf numFmtId="37" fontId="8" fillId="2" borderId="0" xfId="0" applyNumberFormat="1" applyFont="1" applyFill="1" applyBorder="1" applyAlignment="1" applyProtection="1"/>
    <xf numFmtId="37" fontId="0" fillId="2" borderId="0" xfId="1" applyNumberFormat="1" applyFont="1" applyFill="1" applyBorder="1"/>
    <xf numFmtId="37" fontId="9" fillId="2" borderId="5" xfId="0" applyNumberFormat="1" applyFont="1" applyFill="1" applyBorder="1" applyAlignment="1" applyProtection="1"/>
    <xf numFmtId="37" fontId="1" fillId="2" borderId="5" xfId="1" applyNumberFormat="1" applyFont="1" applyFill="1" applyBorder="1" applyAlignment="1">
      <alignment horizontal="right"/>
    </xf>
    <xf numFmtId="37" fontId="0" fillId="2" borderId="0" xfId="2" applyNumberFormat="1" applyFont="1" applyFill="1" applyBorder="1" applyAlignment="1">
      <alignment horizontal="right"/>
    </xf>
    <xf numFmtId="165" fontId="0" fillId="2" borderId="0" xfId="1" applyNumberFormat="1" applyFont="1" applyFill="1" applyBorder="1"/>
    <xf numFmtId="165" fontId="0" fillId="2" borderId="0" xfId="1" applyNumberFormat="1" applyFont="1" applyFill="1" applyBorder="1" applyAlignment="1">
      <alignment horizontal="right"/>
    </xf>
    <xf numFmtId="10" fontId="0" fillId="2" borderId="0" xfId="0" applyNumberFormat="1" applyFont="1" applyFill="1" applyBorder="1"/>
    <xf numFmtId="165" fontId="0" fillId="2" borderId="0" xfId="0" applyNumberFormat="1" applyFill="1" applyBorder="1"/>
    <xf numFmtId="165" fontId="1" fillId="2" borderId="0" xfId="0" applyNumberFormat="1" applyFont="1" applyFill="1" applyBorder="1"/>
    <xf numFmtId="37" fontId="9" fillId="2" borderId="0" xfId="0" applyNumberFormat="1" applyFont="1" applyFill="1" applyBorder="1" applyAlignment="1" applyProtection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ont="1" applyFill="1" applyBorder="1" applyAlignment="1">
      <alignment vertical="center"/>
    </xf>
    <xf numFmtId="37" fontId="0" fillId="2" borderId="0" xfId="1" applyNumberFormat="1" applyFont="1" applyFill="1" applyBorder="1" applyAlignment="1">
      <alignment horizontal="right" vertical="center"/>
    </xf>
    <xf numFmtId="37" fontId="0" fillId="2" borderId="0" xfId="0" applyNumberFormat="1" applyFill="1" applyBorder="1" applyAlignment="1">
      <alignment horizontal="right" vertical="center"/>
    </xf>
    <xf numFmtId="0" fontId="0" fillId="2" borderId="0" xfId="0" applyFill="1" applyBorder="1" applyAlignment="1">
      <alignment vertical="center"/>
    </xf>
    <xf numFmtId="0" fontId="0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vertical="center" wrapText="1"/>
    </xf>
    <xf numFmtId="0" fontId="7" fillId="7" borderId="0" xfId="0" applyFont="1" applyFill="1" applyBorder="1" applyAlignment="1">
      <alignment horizontal="left" vertical="center"/>
    </xf>
    <xf numFmtId="0" fontId="7" fillId="7" borderId="0" xfId="0" applyFont="1" applyFill="1" applyBorder="1" applyAlignment="1">
      <alignment vertical="center"/>
    </xf>
    <xf numFmtId="0" fontId="7" fillId="7" borderId="0" xfId="0" applyFont="1" applyFill="1" applyBorder="1" applyAlignment="1">
      <alignment horizontal="center" vertical="center"/>
    </xf>
    <xf numFmtId="37" fontId="7" fillId="7" borderId="0" xfId="1" applyNumberFormat="1" applyFont="1" applyFill="1" applyBorder="1" applyAlignment="1">
      <alignment horizontal="right" vertical="center" wrapText="1"/>
    </xf>
    <xf numFmtId="37" fontId="7" fillId="7" borderId="0" xfId="0" applyNumberFormat="1" applyFont="1" applyFill="1" applyBorder="1" applyAlignment="1">
      <alignment horizontal="right" vertical="center" wrapText="1"/>
    </xf>
    <xf numFmtId="164" fontId="7" fillId="7" borderId="0" xfId="1" applyFont="1" applyFill="1" applyBorder="1" applyAlignment="1">
      <alignment horizontal="right" vertical="center" wrapText="1"/>
    </xf>
    <xf numFmtId="0" fontId="7" fillId="7" borderId="0" xfId="0" applyFont="1" applyFill="1" applyBorder="1" applyAlignment="1">
      <alignment horizontal="right" vertical="center"/>
    </xf>
    <xf numFmtId="164" fontId="7" fillId="7" borderId="0" xfId="1" applyFont="1" applyFill="1" applyBorder="1" applyAlignment="1">
      <alignment horizontal="center" vertical="center" wrapText="1"/>
    </xf>
    <xf numFmtId="0" fontId="0" fillId="8" borderId="0" xfId="0" applyFill="1" applyAlignment="1">
      <alignment vertical="center"/>
    </xf>
    <xf numFmtId="0" fontId="0" fillId="3" borderId="0" xfId="0" applyFont="1" applyFill="1" applyBorder="1" applyAlignment="1">
      <alignment vertical="center"/>
    </xf>
    <xf numFmtId="0" fontId="0" fillId="3" borderId="0" xfId="0" applyFill="1" applyBorder="1" applyAlignment="1">
      <alignment horizontal="center" vertical="center"/>
    </xf>
    <xf numFmtId="37" fontId="0" fillId="3" borderId="0" xfId="1" applyNumberFormat="1" applyFont="1" applyFill="1" applyBorder="1" applyAlignment="1">
      <alignment horizontal="right" vertical="center"/>
    </xf>
    <xf numFmtId="37" fontId="0" fillId="3" borderId="0" xfId="0" applyNumberFormat="1" applyFill="1" applyBorder="1" applyAlignment="1">
      <alignment horizontal="right" vertical="center"/>
    </xf>
    <xf numFmtId="0" fontId="0" fillId="3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vertical="center"/>
    </xf>
    <xf numFmtId="164" fontId="0" fillId="6" borderId="0" xfId="1" applyFont="1" applyFill="1" applyBorder="1" applyAlignment="1">
      <alignment horizontal="right" vertical="center"/>
    </xf>
    <xf numFmtId="0" fontId="0" fillId="6" borderId="0" xfId="0" applyFill="1" applyBorder="1" applyAlignment="1">
      <alignment horizontal="right" vertical="center"/>
    </xf>
    <xf numFmtId="0" fontId="0" fillId="6" borderId="0" xfId="0" applyFont="1" applyFill="1" applyBorder="1" applyAlignment="1">
      <alignment horizontal="right" vertical="center"/>
    </xf>
    <xf numFmtId="0" fontId="7" fillId="7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38" fontId="7" fillId="7" borderId="0" xfId="0" applyNumberFormat="1" applyFont="1" applyFill="1" applyBorder="1" applyAlignment="1" applyProtection="1">
      <alignment vertical="center"/>
    </xf>
    <xf numFmtId="17" fontId="7" fillId="7" borderId="0" xfId="0" applyNumberFormat="1" applyFont="1" applyFill="1" applyBorder="1" applyAlignment="1" applyProtection="1">
      <alignment horizontal="right" vertical="center"/>
    </xf>
    <xf numFmtId="38" fontId="7" fillId="7" borderId="0" xfId="0" applyNumberFormat="1" applyFont="1" applyFill="1" applyBorder="1" applyAlignment="1" applyProtection="1">
      <alignment horizontal="right" vertical="center"/>
    </xf>
    <xf numFmtId="37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37" fontId="1" fillId="0" borderId="0" xfId="0" applyNumberFormat="1" applyFont="1" applyAlignment="1">
      <alignment vertical="center"/>
    </xf>
    <xf numFmtId="9" fontId="0" fillId="0" borderId="0" xfId="2" applyFont="1" applyAlignment="1">
      <alignment vertical="center"/>
    </xf>
    <xf numFmtId="37" fontId="2" fillId="3" borderId="0" xfId="0" applyNumberFormat="1" applyFont="1" applyFill="1" applyBorder="1" applyAlignment="1">
      <alignment horizontal="right" vertical="center" wrapText="1"/>
    </xf>
    <xf numFmtId="37" fontId="2" fillId="2" borderId="0" xfId="0" applyNumberFormat="1" applyFont="1" applyFill="1" applyBorder="1" applyAlignment="1">
      <alignment horizontal="right" vertical="center" wrapText="1"/>
    </xf>
    <xf numFmtId="168" fontId="1" fillId="2" borderId="5" xfId="2" applyNumberFormat="1" applyFont="1" applyFill="1" applyBorder="1"/>
    <xf numFmtId="0" fontId="10" fillId="0" borderId="0" xfId="0" applyFont="1"/>
    <xf numFmtId="168" fontId="1" fillId="2" borderId="4" xfId="2" applyNumberFormat="1" applyFont="1" applyFill="1" applyBorder="1"/>
    <xf numFmtId="0" fontId="0" fillId="9" borderId="0" xfId="0" applyFill="1" applyBorder="1" applyAlignment="1">
      <alignment horizontal="center" vertical="center"/>
    </xf>
    <xf numFmtId="14" fontId="0" fillId="0" borderId="0" xfId="0" applyNumberFormat="1"/>
    <xf numFmtId="15" fontId="0" fillId="0" borderId="0" xfId="0" applyNumberFormat="1" applyAlignment="1">
      <alignment horizontal="center"/>
    </xf>
    <xf numFmtId="37" fontId="0" fillId="0" borderId="0" xfId="0" applyNumberFormat="1" applyAlignment="1">
      <alignment horizontal="right"/>
    </xf>
    <xf numFmtId="37" fontId="7" fillId="7" borderId="0" xfId="0" applyNumberFormat="1" applyFont="1" applyFill="1" applyBorder="1" applyAlignment="1">
      <alignment horizontal="right" vertical="center"/>
    </xf>
    <xf numFmtId="39" fontId="0" fillId="0" borderId="0" xfId="0" applyNumberFormat="1"/>
    <xf numFmtId="39" fontId="7" fillId="7" borderId="0" xfId="0" applyNumberFormat="1" applyFont="1" applyFill="1" applyBorder="1" applyAlignment="1">
      <alignment horizontal="right" vertical="center" wrapText="1"/>
    </xf>
    <xf numFmtId="39" fontId="0" fillId="2" borderId="0" xfId="0" applyNumberFormat="1" applyFill="1" applyBorder="1" applyAlignment="1">
      <alignment horizontal="right" vertical="center"/>
    </xf>
    <xf numFmtId="39" fontId="1" fillId="2" borderId="5" xfId="0" applyNumberFormat="1" applyFont="1" applyFill="1" applyBorder="1" applyAlignment="1">
      <alignment horizontal="right" vertical="center"/>
    </xf>
    <xf numFmtId="37" fontId="1" fillId="2" borderId="5" xfId="0" applyNumberFormat="1" applyFont="1" applyFill="1" applyBorder="1" applyAlignment="1">
      <alignment horizontal="right" vertical="center"/>
    </xf>
    <xf numFmtId="39" fontId="1" fillId="2" borderId="4" xfId="0" applyNumberFormat="1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 textRotation="90"/>
    </xf>
    <xf numFmtId="0" fontId="1" fillId="2" borderId="2" xfId="0" applyFont="1" applyFill="1" applyBorder="1" applyAlignment="1">
      <alignment horizontal="center" vertical="center" textRotation="90"/>
    </xf>
    <xf numFmtId="0" fontId="1" fillId="2" borderId="0" xfId="0" applyFont="1" applyFill="1" applyBorder="1" applyAlignment="1">
      <alignment horizontal="center" vertical="center" textRotation="90"/>
    </xf>
    <xf numFmtId="0" fontId="1" fillId="2" borderId="0" xfId="0" applyNumberFormat="1" applyFont="1" applyFill="1" applyBorder="1" applyAlignment="1">
      <alignment horizontal="center" vertical="center" textRotation="90"/>
    </xf>
    <xf numFmtId="0" fontId="1" fillId="2" borderId="1" xfId="0" applyNumberFormat="1" applyFont="1" applyFill="1" applyBorder="1" applyAlignment="1">
      <alignment horizontal="center" vertical="center" textRotation="90"/>
    </xf>
    <xf numFmtId="0" fontId="1" fillId="2" borderId="2" xfId="0" applyNumberFormat="1" applyFont="1" applyFill="1" applyBorder="1" applyAlignment="1">
      <alignment horizontal="center" vertical="center" textRotation="90"/>
    </xf>
    <xf numFmtId="0" fontId="1" fillId="2" borderId="3" xfId="0" applyNumberFormat="1" applyFont="1" applyFill="1" applyBorder="1" applyAlignment="1">
      <alignment horizontal="center" vertical="center" textRotation="90"/>
    </xf>
    <xf numFmtId="0" fontId="1" fillId="2" borderId="7" xfId="0" applyNumberFormat="1" applyFont="1" applyFill="1" applyBorder="1" applyAlignment="1">
      <alignment horizontal="center" vertical="center" textRotation="90"/>
    </xf>
    <xf numFmtId="0" fontId="0" fillId="8" borderId="0" xfId="0" applyFont="1" applyFill="1" applyBorder="1" applyAlignment="1">
      <alignment vertical="center"/>
    </xf>
    <xf numFmtId="0" fontId="0" fillId="8" borderId="0" xfId="0" applyFill="1" applyBorder="1" applyAlignment="1">
      <alignment vertical="center"/>
    </xf>
    <xf numFmtId="0" fontId="0" fillId="8" borderId="0" xfId="0" applyFont="1" applyFill="1" applyBorder="1" applyAlignment="1">
      <alignment vertical="center" wrapText="1"/>
    </xf>
    <xf numFmtId="0" fontId="8" fillId="8" borderId="0" xfId="0" applyFont="1" applyFill="1" applyBorder="1" applyAlignment="1">
      <alignment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FF150D"/>
      <rgbColor rgb="00000000"/>
      <rgbColor rgb="00CECECE"/>
      <rgbColor rgb="00909090"/>
      <rgbColor rgb="005D5D5D"/>
      <rgbColor rgb="00DEDEDE"/>
      <rgbColor rgb="007C7C7C"/>
      <rgbColor rgb="00ABABAB"/>
      <rgbColor rgb="00000000"/>
      <rgbColor rgb="00808080"/>
      <rgbColor rgb="00000000"/>
      <rgbColor rgb="00808080"/>
      <rgbColor rgb="00000000"/>
      <rgbColor rgb="00808080"/>
      <rgbColor rgb="00000000"/>
      <rgbColor rgb="0080808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B4E6"/>
      <color rgb="FF336699"/>
      <color rgb="FFADEBFF"/>
      <color rgb="FFFFB945"/>
      <color rgb="FFFFCC00"/>
      <color rgb="FF2CA4CA"/>
      <color rgb="FFFF33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Style" Target="style2.xml"/><Relationship Id="rId2" Type="http://schemas.microsoft.com/office/2011/relationships/chartColorStyle" Target="colors2.xml"/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Style" Target="style3.xml"/><Relationship Id="rId2" Type="http://schemas.microsoft.com/office/2011/relationships/chartColorStyle" Target="colors3.xml"/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microsoft.com/office/2011/relationships/chartStyle" Target="style32.xml"/><Relationship Id="rId2" Type="http://schemas.microsoft.com/office/2011/relationships/chartColorStyle" Target="colors32.xml"/><Relationship Id="rId1" Type="http://schemas.openxmlformats.org/officeDocument/2006/relationships/chartUserShapes" Target="../drawings/drawing9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microsoft.com/office/2011/relationships/chartStyle" Target="style37.xml"/><Relationship Id="rId2" Type="http://schemas.microsoft.com/office/2011/relationships/chartColorStyle" Target="colors37.xml"/><Relationship Id="rId1" Type="http://schemas.openxmlformats.org/officeDocument/2006/relationships/chartUserShapes" Target="../drawings/drawing10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Style" Target="style4.xml"/><Relationship Id="rId2" Type="http://schemas.microsoft.com/office/2011/relationships/chartColorStyle" Target="colors4.xml"/><Relationship Id="rId1" Type="http://schemas.openxmlformats.org/officeDocument/2006/relationships/chartUserShapes" Target="../drawings/drawing5.xml"/></Relationships>
</file>

<file path=xl/charts/_rels/chart40.xml.rels><?xml version="1.0" encoding="UTF-8" standalone="yes"?>
<Relationships xmlns="http://schemas.openxmlformats.org/package/2006/relationships"><Relationship Id="rId3" Type="http://schemas.microsoft.com/office/2011/relationships/chartStyle" Target="style40.xml"/><Relationship Id="rId2" Type="http://schemas.microsoft.com/office/2011/relationships/chartColorStyle" Target="colors40.xml"/><Relationship Id="rId1" Type="http://schemas.openxmlformats.org/officeDocument/2006/relationships/chartUserShapes" Target="../drawings/drawing11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Cruise Brand</a:t>
            </a:r>
            <a:r>
              <a:rPr lang="en-US" b="1" baseline="0">
                <a:solidFill>
                  <a:schemeClr val="tx1"/>
                </a:solidFill>
              </a:rPr>
              <a:t> Reviews - Average Rating on CruiseCritic.com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rgbClr val="336699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336699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336699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336699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336699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336699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336699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336699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336699"/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rgbClr val="33B4E6"/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rgbClr val="33B4E6"/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rgbClr val="33B4E6"/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rgbClr val="33B4E6"/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rgbClr val="33B4E6"/>
              </a:solid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rgbClr val="33B4E6"/>
              </a:solidFill>
              <a:ln>
                <a:noFill/>
              </a:ln>
              <a:effectLst/>
            </c:spPr>
          </c:dPt>
          <c:dPt>
            <c:idx val="23"/>
            <c:invertIfNegative val="0"/>
            <c:bubble3D val="0"/>
            <c:spPr>
              <a:solidFill>
                <a:srgbClr val="33B4E6"/>
              </a:solidFill>
              <a:ln>
                <a:noFill/>
              </a:ln>
              <a:effectLst/>
            </c:spPr>
          </c:dPt>
          <c:dPt>
            <c:idx val="24"/>
            <c:invertIfNegative val="0"/>
            <c:bubble3D val="0"/>
            <c:spPr>
              <a:solidFill>
                <a:srgbClr val="33B4E6"/>
              </a:solidFill>
              <a:ln>
                <a:noFill/>
              </a:ln>
              <a:effectLst/>
            </c:spPr>
          </c:dPt>
          <c:dPt>
            <c:idx val="25"/>
            <c:invertIfNegative val="0"/>
            <c:bubble3D val="0"/>
            <c:spPr>
              <a:solidFill>
                <a:srgbClr val="33B4E6"/>
              </a:solidFill>
              <a:ln>
                <a:noFill/>
              </a:ln>
              <a:effectLst/>
            </c:spPr>
          </c:dPt>
          <c:dPt>
            <c:idx val="26"/>
            <c:invertIfNegative val="0"/>
            <c:bubble3D val="0"/>
            <c:spPr>
              <a:solidFill>
                <a:srgbClr val="33B4E6"/>
              </a:solidFill>
              <a:ln>
                <a:noFill/>
              </a:ln>
              <a:effectLst/>
            </c:spPr>
          </c:dPt>
          <c:dPt>
            <c:idx val="27"/>
            <c:invertIfNegative val="0"/>
            <c:bubble3D val="0"/>
            <c:spPr>
              <a:solidFill>
                <a:srgbClr val="33B4E6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Reviews!$B$5:$C$32</c:f>
              <c:multiLvlStrCache>
                <c:ptCount val="28"/>
                <c:lvl>
                  <c:pt idx="0">
                    <c:v>Royal</c:v>
                  </c:pt>
                  <c:pt idx="1">
                    <c:v>Carnival</c:v>
                  </c:pt>
                  <c:pt idx="2">
                    <c:v>Norwegian</c:v>
                  </c:pt>
                  <c:pt idx="3">
                    <c:v>P&amp;O</c:v>
                  </c:pt>
                  <c:pt idx="4">
                    <c:v>MSC</c:v>
                  </c:pt>
                  <c:pt idx="5">
                    <c:v>Costa</c:v>
                  </c:pt>
                  <c:pt idx="6">
                    <c:v>P&amp;O Aust.</c:v>
                  </c:pt>
                  <c:pt idx="7">
                    <c:v>Pullmantur</c:v>
                  </c:pt>
                  <c:pt idx="8">
                    <c:v>Viking</c:v>
                  </c:pt>
                  <c:pt idx="9">
                    <c:v>Azamara</c:v>
                  </c:pt>
                  <c:pt idx="10">
                    <c:v>Disney</c:v>
                  </c:pt>
                  <c:pt idx="11">
                    <c:v>Saga</c:v>
                  </c:pt>
                  <c:pt idx="12">
                    <c:v>Celebrity</c:v>
                  </c:pt>
                  <c:pt idx="13">
                    <c:v>Oceania</c:v>
                  </c:pt>
                  <c:pt idx="14">
                    <c:v>Holland</c:v>
                  </c:pt>
                  <c:pt idx="15">
                    <c:v>Princess</c:v>
                  </c:pt>
                  <c:pt idx="16">
                    <c:v>Cunard</c:v>
                  </c:pt>
                  <c:pt idx="17">
                    <c:v>Hapag-Lloyd</c:v>
                  </c:pt>
                  <c:pt idx="18">
                    <c:v>Lindblad</c:v>
                  </c:pt>
                  <c:pt idx="19">
                    <c:v>SeaDream</c:v>
                  </c:pt>
                  <c:pt idx="20">
                    <c:v>Crystal</c:v>
                  </c:pt>
                  <c:pt idx="21">
                    <c:v>Seabourn</c:v>
                  </c:pt>
                  <c:pt idx="22">
                    <c:v>Windstar</c:v>
                  </c:pt>
                  <c:pt idx="23">
                    <c:v>Hurtigruten</c:v>
                  </c:pt>
                  <c:pt idx="24">
                    <c:v>Quark</c:v>
                  </c:pt>
                  <c:pt idx="25">
                    <c:v>Ponant</c:v>
                  </c:pt>
                  <c:pt idx="26">
                    <c:v>Silversea</c:v>
                  </c:pt>
                  <c:pt idx="27">
                    <c:v>Regent</c:v>
                  </c:pt>
                </c:lvl>
                <c:lvl>
                  <c:pt idx="0">
                    <c:v>Contemporary</c:v>
                  </c:pt>
                  <c:pt idx="8">
                    <c:v>Premium</c:v>
                  </c:pt>
                  <c:pt idx="17">
                    <c:v>Luxury &amp; Expedition</c:v>
                  </c:pt>
                </c:lvl>
              </c:multiLvlStrCache>
            </c:multiLvlStrRef>
          </c:cat>
          <c:val>
            <c:numRef>
              <c:f>Reviews!$E$5:$E$32</c:f>
              <c:numCache>
                <c:formatCode>#,##0.00_);\(#,##0.00\)</c:formatCode>
                <c:ptCount val="28"/>
                <c:pt idx="0">
                  <c:v>4.0082382926138562</c:v>
                </c:pt>
                <c:pt idx="1">
                  <c:v>3.9569340045514103</c:v>
                </c:pt>
                <c:pt idx="2">
                  <c:v>3.8134237945238669</c:v>
                </c:pt>
                <c:pt idx="3">
                  <c:v>3.6674364896073897</c:v>
                </c:pt>
                <c:pt idx="4">
                  <c:v>3.4536063456926769</c:v>
                </c:pt>
                <c:pt idx="5">
                  <c:v>3.2386934673366832</c:v>
                </c:pt>
                <c:pt idx="6">
                  <c:v>3.1786690975387422</c:v>
                </c:pt>
                <c:pt idx="7">
                  <c:v>3.134020618556701</c:v>
                </c:pt>
                <c:pt idx="8">
                  <c:v>4.6181102362204722</c:v>
                </c:pt>
                <c:pt idx="9">
                  <c:v>4.3770614692653682</c:v>
                </c:pt>
                <c:pt idx="10">
                  <c:v>4.3692384769539077</c:v>
                </c:pt>
                <c:pt idx="11">
                  <c:v>4.3333333333333339</c:v>
                </c:pt>
                <c:pt idx="12">
                  <c:v>4.1922619833619432</c:v>
                </c:pt>
                <c:pt idx="13">
                  <c:v>4.0362389813907935</c:v>
                </c:pt>
                <c:pt idx="14">
                  <c:v>4.0028561636010505</c:v>
                </c:pt>
                <c:pt idx="15">
                  <c:v>3.9803770452928622</c:v>
                </c:pt>
                <c:pt idx="16">
                  <c:v>3.9066279632317364</c:v>
                </c:pt>
                <c:pt idx="17">
                  <c:v>4.7307692307692308</c:v>
                </c:pt>
                <c:pt idx="18">
                  <c:v>4.489583333333333</c:v>
                </c:pt>
                <c:pt idx="19">
                  <c:v>4.2972972972972974</c:v>
                </c:pt>
                <c:pt idx="20">
                  <c:v>4.2765531062124245</c:v>
                </c:pt>
                <c:pt idx="21">
                  <c:v>4.2606741573033711</c:v>
                </c:pt>
                <c:pt idx="22">
                  <c:v>4.1847133757961785</c:v>
                </c:pt>
                <c:pt idx="23">
                  <c:v>4.1225000000000005</c:v>
                </c:pt>
                <c:pt idx="24">
                  <c:v>3.96</c:v>
                </c:pt>
                <c:pt idx="25">
                  <c:v>3.9509803921568629</c:v>
                </c:pt>
                <c:pt idx="26">
                  <c:v>3.9430814524043178</c:v>
                </c:pt>
                <c:pt idx="27">
                  <c:v>3.9077720207253881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27"/>
        <c:axId val="58800000"/>
        <c:axId val="61600896"/>
      </c:barChart>
      <c:catAx>
        <c:axId val="5880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00896"/>
        <c:crosses val="autoZero"/>
        <c:auto val="1"/>
        <c:lblAlgn val="ctr"/>
        <c:lblOffset val="100"/>
        <c:noMultiLvlLbl val="0"/>
      </c:catAx>
      <c:valAx>
        <c:axId val="61600896"/>
        <c:scaling>
          <c:orientation val="minMax"/>
        </c:scaling>
        <c:delete val="0"/>
        <c:axPos val="l"/>
        <c:numFmt formatCode="#,##0.0_);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0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Cruise - Contribution to Global Capacity Growth</a:t>
            </a:r>
            <a:r>
              <a:rPr lang="en-US" b="1" baseline="0">
                <a:solidFill>
                  <a:schemeClr val="tx1"/>
                </a:solidFill>
              </a:rPr>
              <a:t> ('000s of berths)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9418350655194999E-2"/>
          <c:y val="0.23401640775391366"/>
          <c:w val="0.9092346164219347"/>
          <c:h val="0.677810067583184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'Ship Table'!$P$46</c:f>
              <c:strCache>
                <c:ptCount val="1"/>
                <c:pt idx="0">
                  <c:v>CCL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'Ship Table'!$R$4:$V$4</c:f>
              <c:strCache>
                <c:ptCount val="5"/>
                <c:pt idx="0">
                  <c:v>2017</c:v>
                </c:pt>
                <c:pt idx="1">
                  <c:v>2018e</c:v>
                </c:pt>
                <c:pt idx="2">
                  <c:v>2019e</c:v>
                </c:pt>
                <c:pt idx="3">
                  <c:v>2020e</c:v>
                </c:pt>
                <c:pt idx="4">
                  <c:v>2021e</c:v>
                </c:pt>
              </c:strCache>
            </c:strRef>
          </c:cat>
          <c:val>
            <c:numRef>
              <c:f>'Ship Table'!$R$46:$V$46</c:f>
              <c:numCache>
                <c:formatCode>#,##0_);\(#,##0\)</c:formatCode>
                <c:ptCount val="5"/>
                <c:pt idx="0">
                  <c:v>6810</c:v>
                </c:pt>
                <c:pt idx="1">
                  <c:v>12418</c:v>
                </c:pt>
                <c:pt idx="2">
                  <c:v>17032</c:v>
                </c:pt>
                <c:pt idx="3">
                  <c:v>18032</c:v>
                </c:pt>
                <c:pt idx="4">
                  <c:v>13060</c:v>
                </c:pt>
              </c:numCache>
            </c:numRef>
          </c:val>
        </c:ser>
        <c:ser>
          <c:idx val="1"/>
          <c:order val="1"/>
          <c:tx>
            <c:strRef>
              <c:f>'Ship Table'!$P$47</c:f>
              <c:strCache>
                <c:ptCount val="1"/>
                <c:pt idx="0">
                  <c:v>RCL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'Ship Table'!$R$4:$V$4</c:f>
              <c:strCache>
                <c:ptCount val="5"/>
                <c:pt idx="0">
                  <c:v>2017</c:v>
                </c:pt>
                <c:pt idx="1">
                  <c:v>2018e</c:v>
                </c:pt>
                <c:pt idx="2">
                  <c:v>2019e</c:v>
                </c:pt>
                <c:pt idx="3">
                  <c:v>2020e</c:v>
                </c:pt>
                <c:pt idx="4">
                  <c:v>2021e</c:v>
                </c:pt>
              </c:strCache>
            </c:strRef>
          </c:cat>
          <c:val>
            <c:numRef>
              <c:f>'Ship Table'!$R$47:$V$47</c:f>
              <c:numCache>
                <c:formatCode>#,##0_);\(#,##0\)</c:formatCode>
                <c:ptCount val="5"/>
                <c:pt idx="0">
                  <c:v>1651.1919999999955</c:v>
                </c:pt>
                <c:pt idx="1">
                  <c:v>9750</c:v>
                </c:pt>
                <c:pt idx="2">
                  <c:v>5730</c:v>
                </c:pt>
                <c:pt idx="3">
                  <c:v>7397.531999999992</c:v>
                </c:pt>
                <c:pt idx="4">
                  <c:v>8697.5320000000065</c:v>
                </c:pt>
              </c:numCache>
            </c:numRef>
          </c:val>
        </c:ser>
        <c:ser>
          <c:idx val="2"/>
          <c:order val="2"/>
          <c:tx>
            <c:strRef>
              <c:f>'Ship Table'!$P$48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'Ship Table'!$R$4:$V$4</c:f>
              <c:strCache>
                <c:ptCount val="5"/>
                <c:pt idx="0">
                  <c:v>2017</c:v>
                </c:pt>
                <c:pt idx="1">
                  <c:v>2018e</c:v>
                </c:pt>
                <c:pt idx="2">
                  <c:v>2019e</c:v>
                </c:pt>
                <c:pt idx="3">
                  <c:v>2020e</c:v>
                </c:pt>
                <c:pt idx="4">
                  <c:v>2021e</c:v>
                </c:pt>
              </c:strCache>
            </c:strRef>
          </c:cat>
          <c:val>
            <c:numRef>
              <c:f>'Ship Table'!$R$48:$V$48</c:f>
              <c:numCache>
                <c:formatCode>#,##0_);\(#,##0\)</c:formatCode>
                <c:ptCount val="5"/>
                <c:pt idx="0">
                  <c:v>8628</c:v>
                </c:pt>
                <c:pt idx="1">
                  <c:v>4140</c:v>
                </c:pt>
                <c:pt idx="2">
                  <c:v>9388</c:v>
                </c:pt>
                <c:pt idx="3">
                  <c:v>4888</c:v>
                </c:pt>
                <c:pt idx="4">
                  <c:v>4560</c:v>
                </c:pt>
              </c:numCache>
            </c:numRef>
          </c:val>
        </c:ser>
        <c:ser>
          <c:idx val="3"/>
          <c:order val="3"/>
          <c:tx>
            <c:strRef>
              <c:f>'Ship Table'!$P$49</c:f>
              <c:strCache>
                <c:ptCount val="1"/>
                <c:pt idx="0">
                  <c:v>NCLH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'Ship Table'!$R$4:$V$4</c:f>
              <c:strCache>
                <c:ptCount val="5"/>
                <c:pt idx="0">
                  <c:v>2017</c:v>
                </c:pt>
                <c:pt idx="1">
                  <c:v>2018e</c:v>
                </c:pt>
                <c:pt idx="2">
                  <c:v>2019e</c:v>
                </c:pt>
                <c:pt idx="3">
                  <c:v>2020e</c:v>
                </c:pt>
                <c:pt idx="4">
                  <c:v>2021e</c:v>
                </c:pt>
              </c:strCache>
            </c:strRef>
          </c:cat>
          <c:val>
            <c:numRef>
              <c:f>'Ship Table'!$R$49:$V$49</c:f>
              <c:numCache>
                <c:formatCode>#,##0_);\(#,##0\)</c:formatCode>
                <c:ptCount val="5"/>
                <c:pt idx="0">
                  <c:v>4250</c:v>
                </c:pt>
                <c:pt idx="1">
                  <c:v>4200</c:v>
                </c:pt>
                <c:pt idx="2">
                  <c:v>4200</c:v>
                </c:pt>
                <c:pt idx="3">
                  <c:v>738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'Ship Table'!$P$50</c:f>
              <c:strCache>
                <c:ptCount val="1"/>
                <c:pt idx="0">
                  <c:v>GENHK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'Ship Table'!$R$4:$V$4</c:f>
              <c:strCache>
                <c:ptCount val="5"/>
                <c:pt idx="0">
                  <c:v>2017</c:v>
                </c:pt>
                <c:pt idx="1">
                  <c:v>2018e</c:v>
                </c:pt>
                <c:pt idx="2">
                  <c:v>2019e</c:v>
                </c:pt>
                <c:pt idx="3">
                  <c:v>2020e</c:v>
                </c:pt>
                <c:pt idx="4">
                  <c:v>2021e</c:v>
                </c:pt>
              </c:strCache>
            </c:strRef>
          </c:cat>
          <c:val>
            <c:numRef>
              <c:f>'Ship Table'!$R$50:$V$50</c:f>
              <c:numCache>
                <c:formatCode>#,##0_);\(#,##0\)</c:formatCode>
                <c:ptCount val="5"/>
                <c:pt idx="0">
                  <c:v>3364</c:v>
                </c:pt>
                <c:pt idx="1">
                  <c:v>0</c:v>
                </c:pt>
                <c:pt idx="2">
                  <c:v>0</c:v>
                </c:pt>
                <c:pt idx="3">
                  <c:v>5200</c:v>
                </c:pt>
                <c:pt idx="4">
                  <c:v>5200</c:v>
                </c:pt>
              </c:numCache>
            </c:numRef>
          </c:val>
        </c:ser>
        <c:ser>
          <c:idx val="5"/>
          <c:order val="5"/>
          <c:tx>
            <c:strRef>
              <c:f>'Ship Table'!$P$51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'Ship Table'!$R$4:$V$4</c:f>
              <c:strCache>
                <c:ptCount val="5"/>
                <c:pt idx="0">
                  <c:v>2017</c:v>
                </c:pt>
                <c:pt idx="1">
                  <c:v>2018e</c:v>
                </c:pt>
                <c:pt idx="2">
                  <c:v>2019e</c:v>
                </c:pt>
                <c:pt idx="3">
                  <c:v>2020e</c:v>
                </c:pt>
                <c:pt idx="4">
                  <c:v>2021e</c:v>
                </c:pt>
              </c:strCache>
            </c:strRef>
          </c:cat>
          <c:val>
            <c:numRef>
              <c:f>'Ship Table'!$R$51:$V$51</c:f>
              <c:numCache>
                <c:formatCode>#,##0_);\(#,##0\)</c:formatCode>
                <c:ptCount val="5"/>
                <c:pt idx="0">
                  <c:v>3364.8080000000191</c:v>
                </c:pt>
                <c:pt idx="1">
                  <c:v>3318</c:v>
                </c:pt>
                <c:pt idx="2">
                  <c:v>6134</c:v>
                </c:pt>
                <c:pt idx="3">
                  <c:v>5132.4680000000517</c:v>
                </c:pt>
                <c:pt idx="4">
                  <c:v>7916.4679999998771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41087744"/>
        <c:axId val="41089280"/>
      </c:barChart>
      <c:lineChart>
        <c:grouping val="standard"/>
        <c:varyColors val="0"/>
        <c:ser>
          <c:idx val="6"/>
          <c:order val="6"/>
          <c:tx>
            <c:strRef>
              <c:f>'Ship Table'!$P$52</c:f>
              <c:strCache>
                <c:ptCount val="1"/>
                <c:pt idx="0">
                  <c:v>Global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'Ship Table'!$R$52:$V$52</c:f>
              <c:numCache>
                <c:formatCode>#,##0_);\(#,##0\)</c:formatCode>
                <c:ptCount val="5"/>
                <c:pt idx="0">
                  <c:v>28068</c:v>
                </c:pt>
                <c:pt idx="1">
                  <c:v>33826</c:v>
                </c:pt>
                <c:pt idx="2">
                  <c:v>42484</c:v>
                </c:pt>
                <c:pt idx="3">
                  <c:v>41388</c:v>
                </c:pt>
                <c:pt idx="4">
                  <c:v>39434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87744"/>
        <c:axId val="41089280"/>
      </c:lineChart>
      <c:catAx>
        <c:axId val="4108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89280"/>
        <c:crosses val="autoZero"/>
        <c:auto val="1"/>
        <c:lblAlgn val="ctr"/>
        <c:lblOffset val="100"/>
        <c:noMultiLvlLbl val="0"/>
      </c:catAx>
      <c:valAx>
        <c:axId val="41089280"/>
        <c:scaling>
          <c:orientation val="minMax"/>
        </c:scaling>
        <c:delete val="0"/>
        <c:axPos val="l"/>
        <c:numFmt formatCode="#,##0.0_);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8774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t"/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Cruise - Contribution to Global Capacity Growth ('000s of berths)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'Ship Table'!$P$58</c:f>
              <c:strCache>
                <c:ptCount val="1"/>
                <c:pt idx="0">
                  <c:v>Contemporary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'Ship Table'!$R$4:$V$4</c:f>
              <c:strCache>
                <c:ptCount val="5"/>
                <c:pt idx="0">
                  <c:v>2017</c:v>
                </c:pt>
                <c:pt idx="1">
                  <c:v>2018e</c:v>
                </c:pt>
                <c:pt idx="2">
                  <c:v>2019e</c:v>
                </c:pt>
                <c:pt idx="3">
                  <c:v>2020e</c:v>
                </c:pt>
                <c:pt idx="4">
                  <c:v>2021e</c:v>
                </c:pt>
              </c:strCache>
            </c:strRef>
          </c:cat>
          <c:val>
            <c:numRef>
              <c:f>'Ship Table'!$R$58:$V$58</c:f>
              <c:numCache>
                <c:formatCode>#,##0_);\(#,##0\)</c:formatCode>
                <c:ptCount val="5"/>
                <c:pt idx="0">
                  <c:v>18662</c:v>
                </c:pt>
                <c:pt idx="1">
                  <c:v>25794</c:v>
                </c:pt>
                <c:pt idx="2">
                  <c:v>34100</c:v>
                </c:pt>
                <c:pt idx="3">
                  <c:v>23420</c:v>
                </c:pt>
                <c:pt idx="4">
                  <c:v>20360</c:v>
                </c:pt>
              </c:numCache>
            </c:numRef>
          </c:val>
        </c:ser>
        <c:ser>
          <c:idx val="1"/>
          <c:order val="1"/>
          <c:tx>
            <c:strRef>
              <c:f>'Ship Table'!$P$59</c:f>
              <c:strCache>
                <c:ptCount val="1"/>
                <c:pt idx="0">
                  <c:v>Premium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'Ship Table'!$R$4:$V$4</c:f>
              <c:strCache>
                <c:ptCount val="5"/>
                <c:pt idx="0">
                  <c:v>2017</c:v>
                </c:pt>
                <c:pt idx="1">
                  <c:v>2018e</c:v>
                </c:pt>
                <c:pt idx="2">
                  <c:v>2019e</c:v>
                </c:pt>
                <c:pt idx="3">
                  <c:v>2020e</c:v>
                </c:pt>
                <c:pt idx="4">
                  <c:v>2021e</c:v>
                </c:pt>
              </c:strCache>
            </c:strRef>
          </c:cat>
          <c:val>
            <c:numRef>
              <c:f>'Ship Table'!$R$59:$V$59</c:f>
              <c:numCache>
                <c:formatCode>#,##0_);\(#,##0\)</c:formatCode>
                <c:ptCount val="5"/>
                <c:pt idx="0">
                  <c:v>8780</c:v>
                </c:pt>
                <c:pt idx="1">
                  <c:v>6790</c:v>
                </c:pt>
                <c:pt idx="2">
                  <c:v>5530</c:v>
                </c:pt>
                <c:pt idx="3">
                  <c:v>15360</c:v>
                </c:pt>
                <c:pt idx="4">
                  <c:v>16850</c:v>
                </c:pt>
              </c:numCache>
            </c:numRef>
          </c:val>
        </c:ser>
        <c:ser>
          <c:idx val="2"/>
          <c:order val="2"/>
          <c:tx>
            <c:strRef>
              <c:f>'Ship Table'!$P$60</c:f>
              <c:strCache>
                <c:ptCount val="1"/>
                <c:pt idx="0">
                  <c:v>Luxury &amp; Expedition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'Ship Table'!$R$4:$V$4</c:f>
              <c:strCache>
                <c:ptCount val="5"/>
                <c:pt idx="0">
                  <c:v>2017</c:v>
                </c:pt>
                <c:pt idx="1">
                  <c:v>2018e</c:v>
                </c:pt>
                <c:pt idx="2">
                  <c:v>2019e</c:v>
                </c:pt>
                <c:pt idx="3">
                  <c:v>2020e</c:v>
                </c:pt>
                <c:pt idx="4">
                  <c:v>2021e</c:v>
                </c:pt>
              </c:strCache>
            </c:strRef>
          </c:cat>
          <c:val>
            <c:numRef>
              <c:f>'Ship Table'!$R$60:$V$60</c:f>
              <c:numCache>
                <c:formatCode>#,##0_);\(#,##0\)</c:formatCode>
                <c:ptCount val="5"/>
                <c:pt idx="0">
                  <c:v>626</c:v>
                </c:pt>
                <c:pt idx="1">
                  <c:v>1242</c:v>
                </c:pt>
                <c:pt idx="2">
                  <c:v>2854</c:v>
                </c:pt>
                <c:pt idx="3">
                  <c:v>2608</c:v>
                </c:pt>
                <c:pt idx="4">
                  <c:v>2224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41213312"/>
        <c:axId val="41215104"/>
      </c:barChart>
      <c:lineChart>
        <c:grouping val="standard"/>
        <c:varyColors val="0"/>
        <c:ser>
          <c:idx val="4"/>
          <c:order val="3"/>
          <c:tx>
            <c:strRef>
              <c:f>'Ship Table'!$P$61</c:f>
              <c:strCache>
                <c:ptCount val="1"/>
                <c:pt idx="0">
                  <c:v>Global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'Ship Table'!$R$4:$V$4</c:f>
              <c:strCache>
                <c:ptCount val="5"/>
                <c:pt idx="0">
                  <c:v>2017</c:v>
                </c:pt>
                <c:pt idx="1">
                  <c:v>2018e</c:v>
                </c:pt>
                <c:pt idx="2">
                  <c:v>2019e</c:v>
                </c:pt>
                <c:pt idx="3">
                  <c:v>2020e</c:v>
                </c:pt>
                <c:pt idx="4">
                  <c:v>2021e</c:v>
                </c:pt>
              </c:strCache>
            </c:strRef>
          </c:cat>
          <c:val>
            <c:numRef>
              <c:f>'Ship Table'!$R$61:$V$61</c:f>
              <c:numCache>
                <c:formatCode>#,##0_);\(#,##0\)</c:formatCode>
                <c:ptCount val="5"/>
                <c:pt idx="0">
                  <c:v>28068</c:v>
                </c:pt>
                <c:pt idx="1">
                  <c:v>33826</c:v>
                </c:pt>
                <c:pt idx="2">
                  <c:v>42484</c:v>
                </c:pt>
                <c:pt idx="3">
                  <c:v>41388</c:v>
                </c:pt>
                <c:pt idx="4">
                  <c:v>39434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13312"/>
        <c:axId val="41215104"/>
      </c:lineChart>
      <c:catAx>
        <c:axId val="4121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5104"/>
        <c:crosses val="autoZero"/>
        <c:auto val="1"/>
        <c:lblAlgn val="ctr"/>
        <c:lblOffset val="100"/>
        <c:noMultiLvlLbl val="0"/>
      </c:catAx>
      <c:valAx>
        <c:axId val="41215104"/>
        <c:scaling>
          <c:orientation val="minMax"/>
        </c:scaling>
        <c:delete val="0"/>
        <c:axPos val="l"/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331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Cruise - </a:t>
            </a:r>
            <a:r>
              <a:rPr lang="en-US" b="1" baseline="0">
                <a:solidFill>
                  <a:schemeClr val="tx1"/>
                </a:solidFill>
              </a:rPr>
              <a:t>Global Capacity Growth by Segment ('000s of berths)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'Ship Table'!$AE$4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'Ship Table'!$AC$63:$AC$66</c:f>
              <c:strCache>
                <c:ptCount val="4"/>
                <c:pt idx="0">
                  <c:v>Contemporary</c:v>
                </c:pt>
                <c:pt idx="1">
                  <c:v>Premium</c:v>
                </c:pt>
                <c:pt idx="2">
                  <c:v>Luxury &amp; Expedition</c:v>
                </c:pt>
                <c:pt idx="3">
                  <c:v>Global</c:v>
                </c:pt>
              </c:strCache>
            </c:strRef>
          </c:cat>
          <c:val>
            <c:numRef>
              <c:f>'Ship Table'!$AE$63:$AE$66</c:f>
              <c:numCache>
                <c:formatCode>#,##0_);\(#,##0\)</c:formatCode>
                <c:ptCount val="4"/>
                <c:pt idx="0">
                  <c:v>18662</c:v>
                </c:pt>
                <c:pt idx="1">
                  <c:v>8780</c:v>
                </c:pt>
                <c:pt idx="2">
                  <c:v>626</c:v>
                </c:pt>
                <c:pt idx="3">
                  <c:v>28068</c:v>
                </c:pt>
              </c:numCache>
            </c:numRef>
          </c:val>
        </c:ser>
        <c:ser>
          <c:idx val="1"/>
          <c:order val="1"/>
          <c:tx>
            <c:strRef>
              <c:f>'Ship Table'!$AF$4</c:f>
              <c:strCache>
                <c:ptCount val="1"/>
                <c:pt idx="0">
                  <c:v>2018e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'Ship Table'!$AC$63:$AC$66</c:f>
              <c:strCache>
                <c:ptCount val="4"/>
                <c:pt idx="0">
                  <c:v>Contemporary</c:v>
                </c:pt>
                <c:pt idx="1">
                  <c:v>Premium</c:v>
                </c:pt>
                <c:pt idx="2">
                  <c:v>Luxury &amp; Expedition</c:v>
                </c:pt>
                <c:pt idx="3">
                  <c:v>Global</c:v>
                </c:pt>
              </c:strCache>
            </c:strRef>
          </c:cat>
          <c:val>
            <c:numRef>
              <c:f>'Ship Table'!$AF$63:$AF$66</c:f>
              <c:numCache>
                <c:formatCode>#,##0_);\(#,##0\)</c:formatCode>
                <c:ptCount val="4"/>
                <c:pt idx="0">
                  <c:v>25794</c:v>
                </c:pt>
                <c:pt idx="1">
                  <c:v>6790</c:v>
                </c:pt>
                <c:pt idx="2">
                  <c:v>1242</c:v>
                </c:pt>
                <c:pt idx="3">
                  <c:v>33826</c:v>
                </c:pt>
              </c:numCache>
            </c:numRef>
          </c:val>
        </c:ser>
        <c:ser>
          <c:idx val="2"/>
          <c:order val="2"/>
          <c:tx>
            <c:strRef>
              <c:f>'Ship Table'!$AG$4</c:f>
              <c:strCache>
                <c:ptCount val="1"/>
                <c:pt idx="0">
                  <c:v>2019e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'Ship Table'!$AC$63:$AC$66</c:f>
              <c:strCache>
                <c:ptCount val="4"/>
                <c:pt idx="0">
                  <c:v>Contemporary</c:v>
                </c:pt>
                <c:pt idx="1">
                  <c:v>Premium</c:v>
                </c:pt>
                <c:pt idx="2">
                  <c:v>Luxury &amp; Expedition</c:v>
                </c:pt>
                <c:pt idx="3">
                  <c:v>Global</c:v>
                </c:pt>
              </c:strCache>
            </c:strRef>
          </c:cat>
          <c:val>
            <c:numRef>
              <c:f>'Ship Table'!$AG$63:$AG$66</c:f>
              <c:numCache>
                <c:formatCode>#,##0_);\(#,##0\)</c:formatCode>
                <c:ptCount val="4"/>
                <c:pt idx="0">
                  <c:v>34100</c:v>
                </c:pt>
                <c:pt idx="1">
                  <c:v>5530</c:v>
                </c:pt>
                <c:pt idx="2">
                  <c:v>2854</c:v>
                </c:pt>
                <c:pt idx="3">
                  <c:v>42484</c:v>
                </c:pt>
              </c:numCache>
            </c:numRef>
          </c:val>
        </c:ser>
        <c:ser>
          <c:idx val="3"/>
          <c:order val="3"/>
          <c:tx>
            <c:strRef>
              <c:f>'Ship Table'!$AH$4</c:f>
              <c:strCache>
                <c:ptCount val="1"/>
                <c:pt idx="0">
                  <c:v>2020e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'Ship Table'!$AC$63:$AC$66</c:f>
              <c:strCache>
                <c:ptCount val="4"/>
                <c:pt idx="0">
                  <c:v>Contemporary</c:v>
                </c:pt>
                <c:pt idx="1">
                  <c:v>Premium</c:v>
                </c:pt>
                <c:pt idx="2">
                  <c:v>Luxury &amp; Expedition</c:v>
                </c:pt>
                <c:pt idx="3">
                  <c:v>Global</c:v>
                </c:pt>
              </c:strCache>
            </c:strRef>
          </c:cat>
          <c:val>
            <c:numRef>
              <c:f>'Ship Table'!$AH$63:$AH$66</c:f>
              <c:numCache>
                <c:formatCode>#,##0_);\(#,##0\)</c:formatCode>
                <c:ptCount val="4"/>
                <c:pt idx="0">
                  <c:v>23420</c:v>
                </c:pt>
                <c:pt idx="1">
                  <c:v>15360</c:v>
                </c:pt>
                <c:pt idx="2">
                  <c:v>2608</c:v>
                </c:pt>
                <c:pt idx="3">
                  <c:v>41388</c:v>
                </c:pt>
              </c:numCache>
            </c:numRef>
          </c:val>
        </c:ser>
        <c:ser>
          <c:idx val="4"/>
          <c:order val="4"/>
          <c:tx>
            <c:strRef>
              <c:f>'Ship Table'!$AI$4</c:f>
              <c:strCache>
                <c:ptCount val="1"/>
                <c:pt idx="0">
                  <c:v>2021e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'Ship Table'!$AC$63:$AC$66</c:f>
              <c:strCache>
                <c:ptCount val="4"/>
                <c:pt idx="0">
                  <c:v>Contemporary</c:v>
                </c:pt>
                <c:pt idx="1">
                  <c:v>Premium</c:v>
                </c:pt>
                <c:pt idx="2">
                  <c:v>Luxury &amp; Expedition</c:v>
                </c:pt>
                <c:pt idx="3">
                  <c:v>Global</c:v>
                </c:pt>
              </c:strCache>
            </c:strRef>
          </c:cat>
          <c:val>
            <c:numRef>
              <c:f>'Ship Table'!$AI$63:$AI$66</c:f>
              <c:numCache>
                <c:formatCode>#,##0_);\(#,##0\)</c:formatCode>
                <c:ptCount val="4"/>
                <c:pt idx="0">
                  <c:v>20360</c:v>
                </c:pt>
                <c:pt idx="1">
                  <c:v>16850</c:v>
                </c:pt>
                <c:pt idx="2">
                  <c:v>2224</c:v>
                </c:pt>
                <c:pt idx="3">
                  <c:v>39434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10"/>
        <c:axId val="41262080"/>
        <c:axId val="41276160"/>
      </c:barChart>
      <c:catAx>
        <c:axId val="4126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76160"/>
        <c:crosses val="autoZero"/>
        <c:auto val="1"/>
        <c:lblAlgn val="ctr"/>
        <c:lblOffset val="100"/>
        <c:noMultiLvlLbl val="0"/>
      </c:catAx>
      <c:valAx>
        <c:axId val="41276160"/>
        <c:scaling>
          <c:orientation val="minMax"/>
        </c:scaling>
        <c:delete val="0"/>
        <c:axPos val="l"/>
        <c:numFmt formatCode="#,##0_);\(#,##0\)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6208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'Ship Trends'!$P$12:$P$39</c:f>
              <c:numCache>
                <c:formatCode>General</c:formatCode>
                <c:ptCount val="2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</c:numCache>
            </c:numRef>
          </c:cat>
          <c:val>
            <c:numRef>
              <c:f>'Ship Trends'!$Q$12:$Q$39</c:f>
              <c:numCache>
                <c:formatCode>0%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54752"/>
        <c:axId val="41356288"/>
      </c:barChart>
      <c:catAx>
        <c:axId val="4135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6288"/>
        <c:crosses val="autoZero"/>
        <c:auto val="1"/>
        <c:lblAlgn val="ctr"/>
        <c:lblOffset val="100"/>
        <c:noMultiLvlLbl val="0"/>
      </c:catAx>
      <c:valAx>
        <c:axId val="41356288"/>
        <c:scaling>
          <c:orientation val="minMax"/>
          <c:max val="0.7500000000000001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'Ship Trends'!$P$12:$P$43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cat>
          <c:val>
            <c:numRef>
              <c:f>'Ship Trends'!$S$12:$S$43</c:f>
              <c:numCache>
                <c:formatCode>#,##0_);\(#,##0\)</c:formatCode>
                <c:ptCount val="32"/>
                <c:pt idx="0">
                  <c:v>1118.125</c:v>
                </c:pt>
                <c:pt idx="1">
                  <c:v>873.3</c:v>
                </c:pt>
                <c:pt idx="2">
                  <c:v>873.4</c:v>
                </c:pt>
                <c:pt idx="3">
                  <c:v>1306.7142857142858</c:v>
                </c:pt>
                <c:pt idx="4">
                  <c:v>1060</c:v>
                </c:pt>
                <c:pt idx="5">
                  <c:v>1267.4285714285713</c:v>
                </c:pt>
                <c:pt idx="6">
                  <c:v>1678.4545454545455</c:v>
                </c:pt>
                <c:pt idx="7">
                  <c:v>1364.625</c:v>
                </c:pt>
                <c:pt idx="8">
                  <c:v>1642.8</c:v>
                </c:pt>
                <c:pt idx="9">
                  <c:v>1458.909090909091</c:v>
                </c:pt>
                <c:pt idx="10">
                  <c:v>1535.8461538461538</c:v>
                </c:pt>
                <c:pt idx="11">
                  <c:v>1695.4666666666667</c:v>
                </c:pt>
                <c:pt idx="12">
                  <c:v>1946.3076923076924</c:v>
                </c:pt>
                <c:pt idx="13">
                  <c:v>1751.375</c:v>
                </c:pt>
                <c:pt idx="14">
                  <c:v>2428.6</c:v>
                </c:pt>
                <c:pt idx="15">
                  <c:v>1910.8</c:v>
                </c:pt>
                <c:pt idx="16">
                  <c:v>2754</c:v>
                </c:pt>
                <c:pt idx="17">
                  <c:v>1986.1538461538462</c:v>
                </c:pt>
                <c:pt idx="18">
                  <c:v>2848.4444444444443</c:v>
                </c:pt>
                <c:pt idx="19">
                  <c:v>2623.5555555555557</c:v>
                </c:pt>
                <c:pt idx="20">
                  <c:v>2323.3076923076924</c:v>
                </c:pt>
                <c:pt idx="21">
                  <c:v>2249.6666666666665</c:v>
                </c:pt>
                <c:pt idx="22">
                  <c:v>2743.4285714285716</c:v>
                </c:pt>
                <c:pt idx="23">
                  <c:v>2322.8333333333335</c:v>
                </c:pt>
                <c:pt idx="24">
                  <c:v>3046.1666666666665</c:v>
                </c:pt>
                <c:pt idx="25">
                  <c:v>2621.8333333333335</c:v>
                </c:pt>
                <c:pt idx="26">
                  <c:v>2769.3</c:v>
                </c:pt>
                <c:pt idx="27">
                  <c:v>2551.6363636363635</c:v>
                </c:pt>
                <c:pt idx="28">
                  <c:v>2255.0666666666666</c:v>
                </c:pt>
                <c:pt idx="29">
                  <c:v>1847.1304347826087</c:v>
                </c:pt>
                <c:pt idx="30">
                  <c:v>2178.3157894736842</c:v>
                </c:pt>
                <c:pt idx="31">
                  <c:v>2190.7777777777778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67328"/>
        <c:axId val="42877312"/>
      </c:barChart>
      <c:catAx>
        <c:axId val="4286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7312"/>
        <c:crosses val="autoZero"/>
        <c:auto val="1"/>
        <c:lblAlgn val="ctr"/>
        <c:lblOffset val="100"/>
        <c:noMultiLvlLbl val="0"/>
      </c:catAx>
      <c:valAx>
        <c:axId val="42877312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Cost per Ship (US$m)</a:t>
            </a:r>
          </a:p>
        </c:rich>
      </c:tx>
      <c:layout>
        <c:manualLayout>
          <c:xMode val="edge"/>
          <c:yMode val="edge"/>
          <c:x val="0.33166666666666672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6573367782152226E-2"/>
          <c:y val="8.6342592592592582E-2"/>
          <c:w val="0.92300996555118109"/>
          <c:h val="0.78655912802566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5422223589238848"/>
                  <c:y val="-5.44973024205307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'Ship Trends'!$P$12:$P$43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cat>
          <c:val>
            <c:numRef>
              <c:f>'Ship Trends'!$T$12:$T$43</c:f>
              <c:numCache>
                <c:formatCode>#,##0_);\(#,##0\)</c:formatCode>
                <c:ptCount val="32"/>
                <c:pt idx="0">
                  <c:v>144.88124999999999</c:v>
                </c:pt>
                <c:pt idx="1">
                  <c:v>175.24038157127384</c:v>
                </c:pt>
                <c:pt idx="2">
                  <c:v>191.71428571428572</c:v>
                </c:pt>
                <c:pt idx="3">
                  <c:v>242</c:v>
                </c:pt>
                <c:pt idx="4">
                  <c:v>198.33333333333334</c:v>
                </c:pt>
                <c:pt idx="5">
                  <c:v>287.5</c:v>
                </c:pt>
                <c:pt idx="6">
                  <c:v>320.55555555555554</c:v>
                </c:pt>
                <c:pt idx="7">
                  <c:v>288.33333333333331</c:v>
                </c:pt>
                <c:pt idx="8">
                  <c:v>295</c:v>
                </c:pt>
                <c:pt idx="9">
                  <c:v>334.8</c:v>
                </c:pt>
                <c:pt idx="10">
                  <c:v>288.84615384615387</c:v>
                </c:pt>
                <c:pt idx="11">
                  <c:v>301.66666666666669</c:v>
                </c:pt>
                <c:pt idx="12">
                  <c:v>396.36363636363637</c:v>
                </c:pt>
                <c:pt idx="13">
                  <c:v>415.07142857142856</c:v>
                </c:pt>
                <c:pt idx="14">
                  <c:v>383.5</c:v>
                </c:pt>
                <c:pt idx="15">
                  <c:v>435</c:v>
                </c:pt>
                <c:pt idx="16">
                  <c:v>512</c:v>
                </c:pt>
                <c:pt idx="17">
                  <c:v>451.81818181818181</c:v>
                </c:pt>
                <c:pt idx="18">
                  <c:v>531.11111111111109</c:v>
                </c:pt>
                <c:pt idx="19">
                  <c:v>605.74</c:v>
                </c:pt>
                <c:pt idx="20">
                  <c:v>610</c:v>
                </c:pt>
                <c:pt idx="21">
                  <c:v>525</c:v>
                </c:pt>
                <c:pt idx="22">
                  <c:v>628.57142857142856</c:v>
                </c:pt>
                <c:pt idx="23">
                  <c:v>510.66666666666669</c:v>
                </c:pt>
                <c:pt idx="24">
                  <c:v>760</c:v>
                </c:pt>
                <c:pt idx="25">
                  <c:v>602.16666666666663</c:v>
                </c:pt>
                <c:pt idx="26">
                  <c:v>687.8</c:v>
                </c:pt>
                <c:pt idx="27">
                  <c:v>619.90909090909088</c:v>
                </c:pt>
                <c:pt idx="28">
                  <c:v>562.33333333333337</c:v>
                </c:pt>
                <c:pt idx="29">
                  <c:v>439.13043478260869</c:v>
                </c:pt>
                <c:pt idx="30">
                  <c:v>534.10526315789468</c:v>
                </c:pt>
                <c:pt idx="31">
                  <c:v>578.55555555555554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27"/>
        <c:axId val="42914560"/>
        <c:axId val="42916096"/>
      </c:barChart>
      <c:catAx>
        <c:axId val="4291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16096"/>
        <c:crosses val="autoZero"/>
        <c:auto val="1"/>
        <c:lblAlgn val="ctr"/>
        <c:lblOffset val="100"/>
        <c:noMultiLvlLbl val="0"/>
      </c:catAx>
      <c:valAx>
        <c:axId val="42916096"/>
        <c:scaling>
          <c:orientation val="minMax"/>
        </c:scaling>
        <c:delete val="0"/>
        <c:axPos val="l"/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1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Average</a:t>
            </a:r>
            <a:r>
              <a:rPr lang="en-US" sz="1200" b="1" baseline="0">
                <a:solidFill>
                  <a:schemeClr val="tx1"/>
                </a:solidFill>
              </a:rPr>
              <a:t> Number of Berths</a:t>
            </a:r>
            <a:endParaRPr lang="en-US" sz="12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3947916666666672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210732447506563E-2"/>
          <c:y val="8.6342592592592582E-2"/>
          <c:w val="0.88966350885826773"/>
          <c:h val="0.78655912802566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5422223589238848"/>
                  <c:y val="-5.44973024205307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'Ship Trends'!$P$12:$P$43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cat>
          <c:val>
            <c:numRef>
              <c:f>'Ship Trends'!$S$12:$S$43</c:f>
              <c:numCache>
                <c:formatCode>#,##0_);\(#,##0\)</c:formatCode>
                <c:ptCount val="32"/>
                <c:pt idx="0">
                  <c:v>1118.125</c:v>
                </c:pt>
                <c:pt idx="1">
                  <c:v>873.3</c:v>
                </c:pt>
                <c:pt idx="2">
                  <c:v>873.4</c:v>
                </c:pt>
                <c:pt idx="3">
                  <c:v>1306.7142857142858</c:v>
                </c:pt>
                <c:pt idx="4">
                  <c:v>1060</c:v>
                </c:pt>
                <c:pt idx="5">
                  <c:v>1267.4285714285713</c:v>
                </c:pt>
                <c:pt idx="6">
                  <c:v>1678.4545454545455</c:v>
                </c:pt>
                <c:pt idx="7">
                  <c:v>1364.625</c:v>
                </c:pt>
                <c:pt idx="8">
                  <c:v>1642.8</c:v>
                </c:pt>
                <c:pt idx="9">
                  <c:v>1458.909090909091</c:v>
                </c:pt>
                <c:pt idx="10">
                  <c:v>1535.8461538461538</c:v>
                </c:pt>
                <c:pt idx="11">
                  <c:v>1695.4666666666667</c:v>
                </c:pt>
                <c:pt idx="12">
                  <c:v>1946.3076923076924</c:v>
                </c:pt>
                <c:pt idx="13">
                  <c:v>1751.375</c:v>
                </c:pt>
                <c:pt idx="14">
                  <c:v>2428.6</c:v>
                </c:pt>
                <c:pt idx="15">
                  <c:v>1910.8</c:v>
                </c:pt>
                <c:pt idx="16">
                  <c:v>2754</c:v>
                </c:pt>
                <c:pt idx="17">
                  <c:v>1986.1538461538462</c:v>
                </c:pt>
                <c:pt idx="18">
                  <c:v>2848.4444444444443</c:v>
                </c:pt>
                <c:pt idx="19">
                  <c:v>2623.5555555555557</c:v>
                </c:pt>
                <c:pt idx="20">
                  <c:v>2323.3076923076924</c:v>
                </c:pt>
                <c:pt idx="21">
                  <c:v>2249.6666666666665</c:v>
                </c:pt>
                <c:pt idx="22">
                  <c:v>2743.4285714285716</c:v>
                </c:pt>
                <c:pt idx="23">
                  <c:v>2322.8333333333335</c:v>
                </c:pt>
                <c:pt idx="24">
                  <c:v>3046.1666666666665</c:v>
                </c:pt>
                <c:pt idx="25">
                  <c:v>2621.8333333333335</c:v>
                </c:pt>
                <c:pt idx="26">
                  <c:v>2769.3</c:v>
                </c:pt>
                <c:pt idx="27">
                  <c:v>2551.6363636363635</c:v>
                </c:pt>
                <c:pt idx="28">
                  <c:v>2255.0666666666666</c:v>
                </c:pt>
                <c:pt idx="29">
                  <c:v>1847.1304347826087</c:v>
                </c:pt>
                <c:pt idx="30">
                  <c:v>2178.3157894736842</c:v>
                </c:pt>
                <c:pt idx="31">
                  <c:v>2190.7777777777778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27"/>
        <c:axId val="42936960"/>
        <c:axId val="42938752"/>
      </c:barChart>
      <c:catAx>
        <c:axId val="4293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38752"/>
        <c:crosses val="autoZero"/>
        <c:auto val="1"/>
        <c:lblAlgn val="ctr"/>
        <c:lblOffset val="100"/>
        <c:noMultiLvlLbl val="0"/>
      </c:catAx>
      <c:valAx>
        <c:axId val="42938752"/>
        <c:scaling>
          <c:orientation val="minMax"/>
        </c:scaling>
        <c:delete val="0"/>
        <c:axPos val="l"/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3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Average</a:t>
            </a:r>
            <a:r>
              <a:rPr lang="en-US" sz="1200" b="1" baseline="0">
                <a:solidFill>
                  <a:schemeClr val="tx1"/>
                </a:solidFill>
              </a:rPr>
              <a:t> Cost per Berth in Thousands of 2016 USD</a:t>
            </a:r>
            <a:endParaRPr lang="en-US" sz="12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6760416666666669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210732447506563E-2"/>
          <c:y val="8.6342592592592582E-2"/>
          <c:w val="0.88966350885826773"/>
          <c:h val="0.78655912802566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3648047900262463"/>
                  <c:y val="-0.25202172645086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'Ship Trends'!$P$12:$P$43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cat>
          <c:val>
            <c:numRef>
              <c:f>'Ship Trends'!$W$12:$W$43</c:f>
              <c:numCache>
                <c:formatCode>#,##0_);\(#,##0\)</c:formatCode>
                <c:ptCount val="32"/>
                <c:pt idx="0">
                  <c:v>360</c:v>
                </c:pt>
                <c:pt idx="1">
                  <c:v>536.25</c:v>
                </c:pt>
                <c:pt idx="2">
                  <c:v>338.57142857142856</c:v>
                </c:pt>
                <c:pt idx="3">
                  <c:v>270</c:v>
                </c:pt>
                <c:pt idx="4">
                  <c:v>393.33333333333331</c:v>
                </c:pt>
                <c:pt idx="5">
                  <c:v>370</c:v>
                </c:pt>
                <c:pt idx="6">
                  <c:v>261.11111111111109</c:v>
                </c:pt>
                <c:pt idx="7">
                  <c:v>345</c:v>
                </c:pt>
                <c:pt idx="8">
                  <c:v>257.77777777777777</c:v>
                </c:pt>
                <c:pt idx="9">
                  <c:v>372</c:v>
                </c:pt>
                <c:pt idx="10">
                  <c:v>322.30769230769232</c:v>
                </c:pt>
                <c:pt idx="11">
                  <c:v>303.33333333333331</c:v>
                </c:pt>
                <c:pt idx="12">
                  <c:v>270.90909090909093</c:v>
                </c:pt>
                <c:pt idx="13">
                  <c:v>377.85714285714283</c:v>
                </c:pt>
                <c:pt idx="14">
                  <c:v>207</c:v>
                </c:pt>
                <c:pt idx="15">
                  <c:v>251.54515323237396</c:v>
                </c:pt>
                <c:pt idx="16">
                  <c:v>228</c:v>
                </c:pt>
                <c:pt idx="17">
                  <c:v>234.54545454545453</c:v>
                </c:pt>
                <c:pt idx="18">
                  <c:v>224.44444444444446</c:v>
                </c:pt>
                <c:pt idx="19">
                  <c:v>326.66666666666669</c:v>
                </c:pt>
                <c:pt idx="20">
                  <c:v>387.69230769230768</c:v>
                </c:pt>
                <c:pt idx="21">
                  <c:v>326.66666666666669</c:v>
                </c:pt>
                <c:pt idx="22">
                  <c:v>270</c:v>
                </c:pt>
                <c:pt idx="23">
                  <c:v>375</c:v>
                </c:pt>
                <c:pt idx="24">
                  <c:v>226</c:v>
                </c:pt>
                <c:pt idx="25">
                  <c:v>328.33333333333331</c:v>
                </c:pt>
                <c:pt idx="26">
                  <c:v>311</c:v>
                </c:pt>
                <c:pt idx="27">
                  <c:v>358.18181818181819</c:v>
                </c:pt>
                <c:pt idx="28">
                  <c:v>420.66666666666669</c:v>
                </c:pt>
                <c:pt idx="29">
                  <c:v>406.95652173913044</c:v>
                </c:pt>
                <c:pt idx="30">
                  <c:v>446.84210526315792</c:v>
                </c:pt>
                <c:pt idx="31">
                  <c:v>450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27"/>
        <c:axId val="42988288"/>
        <c:axId val="42989824"/>
      </c:barChart>
      <c:catAx>
        <c:axId val="4298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9824"/>
        <c:crosses val="autoZero"/>
        <c:auto val="1"/>
        <c:lblAlgn val="ctr"/>
        <c:lblOffset val="100"/>
        <c:noMultiLvlLbl val="0"/>
      </c:catAx>
      <c:valAx>
        <c:axId val="42989824"/>
        <c:scaling>
          <c:orientation val="minMax"/>
        </c:scaling>
        <c:delete val="0"/>
        <c:axPos val="l"/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Passengers</a:t>
            </a:r>
            <a:r>
              <a:rPr lang="en-US" sz="1200" b="1" baseline="0">
                <a:solidFill>
                  <a:schemeClr val="tx1"/>
                </a:solidFill>
              </a:rPr>
              <a:t> per unit of space</a:t>
            </a:r>
            <a:endParaRPr lang="en-US" sz="12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3166666666666672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6573367782152226E-2"/>
          <c:y val="8.6342592592592582E-2"/>
          <c:w val="0.92300996555118109"/>
          <c:h val="0.78655912802566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'Ship Trends'!$P$12:$P$43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cat>
          <c:val>
            <c:numRef>
              <c:f>'Ship Trends'!$R$12:$R$43</c:f>
              <c:numCache>
                <c:formatCode>#,##0.0_);\(#,##0.0\)</c:formatCode>
                <c:ptCount val="32"/>
                <c:pt idx="0">
                  <c:v>34.75</c:v>
                </c:pt>
                <c:pt idx="1">
                  <c:v>33.9</c:v>
                </c:pt>
                <c:pt idx="2">
                  <c:v>27</c:v>
                </c:pt>
                <c:pt idx="3">
                  <c:v>30.142857142857142</c:v>
                </c:pt>
                <c:pt idx="4">
                  <c:v>34</c:v>
                </c:pt>
                <c:pt idx="5">
                  <c:v>35.571428571428569</c:v>
                </c:pt>
                <c:pt idx="6">
                  <c:v>32.090909090909093</c:v>
                </c:pt>
                <c:pt idx="7">
                  <c:v>37.25</c:v>
                </c:pt>
                <c:pt idx="8">
                  <c:v>33.510882352941181</c:v>
                </c:pt>
                <c:pt idx="9">
                  <c:v>38.545454545454547</c:v>
                </c:pt>
                <c:pt idx="10">
                  <c:v>35.566383136094672</c:v>
                </c:pt>
                <c:pt idx="11">
                  <c:v>37.200000000000003</c:v>
                </c:pt>
                <c:pt idx="12">
                  <c:v>32.307692307692307</c:v>
                </c:pt>
                <c:pt idx="13">
                  <c:v>37.25</c:v>
                </c:pt>
                <c:pt idx="14">
                  <c:v>31.3</c:v>
                </c:pt>
                <c:pt idx="15">
                  <c:v>32.200000000000003</c:v>
                </c:pt>
                <c:pt idx="16">
                  <c:v>32.200000000000003</c:v>
                </c:pt>
                <c:pt idx="17">
                  <c:v>33.53846153846154</c:v>
                </c:pt>
                <c:pt idx="18">
                  <c:v>33</c:v>
                </c:pt>
                <c:pt idx="19">
                  <c:v>39.111111111111114</c:v>
                </c:pt>
                <c:pt idx="20">
                  <c:v>38.92307692307692</c:v>
                </c:pt>
                <c:pt idx="21">
                  <c:v>39.166666666666664</c:v>
                </c:pt>
                <c:pt idx="22">
                  <c:v>34.857142857142854</c:v>
                </c:pt>
                <c:pt idx="23">
                  <c:v>43.166666666666664</c:v>
                </c:pt>
                <c:pt idx="24">
                  <c:v>33.666666666666664</c:v>
                </c:pt>
                <c:pt idx="25">
                  <c:v>41</c:v>
                </c:pt>
                <c:pt idx="26">
                  <c:v>43.6</c:v>
                </c:pt>
                <c:pt idx="27">
                  <c:v>39.81818181818182</c:v>
                </c:pt>
                <c:pt idx="28">
                  <c:v>40.926544898940541</c:v>
                </c:pt>
                <c:pt idx="29">
                  <c:v>46.667486852452406</c:v>
                </c:pt>
                <c:pt idx="30">
                  <c:v>51.125546718031323</c:v>
                </c:pt>
                <c:pt idx="31">
                  <c:v>56.881944816337437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27"/>
        <c:axId val="43014784"/>
        <c:axId val="43045248"/>
      </c:barChart>
      <c:catAx>
        <c:axId val="4301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45248"/>
        <c:crosses val="autoZero"/>
        <c:auto val="1"/>
        <c:lblAlgn val="ctr"/>
        <c:lblOffset val="100"/>
        <c:noMultiLvlLbl val="0"/>
      </c:catAx>
      <c:valAx>
        <c:axId val="43045248"/>
        <c:scaling>
          <c:orientation val="minMax"/>
        </c:scaling>
        <c:delete val="0"/>
        <c:axPos val="l"/>
        <c:numFmt formatCode="#,##0.0_);\(#,##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1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Age Distribution of North American Cruise Travellers (2014)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'China 2'!$B$117:$B$122</c:f>
              <c:strCache>
                <c:ptCount val="6"/>
                <c:pt idx="0">
                  <c:v>25-29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60-74</c:v>
                </c:pt>
                <c:pt idx="5">
                  <c:v>75+</c:v>
                </c:pt>
              </c:strCache>
            </c:strRef>
          </c:cat>
          <c:val>
            <c:numRef>
              <c:f>'China 2'!$C$117:$C$122</c:f>
              <c:numCache>
                <c:formatCode>0%</c:formatCode>
                <c:ptCount val="6"/>
                <c:pt idx="0">
                  <c:v>0.08</c:v>
                </c:pt>
                <c:pt idx="1">
                  <c:v>0.23</c:v>
                </c:pt>
                <c:pt idx="2">
                  <c:v>0.17</c:v>
                </c:pt>
                <c:pt idx="3">
                  <c:v>0.24</c:v>
                </c:pt>
                <c:pt idx="4">
                  <c:v>0.24</c:v>
                </c:pt>
                <c:pt idx="5">
                  <c:v>0.04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7"/>
        <c:axId val="53588736"/>
        <c:axId val="53590272"/>
      </c:barChart>
      <c:catAx>
        <c:axId val="5358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90272"/>
        <c:crosses val="autoZero"/>
        <c:auto val="1"/>
        <c:lblAlgn val="ctr"/>
        <c:lblOffset val="100"/>
        <c:noMultiLvlLbl val="0"/>
      </c:catAx>
      <c:valAx>
        <c:axId val="53590272"/>
        <c:scaling>
          <c:orientation val="minMax"/>
          <c:max val="0.25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New Cruise</a:t>
            </a:r>
            <a:r>
              <a:rPr lang="en-US" sz="1600" b="1" baseline="0">
                <a:solidFill>
                  <a:schemeClr val="tx1"/>
                </a:solidFill>
              </a:rPr>
              <a:t> Ship Berths 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baseline="0">
                <a:solidFill>
                  <a:schemeClr val="tx1"/>
                </a:solidFill>
              </a:rPr>
              <a:t>Includes CCL, RCL, NCLH, Genting HK, TUI, Virgin, Disney</a:t>
            </a:r>
            <a:endParaRPr lang="en-US" sz="1400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'New Ship Q'!$BW$2:$FF$2</c:f>
              <c:numCache>
                <c:formatCode>mmm\-yy</c:formatCode>
                <c:ptCount val="88"/>
                <c:pt idx="0">
                  <c:v>38077</c:v>
                </c:pt>
                <c:pt idx="1">
                  <c:v>38168</c:v>
                </c:pt>
                <c:pt idx="2">
                  <c:v>38260</c:v>
                </c:pt>
                <c:pt idx="3">
                  <c:v>38352</c:v>
                </c:pt>
                <c:pt idx="4">
                  <c:v>38442</c:v>
                </c:pt>
                <c:pt idx="5">
                  <c:v>38533</c:v>
                </c:pt>
                <c:pt idx="6">
                  <c:v>38625</c:v>
                </c:pt>
                <c:pt idx="7">
                  <c:v>38717</c:v>
                </c:pt>
                <c:pt idx="8">
                  <c:v>38807</c:v>
                </c:pt>
                <c:pt idx="9">
                  <c:v>38898</c:v>
                </c:pt>
                <c:pt idx="10">
                  <c:v>38990</c:v>
                </c:pt>
                <c:pt idx="11">
                  <c:v>39082</c:v>
                </c:pt>
                <c:pt idx="12">
                  <c:v>39172</c:v>
                </c:pt>
                <c:pt idx="13">
                  <c:v>39263</c:v>
                </c:pt>
                <c:pt idx="14">
                  <c:v>39355</c:v>
                </c:pt>
                <c:pt idx="15">
                  <c:v>39447</c:v>
                </c:pt>
                <c:pt idx="16">
                  <c:v>39538</c:v>
                </c:pt>
                <c:pt idx="17">
                  <c:v>39629</c:v>
                </c:pt>
                <c:pt idx="18">
                  <c:v>39721</c:v>
                </c:pt>
                <c:pt idx="19">
                  <c:v>39813</c:v>
                </c:pt>
                <c:pt idx="20">
                  <c:v>39903</c:v>
                </c:pt>
                <c:pt idx="21">
                  <c:v>39994</c:v>
                </c:pt>
                <c:pt idx="22">
                  <c:v>40086</c:v>
                </c:pt>
                <c:pt idx="23">
                  <c:v>40178</c:v>
                </c:pt>
                <c:pt idx="24">
                  <c:v>40268</c:v>
                </c:pt>
                <c:pt idx="25">
                  <c:v>40359</c:v>
                </c:pt>
                <c:pt idx="26">
                  <c:v>40451</c:v>
                </c:pt>
                <c:pt idx="27">
                  <c:v>40543</c:v>
                </c:pt>
                <c:pt idx="28">
                  <c:v>40633</c:v>
                </c:pt>
                <c:pt idx="29">
                  <c:v>40724</c:v>
                </c:pt>
                <c:pt idx="30">
                  <c:v>40816</c:v>
                </c:pt>
                <c:pt idx="31">
                  <c:v>40908</c:v>
                </c:pt>
                <c:pt idx="32">
                  <c:v>40999</c:v>
                </c:pt>
                <c:pt idx="33">
                  <c:v>41090</c:v>
                </c:pt>
                <c:pt idx="34">
                  <c:v>41182</c:v>
                </c:pt>
                <c:pt idx="35">
                  <c:v>41274</c:v>
                </c:pt>
                <c:pt idx="36">
                  <c:v>41364</c:v>
                </c:pt>
                <c:pt idx="37">
                  <c:v>41455</c:v>
                </c:pt>
                <c:pt idx="38">
                  <c:v>41547</c:v>
                </c:pt>
                <c:pt idx="39">
                  <c:v>41639</c:v>
                </c:pt>
                <c:pt idx="40">
                  <c:v>41729</c:v>
                </c:pt>
                <c:pt idx="41">
                  <c:v>41820</c:v>
                </c:pt>
                <c:pt idx="42">
                  <c:v>41912</c:v>
                </c:pt>
                <c:pt idx="43">
                  <c:v>42004</c:v>
                </c:pt>
                <c:pt idx="44">
                  <c:v>42094</c:v>
                </c:pt>
                <c:pt idx="45">
                  <c:v>42185</c:v>
                </c:pt>
                <c:pt idx="46">
                  <c:v>42277</c:v>
                </c:pt>
                <c:pt idx="47">
                  <c:v>42369</c:v>
                </c:pt>
                <c:pt idx="48">
                  <c:v>42460</c:v>
                </c:pt>
                <c:pt idx="49">
                  <c:v>42551</c:v>
                </c:pt>
                <c:pt idx="50">
                  <c:v>42643</c:v>
                </c:pt>
                <c:pt idx="51">
                  <c:v>42735</c:v>
                </c:pt>
                <c:pt idx="52">
                  <c:v>42825</c:v>
                </c:pt>
                <c:pt idx="53">
                  <c:v>42916</c:v>
                </c:pt>
                <c:pt idx="54">
                  <c:v>43008</c:v>
                </c:pt>
                <c:pt idx="55">
                  <c:v>43100</c:v>
                </c:pt>
                <c:pt idx="56">
                  <c:v>43190</c:v>
                </c:pt>
                <c:pt idx="57">
                  <c:v>43281</c:v>
                </c:pt>
                <c:pt idx="58">
                  <c:v>43373</c:v>
                </c:pt>
                <c:pt idx="59">
                  <c:v>43465</c:v>
                </c:pt>
                <c:pt idx="60">
                  <c:v>43555</c:v>
                </c:pt>
                <c:pt idx="61">
                  <c:v>43646</c:v>
                </c:pt>
                <c:pt idx="62">
                  <c:v>43738</c:v>
                </c:pt>
                <c:pt idx="63">
                  <c:v>43830</c:v>
                </c:pt>
                <c:pt idx="64">
                  <c:v>43921</c:v>
                </c:pt>
                <c:pt idx="65">
                  <c:v>44012</c:v>
                </c:pt>
                <c:pt idx="66">
                  <c:v>44104</c:v>
                </c:pt>
                <c:pt idx="67">
                  <c:v>44196</c:v>
                </c:pt>
                <c:pt idx="68">
                  <c:v>44286</c:v>
                </c:pt>
                <c:pt idx="69">
                  <c:v>44377</c:v>
                </c:pt>
                <c:pt idx="70">
                  <c:v>44469</c:v>
                </c:pt>
                <c:pt idx="71">
                  <c:v>44561</c:v>
                </c:pt>
                <c:pt idx="72">
                  <c:v>44651</c:v>
                </c:pt>
                <c:pt idx="73">
                  <c:v>44742</c:v>
                </c:pt>
                <c:pt idx="74">
                  <c:v>44834</c:v>
                </c:pt>
                <c:pt idx="75">
                  <c:v>44926</c:v>
                </c:pt>
                <c:pt idx="76">
                  <c:v>45016</c:v>
                </c:pt>
                <c:pt idx="77">
                  <c:v>45107</c:v>
                </c:pt>
                <c:pt idx="78">
                  <c:v>45199</c:v>
                </c:pt>
                <c:pt idx="79">
                  <c:v>45291</c:v>
                </c:pt>
                <c:pt idx="80">
                  <c:v>45382</c:v>
                </c:pt>
                <c:pt idx="81">
                  <c:v>45473</c:v>
                </c:pt>
                <c:pt idx="82">
                  <c:v>45565</c:v>
                </c:pt>
                <c:pt idx="83">
                  <c:v>45657</c:v>
                </c:pt>
                <c:pt idx="84">
                  <c:v>45747</c:v>
                </c:pt>
                <c:pt idx="85">
                  <c:v>45838</c:v>
                </c:pt>
                <c:pt idx="86">
                  <c:v>45930</c:v>
                </c:pt>
                <c:pt idx="87">
                  <c:v>46022</c:v>
                </c:pt>
              </c:numCache>
            </c:numRef>
          </c:cat>
          <c:val>
            <c:numRef>
              <c:f>'New Ship Q'!$BW$4:$FF$4</c:f>
              <c:numCache>
                <c:formatCode>#,##0_);\(#,##0\)</c:formatCode>
                <c:ptCount val="88"/>
                <c:pt idx="0">
                  <c:v>19600</c:v>
                </c:pt>
                <c:pt idx="1">
                  <c:v>31446</c:v>
                </c:pt>
                <c:pt idx="2">
                  <c:v>25084</c:v>
                </c:pt>
                <c:pt idx="3">
                  <c:v>24686</c:v>
                </c:pt>
                <c:pt idx="4">
                  <c:v>20190</c:v>
                </c:pt>
                <c:pt idx="5">
                  <c:v>10292</c:v>
                </c:pt>
                <c:pt idx="6">
                  <c:v>15146</c:v>
                </c:pt>
                <c:pt idx="7">
                  <c:v>12444</c:v>
                </c:pt>
                <c:pt idx="8">
                  <c:v>13796</c:v>
                </c:pt>
                <c:pt idx="9">
                  <c:v>15448</c:v>
                </c:pt>
                <c:pt idx="10">
                  <c:v>16528</c:v>
                </c:pt>
                <c:pt idx="11">
                  <c:v>16478</c:v>
                </c:pt>
                <c:pt idx="12">
                  <c:v>14552</c:v>
                </c:pt>
                <c:pt idx="13">
                  <c:v>26126</c:v>
                </c:pt>
                <c:pt idx="14">
                  <c:v>17568</c:v>
                </c:pt>
                <c:pt idx="15">
                  <c:v>19962</c:v>
                </c:pt>
                <c:pt idx="16">
                  <c:v>19584</c:v>
                </c:pt>
                <c:pt idx="17">
                  <c:v>10024</c:v>
                </c:pt>
                <c:pt idx="18">
                  <c:v>10024</c:v>
                </c:pt>
                <c:pt idx="19">
                  <c:v>22382</c:v>
                </c:pt>
                <c:pt idx="20">
                  <c:v>20402</c:v>
                </c:pt>
                <c:pt idx="21">
                  <c:v>21930</c:v>
                </c:pt>
                <c:pt idx="22">
                  <c:v>35846</c:v>
                </c:pt>
                <c:pt idx="23">
                  <c:v>30136</c:v>
                </c:pt>
                <c:pt idx="24">
                  <c:v>36996</c:v>
                </c:pt>
                <c:pt idx="25">
                  <c:v>35768</c:v>
                </c:pt>
                <c:pt idx="26">
                  <c:v>28636</c:v>
                </c:pt>
                <c:pt idx="27">
                  <c:v>27086</c:v>
                </c:pt>
                <c:pt idx="28">
                  <c:v>20226</c:v>
                </c:pt>
                <c:pt idx="29">
                  <c:v>20160</c:v>
                </c:pt>
                <c:pt idx="30">
                  <c:v>19660</c:v>
                </c:pt>
                <c:pt idx="31">
                  <c:v>12168</c:v>
                </c:pt>
                <c:pt idx="32">
                  <c:v>12168</c:v>
                </c:pt>
                <c:pt idx="33">
                  <c:v>14736</c:v>
                </c:pt>
                <c:pt idx="34">
                  <c:v>12142</c:v>
                </c:pt>
                <c:pt idx="35">
                  <c:v>15142</c:v>
                </c:pt>
                <c:pt idx="36">
                  <c:v>18416</c:v>
                </c:pt>
                <c:pt idx="37">
                  <c:v>16115</c:v>
                </c:pt>
                <c:pt idx="38">
                  <c:v>15985</c:v>
                </c:pt>
                <c:pt idx="39">
                  <c:v>12985</c:v>
                </c:pt>
                <c:pt idx="40">
                  <c:v>13668</c:v>
                </c:pt>
                <c:pt idx="41">
                  <c:v>13577</c:v>
                </c:pt>
                <c:pt idx="42">
                  <c:v>10017</c:v>
                </c:pt>
                <c:pt idx="43">
                  <c:v>17889</c:v>
                </c:pt>
                <c:pt idx="44">
                  <c:v>13932</c:v>
                </c:pt>
                <c:pt idx="45">
                  <c:v>18167</c:v>
                </c:pt>
                <c:pt idx="46">
                  <c:v>18167</c:v>
                </c:pt>
                <c:pt idx="47">
                  <c:v>14561</c:v>
                </c:pt>
                <c:pt idx="48">
                  <c:v>14511</c:v>
                </c:pt>
                <c:pt idx="49">
                  <c:v>24292</c:v>
                </c:pt>
                <c:pt idx="50">
                  <c:v>27546</c:v>
                </c:pt>
                <c:pt idx="51">
                  <c:v>26632</c:v>
                </c:pt>
                <c:pt idx="52">
                  <c:v>26632</c:v>
                </c:pt>
                <c:pt idx="53">
                  <c:v>13594</c:v>
                </c:pt>
                <c:pt idx="54">
                  <c:v>21386</c:v>
                </c:pt>
                <c:pt idx="55">
                  <c:v>25520</c:v>
                </c:pt>
                <c:pt idx="56">
                  <c:v>25520</c:v>
                </c:pt>
                <c:pt idx="57">
                  <c:v>35574</c:v>
                </c:pt>
                <c:pt idx="58">
                  <c:v>25376</c:v>
                </c:pt>
                <c:pt idx="59">
                  <c:v>29142</c:v>
                </c:pt>
                <c:pt idx="60">
                  <c:v>45480</c:v>
                </c:pt>
                <c:pt idx="61">
                  <c:v>35488</c:v>
                </c:pt>
                <c:pt idx="62">
                  <c:v>31288</c:v>
                </c:pt>
                <c:pt idx="63">
                  <c:v>40236</c:v>
                </c:pt>
                <c:pt idx="64">
                  <c:v>28098</c:v>
                </c:pt>
                <c:pt idx="65">
                  <c:v>29148</c:v>
                </c:pt>
                <c:pt idx="66">
                  <c:v>42774</c:v>
                </c:pt>
                <c:pt idx="67">
                  <c:v>38836</c:v>
                </c:pt>
                <c:pt idx="68">
                  <c:v>45086</c:v>
                </c:pt>
                <c:pt idx="69">
                  <c:v>44886</c:v>
                </c:pt>
                <c:pt idx="70">
                  <c:v>41760</c:v>
                </c:pt>
                <c:pt idx="71">
                  <c:v>28850</c:v>
                </c:pt>
                <c:pt idx="72">
                  <c:v>24700</c:v>
                </c:pt>
                <c:pt idx="73">
                  <c:v>27650</c:v>
                </c:pt>
                <c:pt idx="74">
                  <c:v>25350</c:v>
                </c:pt>
                <c:pt idx="75">
                  <c:v>28250</c:v>
                </c:pt>
                <c:pt idx="76">
                  <c:v>25250</c:v>
                </c:pt>
                <c:pt idx="77">
                  <c:v>14400</c:v>
                </c:pt>
                <c:pt idx="78">
                  <c:v>8700</c:v>
                </c:pt>
                <c:pt idx="79">
                  <c:v>5800</c:v>
                </c:pt>
                <c:pt idx="80">
                  <c:v>5800</c:v>
                </c:pt>
                <c:pt idx="81">
                  <c:v>11450</c:v>
                </c:pt>
                <c:pt idx="82">
                  <c:v>14350</c:v>
                </c:pt>
                <c:pt idx="83">
                  <c:v>14350</c:v>
                </c:pt>
                <c:pt idx="84">
                  <c:v>14350</c:v>
                </c:pt>
                <c:pt idx="85">
                  <c:v>8700</c:v>
                </c:pt>
                <c:pt idx="86">
                  <c:v>8700</c:v>
                </c:pt>
                <c:pt idx="87">
                  <c:v>8700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27"/>
        <c:axId val="91271552"/>
        <c:axId val="91273088"/>
      </c:barChart>
      <c:catAx>
        <c:axId val="9127155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73088"/>
        <c:crosses val="autoZero"/>
        <c:auto val="0"/>
        <c:lblAlgn val="ctr"/>
        <c:lblOffset val="100"/>
        <c:noMultiLvlLbl val="0"/>
      </c:catAx>
      <c:valAx>
        <c:axId val="91273088"/>
        <c:scaling>
          <c:orientation val="minMax"/>
        </c:scaling>
        <c:delete val="0"/>
        <c:axPos val="l"/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7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Income Distribution of North American Cruisers (2014)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'China 2'!$B$137:$B$143</c:f>
              <c:strCache>
                <c:ptCount val="7"/>
                <c:pt idx="0">
                  <c:v>$40-49k</c:v>
                </c:pt>
                <c:pt idx="1">
                  <c:v>$50-59k</c:v>
                </c:pt>
                <c:pt idx="2">
                  <c:v>$60-69k</c:v>
                </c:pt>
                <c:pt idx="3">
                  <c:v>$70-99k</c:v>
                </c:pt>
                <c:pt idx="4">
                  <c:v>$100-199k</c:v>
                </c:pt>
                <c:pt idx="5">
                  <c:v>$200-300k</c:v>
                </c:pt>
                <c:pt idx="6">
                  <c:v>$300k +</c:v>
                </c:pt>
              </c:strCache>
            </c:strRef>
          </c:cat>
          <c:val>
            <c:numRef>
              <c:f>'China 2'!$C$137:$C$143</c:f>
              <c:numCache>
                <c:formatCode>0%</c:formatCode>
                <c:ptCount val="7"/>
                <c:pt idx="0">
                  <c:v>0.05</c:v>
                </c:pt>
                <c:pt idx="1">
                  <c:v>0.06</c:v>
                </c:pt>
                <c:pt idx="2">
                  <c:v>0.28000000000000003</c:v>
                </c:pt>
                <c:pt idx="3">
                  <c:v>0.19</c:v>
                </c:pt>
                <c:pt idx="4">
                  <c:v>0.33</c:v>
                </c:pt>
                <c:pt idx="5">
                  <c:v>7.0000000000000007E-2</c:v>
                </c:pt>
                <c:pt idx="6">
                  <c:v>0.02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7"/>
        <c:axId val="55937664"/>
        <c:axId val="55947648"/>
      </c:barChart>
      <c:catAx>
        <c:axId val="5593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47648"/>
        <c:crosses val="autoZero"/>
        <c:auto val="1"/>
        <c:lblAlgn val="ctr"/>
        <c:lblOffset val="100"/>
        <c:noMultiLvlLbl val="0"/>
      </c:catAx>
      <c:valAx>
        <c:axId val="55947648"/>
        <c:scaling>
          <c:orientation val="minMax"/>
          <c:max val="0.35000000000000003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Employment Status of North American Cruiser</a:t>
            </a:r>
            <a:r>
              <a:rPr lang="en-US" sz="1200" b="1" baseline="0">
                <a:solidFill>
                  <a:schemeClr val="tx1"/>
                </a:solidFill>
              </a:rPr>
              <a:t>s </a:t>
            </a:r>
            <a:r>
              <a:rPr lang="en-US" sz="1200" b="1">
                <a:solidFill>
                  <a:schemeClr val="tx1"/>
                </a:solidFill>
              </a:rPr>
              <a:t>(2014)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'China 2'!$B$158:$B$160</c:f>
              <c:strCache>
                <c:ptCount val="3"/>
                <c:pt idx="0">
                  <c:v>Employed</c:v>
                </c:pt>
                <c:pt idx="1">
                  <c:v>Retired</c:v>
                </c:pt>
                <c:pt idx="2">
                  <c:v>Not Employed</c:v>
                </c:pt>
              </c:strCache>
            </c:strRef>
          </c:cat>
          <c:val>
            <c:numRef>
              <c:f>'China 2'!$C$158:$C$160</c:f>
              <c:numCache>
                <c:formatCode>0%</c:formatCode>
                <c:ptCount val="3"/>
                <c:pt idx="0">
                  <c:v>0.72</c:v>
                </c:pt>
                <c:pt idx="1">
                  <c:v>0.21</c:v>
                </c:pt>
                <c:pt idx="2">
                  <c:v>7.0000000000000007E-2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7"/>
        <c:axId val="55968896"/>
        <c:axId val="55970432"/>
      </c:barChart>
      <c:catAx>
        <c:axId val="5596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0432"/>
        <c:crosses val="autoZero"/>
        <c:auto val="1"/>
        <c:lblAlgn val="ctr"/>
        <c:lblOffset val="100"/>
        <c:noMultiLvlLbl val="0"/>
      </c:catAx>
      <c:valAx>
        <c:axId val="5597043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Length of North American Cruise</a:t>
            </a:r>
            <a:r>
              <a:rPr lang="en-US" sz="1200" b="1" baseline="0">
                <a:solidFill>
                  <a:schemeClr val="tx1"/>
                </a:solidFill>
              </a:rPr>
              <a:t> Trip </a:t>
            </a:r>
            <a:r>
              <a:rPr lang="en-US" sz="1200" b="1">
                <a:solidFill>
                  <a:schemeClr val="tx1"/>
                </a:solidFill>
              </a:rPr>
              <a:t>(2014)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'China 2'!$B$178:$B$181</c:f>
              <c:strCache>
                <c:ptCount val="4"/>
                <c:pt idx="0">
                  <c:v>3-5 days</c:v>
                </c:pt>
                <c:pt idx="1">
                  <c:v>6-8 days</c:v>
                </c:pt>
                <c:pt idx="2">
                  <c:v>9-15 days</c:v>
                </c:pt>
                <c:pt idx="3">
                  <c:v>16+ days</c:v>
                </c:pt>
              </c:strCache>
            </c:strRef>
          </c:cat>
          <c:val>
            <c:numRef>
              <c:f>'China 2'!$C$178:$C$181</c:f>
              <c:numCache>
                <c:formatCode>0%</c:formatCode>
                <c:ptCount val="4"/>
                <c:pt idx="0">
                  <c:v>0.28000000000000003</c:v>
                </c:pt>
                <c:pt idx="1">
                  <c:v>0.53</c:v>
                </c:pt>
                <c:pt idx="2">
                  <c:v>0.16</c:v>
                </c:pt>
                <c:pt idx="3">
                  <c:v>0.03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7"/>
        <c:axId val="56016896"/>
        <c:axId val="56018432"/>
      </c:barChart>
      <c:catAx>
        <c:axId val="5601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8432"/>
        <c:crosses val="autoZero"/>
        <c:auto val="1"/>
        <c:lblAlgn val="ctr"/>
        <c:lblOffset val="100"/>
        <c:noMultiLvlLbl val="0"/>
      </c:catAx>
      <c:valAx>
        <c:axId val="5601843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Cruise Trip Companion (2014)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'China 2'!$B$199:$B$210</c:f>
              <c:strCache>
                <c:ptCount val="12"/>
                <c:pt idx="0">
                  <c:v>Spouse</c:v>
                </c:pt>
                <c:pt idx="1">
                  <c:v>Partner</c:v>
                </c:pt>
                <c:pt idx="2">
                  <c:v>Child Under 18</c:v>
                </c:pt>
                <c:pt idx="3">
                  <c:v>Adult Child</c:v>
                </c:pt>
                <c:pt idx="4">
                  <c:v>Other Family</c:v>
                </c:pt>
                <c:pt idx="5">
                  <c:v>Friends</c:v>
                </c:pt>
                <c:pt idx="6">
                  <c:v>Members of Group</c:v>
                </c:pt>
                <c:pt idx="8">
                  <c:v>Child Under 2</c:v>
                </c:pt>
                <c:pt idx="9">
                  <c:v>Child 2-5</c:v>
                </c:pt>
                <c:pt idx="10">
                  <c:v>Child 6-12</c:v>
                </c:pt>
                <c:pt idx="11">
                  <c:v>Child 13-17</c:v>
                </c:pt>
              </c:strCache>
            </c:strRef>
          </c:cat>
          <c:val>
            <c:numRef>
              <c:f>'China 2'!$C$199:$C$210</c:f>
              <c:numCache>
                <c:formatCode>0%</c:formatCode>
                <c:ptCount val="12"/>
                <c:pt idx="0">
                  <c:v>0.8</c:v>
                </c:pt>
                <c:pt idx="1">
                  <c:v>7.0000000000000007E-2</c:v>
                </c:pt>
                <c:pt idx="2">
                  <c:v>0.27</c:v>
                </c:pt>
                <c:pt idx="3">
                  <c:v>0.1</c:v>
                </c:pt>
                <c:pt idx="4">
                  <c:v>0.19</c:v>
                </c:pt>
                <c:pt idx="5">
                  <c:v>0.17</c:v>
                </c:pt>
                <c:pt idx="6">
                  <c:v>0.01</c:v>
                </c:pt>
                <c:pt idx="8">
                  <c:v>0.04</c:v>
                </c:pt>
                <c:pt idx="9">
                  <c:v>0.09</c:v>
                </c:pt>
                <c:pt idx="10">
                  <c:v>0.16</c:v>
                </c:pt>
                <c:pt idx="11">
                  <c:v>0.13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7"/>
        <c:axId val="56120832"/>
        <c:axId val="56122368"/>
      </c:barChart>
      <c:catAx>
        <c:axId val="5612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22368"/>
        <c:crosses val="autoZero"/>
        <c:auto val="1"/>
        <c:lblAlgn val="ctr"/>
        <c:lblOffset val="100"/>
        <c:noMultiLvlLbl val="0"/>
      </c:catAx>
      <c:valAx>
        <c:axId val="5612236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2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Length of North American Cruise</a:t>
            </a:r>
            <a:r>
              <a:rPr lang="en-US" sz="1200" b="1" baseline="0">
                <a:solidFill>
                  <a:schemeClr val="tx1"/>
                </a:solidFill>
              </a:rPr>
              <a:t> Trip </a:t>
            </a:r>
            <a:r>
              <a:rPr lang="en-US" sz="1200" b="1">
                <a:solidFill>
                  <a:schemeClr val="tx1"/>
                </a:solidFill>
              </a:rPr>
              <a:t>(2014)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'China 2'!$B$220:$B$221</c:f>
              <c:strCache>
                <c:ptCount val="2"/>
                <c:pt idx="0">
                  <c:v>Taken Multiple Cruises</c:v>
                </c:pt>
                <c:pt idx="1">
                  <c:v>First Cruise</c:v>
                </c:pt>
              </c:strCache>
            </c:strRef>
          </c:cat>
          <c:val>
            <c:numRef>
              <c:f>'China 2'!$C$220:$C$221</c:f>
              <c:numCache>
                <c:formatCode>0%</c:formatCode>
                <c:ptCount val="2"/>
                <c:pt idx="0">
                  <c:v>0.62</c:v>
                </c:pt>
                <c:pt idx="1">
                  <c:v>0.38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7"/>
        <c:axId val="56234368"/>
        <c:axId val="56235904"/>
      </c:barChart>
      <c:catAx>
        <c:axId val="5623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5904"/>
        <c:crosses val="autoZero"/>
        <c:auto val="1"/>
        <c:lblAlgn val="ctr"/>
        <c:lblOffset val="100"/>
        <c:noMultiLvlLbl val="0"/>
      </c:catAx>
      <c:valAx>
        <c:axId val="5623590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Travel Party</a:t>
            </a:r>
            <a:r>
              <a:rPr lang="en-US" sz="1200" b="1" baseline="0">
                <a:solidFill>
                  <a:schemeClr val="tx1"/>
                </a:solidFill>
              </a:rPr>
              <a:t> Size on North American Cruises </a:t>
            </a:r>
            <a:r>
              <a:rPr lang="en-US" sz="1200" b="1">
                <a:solidFill>
                  <a:schemeClr val="tx1"/>
                </a:solidFill>
              </a:rPr>
              <a:t>(2014)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'China 2'!$B$241:$B$245</c:f>
              <c:strCache>
                <c:ptCount val="5"/>
                <c:pt idx="0">
                  <c:v>1 Person</c:v>
                </c:pt>
                <c:pt idx="1">
                  <c:v>2 People</c:v>
                </c:pt>
                <c:pt idx="2">
                  <c:v>3 People</c:v>
                </c:pt>
                <c:pt idx="3">
                  <c:v>4 People</c:v>
                </c:pt>
                <c:pt idx="4">
                  <c:v>Over 5 People</c:v>
                </c:pt>
              </c:strCache>
            </c:strRef>
          </c:cat>
          <c:val>
            <c:numRef>
              <c:f>'China 2'!$C$241:$C$245</c:f>
              <c:numCache>
                <c:formatCode>0%</c:formatCode>
                <c:ptCount val="5"/>
                <c:pt idx="0">
                  <c:v>0.02</c:v>
                </c:pt>
                <c:pt idx="1">
                  <c:v>0.5</c:v>
                </c:pt>
                <c:pt idx="2">
                  <c:v>0.11</c:v>
                </c:pt>
                <c:pt idx="3">
                  <c:v>0.14000000000000001</c:v>
                </c:pt>
                <c:pt idx="4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7"/>
        <c:axId val="56510336"/>
        <c:axId val="56511872"/>
      </c:barChart>
      <c:catAx>
        <c:axId val="5651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11872"/>
        <c:crosses val="autoZero"/>
        <c:auto val="1"/>
        <c:lblAlgn val="ctr"/>
        <c:lblOffset val="100"/>
        <c:noMultiLvlLbl val="0"/>
      </c:catAx>
      <c:valAx>
        <c:axId val="5651187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1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Total Trip Spending </a:t>
            </a:r>
            <a:r>
              <a:rPr lang="en-US" sz="1200" b="1" baseline="0">
                <a:solidFill>
                  <a:schemeClr val="tx1"/>
                </a:solidFill>
              </a:rPr>
              <a:t>on North American Cruises </a:t>
            </a:r>
            <a:r>
              <a:rPr lang="en-US" sz="1200" b="1">
                <a:solidFill>
                  <a:schemeClr val="tx1"/>
                </a:solidFill>
              </a:rPr>
              <a:t>(2014)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'China 2'!$B$262:$B$269</c:f>
              <c:strCache>
                <c:ptCount val="8"/>
                <c:pt idx="0">
                  <c:v>&lt;$500</c:v>
                </c:pt>
                <c:pt idx="1">
                  <c:v>$500-999</c:v>
                </c:pt>
                <c:pt idx="2">
                  <c:v>$1,000-1,499</c:v>
                </c:pt>
                <c:pt idx="3">
                  <c:v>$1,500-1,999</c:v>
                </c:pt>
                <c:pt idx="4">
                  <c:v>$2,000-2,999</c:v>
                </c:pt>
                <c:pt idx="5">
                  <c:v>$3,000-3,999</c:v>
                </c:pt>
                <c:pt idx="6">
                  <c:v>$4,000-4,999</c:v>
                </c:pt>
                <c:pt idx="7">
                  <c:v>$5,000 +</c:v>
                </c:pt>
              </c:strCache>
            </c:strRef>
          </c:cat>
          <c:val>
            <c:numRef>
              <c:f>'China 2'!$C$262:$C$269</c:f>
              <c:numCache>
                <c:formatCode>0%</c:formatCode>
                <c:ptCount val="8"/>
                <c:pt idx="0">
                  <c:v>0.08</c:v>
                </c:pt>
                <c:pt idx="1">
                  <c:v>0.19</c:v>
                </c:pt>
                <c:pt idx="2">
                  <c:v>0.18</c:v>
                </c:pt>
                <c:pt idx="3">
                  <c:v>0.13</c:v>
                </c:pt>
                <c:pt idx="4">
                  <c:v>0.18</c:v>
                </c:pt>
                <c:pt idx="5">
                  <c:v>0.11</c:v>
                </c:pt>
                <c:pt idx="6">
                  <c:v>7.0000000000000007E-2</c:v>
                </c:pt>
                <c:pt idx="7">
                  <c:v>0.06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7"/>
        <c:axId val="56540544"/>
        <c:axId val="56554624"/>
      </c:barChart>
      <c:catAx>
        <c:axId val="5654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54624"/>
        <c:crosses val="autoZero"/>
        <c:auto val="1"/>
        <c:lblAlgn val="ctr"/>
        <c:lblOffset val="100"/>
        <c:noMultiLvlLbl val="0"/>
      </c:catAx>
      <c:valAx>
        <c:axId val="5655462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4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Appeal of Ship Size to </a:t>
            </a:r>
            <a:r>
              <a:rPr lang="en-US" sz="1200" b="1" baseline="0">
                <a:solidFill>
                  <a:schemeClr val="tx1"/>
                </a:solidFill>
              </a:rPr>
              <a:t>North American Cruisers </a:t>
            </a:r>
            <a:r>
              <a:rPr lang="en-US" sz="1200" b="1">
                <a:solidFill>
                  <a:schemeClr val="tx1"/>
                </a:solidFill>
              </a:rPr>
              <a:t>(2014)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'China 2'!$B$292:$B$296</c:f>
              <c:strCache>
                <c:ptCount val="5"/>
                <c:pt idx="0">
                  <c:v>Very Large</c:v>
                </c:pt>
                <c:pt idx="1">
                  <c:v>Large</c:v>
                </c:pt>
                <c:pt idx="2">
                  <c:v>Medium</c:v>
                </c:pt>
                <c:pt idx="3">
                  <c:v>Small</c:v>
                </c:pt>
                <c:pt idx="4">
                  <c:v>Intermediate / Yacht</c:v>
                </c:pt>
              </c:strCache>
            </c:strRef>
          </c:cat>
          <c:val>
            <c:numRef>
              <c:f>'China 2'!$C$292:$C$296</c:f>
              <c:numCache>
                <c:formatCode>0%</c:formatCode>
                <c:ptCount val="5"/>
                <c:pt idx="0">
                  <c:v>0.37</c:v>
                </c:pt>
                <c:pt idx="1">
                  <c:v>0.64</c:v>
                </c:pt>
                <c:pt idx="2">
                  <c:v>0.43</c:v>
                </c:pt>
                <c:pt idx="3">
                  <c:v>0.17</c:v>
                </c:pt>
                <c:pt idx="4">
                  <c:v>0.12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7"/>
        <c:axId val="87716992"/>
        <c:axId val="87718528"/>
      </c:barChart>
      <c:catAx>
        <c:axId val="8771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18528"/>
        <c:crosses val="autoZero"/>
        <c:auto val="1"/>
        <c:lblAlgn val="ctr"/>
        <c:lblOffset val="100"/>
        <c:noMultiLvlLbl val="0"/>
      </c:catAx>
      <c:valAx>
        <c:axId val="8771852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1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Appeal of Onboard Atmosphere</a:t>
            </a:r>
            <a:r>
              <a:rPr lang="en-US" sz="1200" b="1" baseline="0">
                <a:solidFill>
                  <a:schemeClr val="tx1"/>
                </a:solidFill>
              </a:rPr>
              <a:t> </a:t>
            </a:r>
            <a:r>
              <a:rPr lang="en-US" sz="1200" b="1">
                <a:solidFill>
                  <a:schemeClr val="tx1"/>
                </a:solidFill>
              </a:rPr>
              <a:t>to </a:t>
            </a:r>
            <a:r>
              <a:rPr lang="en-US" sz="1200" b="1" baseline="0">
                <a:solidFill>
                  <a:schemeClr val="tx1"/>
                </a:solidFill>
              </a:rPr>
              <a:t>American Cruisers </a:t>
            </a:r>
            <a:r>
              <a:rPr lang="en-US" sz="1200" b="1">
                <a:solidFill>
                  <a:schemeClr val="tx1"/>
                </a:solidFill>
              </a:rPr>
              <a:t>(2014)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'China 2'!$B$313:$B$317</c:f>
              <c:strCache>
                <c:ptCount val="5"/>
                <c:pt idx="0">
                  <c:v>Formal</c:v>
                </c:pt>
                <c:pt idx="1">
                  <c:v>Country Club</c:v>
                </c:pt>
                <c:pt idx="2">
                  <c:v>Casual Elegance</c:v>
                </c:pt>
                <c:pt idx="3">
                  <c:v>Casual</c:v>
                </c:pt>
                <c:pt idx="4">
                  <c:v>Laid-back</c:v>
                </c:pt>
              </c:strCache>
            </c:strRef>
          </c:cat>
          <c:val>
            <c:numRef>
              <c:f>'China 2'!$C$313:$C$317</c:f>
              <c:numCache>
                <c:formatCode>0%</c:formatCode>
                <c:ptCount val="5"/>
                <c:pt idx="0">
                  <c:v>0.2</c:v>
                </c:pt>
                <c:pt idx="1">
                  <c:v>0.33</c:v>
                </c:pt>
                <c:pt idx="2">
                  <c:v>0.7</c:v>
                </c:pt>
                <c:pt idx="3">
                  <c:v>0.65</c:v>
                </c:pt>
                <c:pt idx="4">
                  <c:v>0.47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7"/>
        <c:axId val="87796352"/>
        <c:axId val="87802240"/>
      </c:barChart>
      <c:catAx>
        <c:axId val="8779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02240"/>
        <c:crosses val="autoZero"/>
        <c:auto val="1"/>
        <c:lblAlgn val="ctr"/>
        <c:lblOffset val="100"/>
        <c:noMultiLvlLbl val="0"/>
      </c:catAx>
      <c:valAx>
        <c:axId val="8780224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9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Planning &amp; Booking Horizon for </a:t>
            </a:r>
            <a:r>
              <a:rPr lang="en-US" sz="1200" b="1" baseline="0">
                <a:solidFill>
                  <a:schemeClr val="tx1"/>
                </a:solidFill>
              </a:rPr>
              <a:t>American Cruisers </a:t>
            </a:r>
            <a:r>
              <a:rPr lang="en-US" sz="1200" b="1">
                <a:solidFill>
                  <a:schemeClr val="tx1"/>
                </a:solidFill>
              </a:rPr>
              <a:t>(2014)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'China 2'!$B$335:$B$339</c:f>
              <c:strCache>
                <c:ptCount val="5"/>
                <c:pt idx="0">
                  <c:v>Under 1 month</c:v>
                </c:pt>
                <c:pt idx="1">
                  <c:v>1-3 months</c:v>
                </c:pt>
                <c:pt idx="2">
                  <c:v>4-6 months</c:v>
                </c:pt>
                <c:pt idx="3">
                  <c:v>7-12 months</c:v>
                </c:pt>
                <c:pt idx="4">
                  <c:v>1-2 years</c:v>
                </c:pt>
              </c:strCache>
            </c:strRef>
          </c:cat>
          <c:val>
            <c:numRef>
              <c:f>'China 2'!$C$335:$C$339</c:f>
              <c:numCache>
                <c:formatCode>0%</c:formatCode>
                <c:ptCount val="5"/>
                <c:pt idx="0">
                  <c:v>0.08</c:v>
                </c:pt>
                <c:pt idx="1">
                  <c:v>0.25</c:v>
                </c:pt>
                <c:pt idx="2">
                  <c:v>0.38</c:v>
                </c:pt>
                <c:pt idx="3">
                  <c:v>0.25</c:v>
                </c:pt>
                <c:pt idx="4">
                  <c:v>0.04</c:v>
                </c:pt>
              </c:numCache>
            </c:numRef>
          </c:val>
        </c:ser>
        <c:ser>
          <c:idx val="1"/>
          <c:order val="1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'China 2'!$B$335:$B$339</c:f>
              <c:strCache>
                <c:ptCount val="5"/>
                <c:pt idx="0">
                  <c:v>Under 1 month</c:v>
                </c:pt>
                <c:pt idx="1">
                  <c:v>1-3 months</c:v>
                </c:pt>
                <c:pt idx="2">
                  <c:v>4-6 months</c:v>
                </c:pt>
                <c:pt idx="3">
                  <c:v>7-12 months</c:v>
                </c:pt>
                <c:pt idx="4">
                  <c:v>1-2 years</c:v>
                </c:pt>
              </c:strCache>
            </c:strRef>
          </c:cat>
          <c:val>
            <c:numRef>
              <c:f>'China 2'!$D$335:$D$339</c:f>
              <c:numCache>
                <c:formatCode>0%</c:formatCode>
                <c:ptCount val="5"/>
                <c:pt idx="0">
                  <c:v>0.11</c:v>
                </c:pt>
                <c:pt idx="1">
                  <c:v>0.34</c:v>
                </c:pt>
                <c:pt idx="2">
                  <c:v>0.37</c:v>
                </c:pt>
                <c:pt idx="3">
                  <c:v>0.15</c:v>
                </c:pt>
                <c:pt idx="4">
                  <c:v>0.03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88352256"/>
        <c:axId val="88353792"/>
      </c:barChart>
      <c:catAx>
        <c:axId val="8835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53792"/>
        <c:crosses val="autoZero"/>
        <c:auto val="1"/>
        <c:lblAlgn val="ctr"/>
        <c:lblOffset val="100"/>
        <c:noMultiLvlLbl val="0"/>
      </c:catAx>
      <c:valAx>
        <c:axId val="8835379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5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New Cruise</a:t>
            </a:r>
            <a:r>
              <a:rPr lang="en-US" sz="1600" b="1" baseline="0">
                <a:solidFill>
                  <a:schemeClr val="tx1"/>
                </a:solidFill>
              </a:rPr>
              <a:t> Ship Berths 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baseline="0">
                <a:solidFill>
                  <a:schemeClr val="tx1"/>
                </a:solidFill>
              </a:rPr>
              <a:t>CCL, RCL, NCLH,  MSC, GENHK, TUI, Virgin, Disney</a:t>
            </a:r>
            <a:endParaRPr lang="en-US" sz="1400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8848017682000278E-2"/>
          <c:y val="0.14949171809636588"/>
          <c:w val="0.92129807984528245"/>
          <c:h val="0.7314671174933878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'New Ship Q'!$BW$2:$ET$2</c:f>
              <c:numCache>
                <c:formatCode>mmm\-yy</c:formatCode>
                <c:ptCount val="76"/>
                <c:pt idx="0">
                  <c:v>38077</c:v>
                </c:pt>
                <c:pt idx="1">
                  <c:v>38168</c:v>
                </c:pt>
                <c:pt idx="2">
                  <c:v>38260</c:v>
                </c:pt>
                <c:pt idx="3">
                  <c:v>38352</c:v>
                </c:pt>
                <c:pt idx="4">
                  <c:v>38442</c:v>
                </c:pt>
                <c:pt idx="5">
                  <c:v>38533</c:v>
                </c:pt>
                <c:pt idx="6">
                  <c:v>38625</c:v>
                </c:pt>
                <c:pt idx="7">
                  <c:v>38717</c:v>
                </c:pt>
                <c:pt idx="8">
                  <c:v>38807</c:v>
                </c:pt>
                <c:pt idx="9">
                  <c:v>38898</c:v>
                </c:pt>
                <c:pt idx="10">
                  <c:v>38990</c:v>
                </c:pt>
                <c:pt idx="11">
                  <c:v>39082</c:v>
                </c:pt>
                <c:pt idx="12">
                  <c:v>39172</c:v>
                </c:pt>
                <c:pt idx="13">
                  <c:v>39263</c:v>
                </c:pt>
                <c:pt idx="14">
                  <c:v>39355</c:v>
                </c:pt>
                <c:pt idx="15">
                  <c:v>39447</c:v>
                </c:pt>
                <c:pt idx="16">
                  <c:v>39538</c:v>
                </c:pt>
                <c:pt idx="17">
                  <c:v>39629</c:v>
                </c:pt>
                <c:pt idx="18">
                  <c:v>39721</c:v>
                </c:pt>
                <c:pt idx="19">
                  <c:v>39813</c:v>
                </c:pt>
                <c:pt idx="20">
                  <c:v>39903</c:v>
                </c:pt>
                <c:pt idx="21">
                  <c:v>39994</c:v>
                </c:pt>
                <c:pt idx="22">
                  <c:v>40086</c:v>
                </c:pt>
                <c:pt idx="23">
                  <c:v>40178</c:v>
                </c:pt>
                <c:pt idx="24">
                  <c:v>40268</c:v>
                </c:pt>
                <c:pt idx="25">
                  <c:v>40359</c:v>
                </c:pt>
                <c:pt idx="26">
                  <c:v>40451</c:v>
                </c:pt>
                <c:pt idx="27">
                  <c:v>40543</c:v>
                </c:pt>
                <c:pt idx="28">
                  <c:v>40633</c:v>
                </c:pt>
                <c:pt idx="29">
                  <c:v>40724</c:v>
                </c:pt>
                <c:pt idx="30">
                  <c:v>40816</c:v>
                </c:pt>
                <c:pt idx="31">
                  <c:v>40908</c:v>
                </c:pt>
                <c:pt idx="32">
                  <c:v>40999</c:v>
                </c:pt>
                <c:pt idx="33">
                  <c:v>41090</c:v>
                </c:pt>
                <c:pt idx="34">
                  <c:v>41182</c:v>
                </c:pt>
                <c:pt idx="35">
                  <c:v>41274</c:v>
                </c:pt>
                <c:pt idx="36">
                  <c:v>41364</c:v>
                </c:pt>
                <c:pt idx="37">
                  <c:v>41455</c:v>
                </c:pt>
                <c:pt idx="38">
                  <c:v>41547</c:v>
                </c:pt>
                <c:pt idx="39">
                  <c:v>41639</c:v>
                </c:pt>
                <c:pt idx="40">
                  <c:v>41729</c:v>
                </c:pt>
                <c:pt idx="41">
                  <c:v>41820</c:v>
                </c:pt>
                <c:pt idx="42">
                  <c:v>41912</c:v>
                </c:pt>
                <c:pt idx="43">
                  <c:v>42004</c:v>
                </c:pt>
                <c:pt idx="44">
                  <c:v>42094</c:v>
                </c:pt>
                <c:pt idx="45">
                  <c:v>42185</c:v>
                </c:pt>
                <c:pt idx="46">
                  <c:v>42277</c:v>
                </c:pt>
                <c:pt idx="47">
                  <c:v>42369</c:v>
                </c:pt>
                <c:pt idx="48">
                  <c:v>42460</c:v>
                </c:pt>
                <c:pt idx="49">
                  <c:v>42551</c:v>
                </c:pt>
                <c:pt idx="50">
                  <c:v>42643</c:v>
                </c:pt>
                <c:pt idx="51">
                  <c:v>42735</c:v>
                </c:pt>
                <c:pt idx="52">
                  <c:v>42825</c:v>
                </c:pt>
                <c:pt idx="53">
                  <c:v>42916</c:v>
                </c:pt>
                <c:pt idx="54">
                  <c:v>43008</c:v>
                </c:pt>
                <c:pt idx="55">
                  <c:v>43100</c:v>
                </c:pt>
                <c:pt idx="56">
                  <c:v>43190</c:v>
                </c:pt>
                <c:pt idx="57">
                  <c:v>43281</c:v>
                </c:pt>
                <c:pt idx="58">
                  <c:v>43373</c:v>
                </c:pt>
                <c:pt idx="59">
                  <c:v>43465</c:v>
                </c:pt>
                <c:pt idx="60">
                  <c:v>43555</c:v>
                </c:pt>
                <c:pt idx="61">
                  <c:v>43646</c:v>
                </c:pt>
                <c:pt idx="62">
                  <c:v>43738</c:v>
                </c:pt>
                <c:pt idx="63">
                  <c:v>43830</c:v>
                </c:pt>
                <c:pt idx="64">
                  <c:v>43921</c:v>
                </c:pt>
                <c:pt idx="65">
                  <c:v>44012</c:v>
                </c:pt>
                <c:pt idx="66">
                  <c:v>44104</c:v>
                </c:pt>
                <c:pt idx="67">
                  <c:v>44196</c:v>
                </c:pt>
                <c:pt idx="68">
                  <c:v>44286</c:v>
                </c:pt>
                <c:pt idx="69">
                  <c:v>44377</c:v>
                </c:pt>
                <c:pt idx="70">
                  <c:v>44469</c:v>
                </c:pt>
                <c:pt idx="71">
                  <c:v>44561</c:v>
                </c:pt>
                <c:pt idx="72">
                  <c:v>44651</c:v>
                </c:pt>
                <c:pt idx="73">
                  <c:v>44742</c:v>
                </c:pt>
                <c:pt idx="74">
                  <c:v>44834</c:v>
                </c:pt>
                <c:pt idx="75">
                  <c:v>44926</c:v>
                </c:pt>
              </c:numCache>
            </c:numRef>
          </c:cat>
          <c:val>
            <c:numRef>
              <c:f>'New Ship Q'!$BW$4:$ET$4</c:f>
              <c:numCache>
                <c:formatCode>#,##0_);\(#,##0\)</c:formatCode>
                <c:ptCount val="76"/>
                <c:pt idx="0">
                  <c:v>19600</c:v>
                </c:pt>
                <c:pt idx="1">
                  <c:v>31446</c:v>
                </c:pt>
                <c:pt idx="2">
                  <c:v>25084</c:v>
                </c:pt>
                <c:pt idx="3">
                  <c:v>24686</c:v>
                </c:pt>
                <c:pt idx="4">
                  <c:v>20190</c:v>
                </c:pt>
                <c:pt idx="5">
                  <c:v>10292</c:v>
                </c:pt>
                <c:pt idx="6">
                  <c:v>15146</c:v>
                </c:pt>
                <c:pt idx="7">
                  <c:v>12444</c:v>
                </c:pt>
                <c:pt idx="8">
                  <c:v>13796</c:v>
                </c:pt>
                <c:pt idx="9">
                  <c:v>15448</c:v>
                </c:pt>
                <c:pt idx="10">
                  <c:v>16528</c:v>
                </c:pt>
                <c:pt idx="11">
                  <c:v>16478</c:v>
                </c:pt>
                <c:pt idx="12">
                  <c:v>14552</c:v>
                </c:pt>
                <c:pt idx="13">
                  <c:v>26126</c:v>
                </c:pt>
                <c:pt idx="14">
                  <c:v>17568</c:v>
                </c:pt>
                <c:pt idx="15">
                  <c:v>19962</c:v>
                </c:pt>
                <c:pt idx="16">
                  <c:v>19584</c:v>
                </c:pt>
                <c:pt idx="17">
                  <c:v>10024</c:v>
                </c:pt>
                <c:pt idx="18">
                  <c:v>10024</c:v>
                </c:pt>
                <c:pt idx="19">
                  <c:v>22382</c:v>
                </c:pt>
                <c:pt idx="20">
                  <c:v>20402</c:v>
                </c:pt>
                <c:pt idx="21">
                  <c:v>21930</c:v>
                </c:pt>
                <c:pt idx="22">
                  <c:v>35846</c:v>
                </c:pt>
                <c:pt idx="23">
                  <c:v>30136</c:v>
                </c:pt>
                <c:pt idx="24">
                  <c:v>36996</c:v>
                </c:pt>
                <c:pt idx="25">
                  <c:v>35768</c:v>
                </c:pt>
                <c:pt idx="26">
                  <c:v>28636</c:v>
                </c:pt>
                <c:pt idx="27">
                  <c:v>27086</c:v>
                </c:pt>
                <c:pt idx="28">
                  <c:v>20226</c:v>
                </c:pt>
                <c:pt idx="29">
                  <c:v>20160</c:v>
                </c:pt>
                <c:pt idx="30">
                  <c:v>19660</c:v>
                </c:pt>
                <c:pt idx="31">
                  <c:v>12168</c:v>
                </c:pt>
                <c:pt idx="32">
                  <c:v>12168</c:v>
                </c:pt>
                <c:pt idx="33">
                  <c:v>14736</c:v>
                </c:pt>
                <c:pt idx="34">
                  <c:v>12142</c:v>
                </c:pt>
                <c:pt idx="35">
                  <c:v>15142</c:v>
                </c:pt>
                <c:pt idx="36">
                  <c:v>18416</c:v>
                </c:pt>
                <c:pt idx="37">
                  <c:v>16115</c:v>
                </c:pt>
                <c:pt idx="38">
                  <c:v>15985</c:v>
                </c:pt>
                <c:pt idx="39">
                  <c:v>12985</c:v>
                </c:pt>
                <c:pt idx="40">
                  <c:v>13668</c:v>
                </c:pt>
                <c:pt idx="41">
                  <c:v>13577</c:v>
                </c:pt>
                <c:pt idx="42">
                  <c:v>10017</c:v>
                </c:pt>
                <c:pt idx="43">
                  <c:v>17889</c:v>
                </c:pt>
                <c:pt idx="44">
                  <c:v>13932</c:v>
                </c:pt>
                <c:pt idx="45">
                  <c:v>18167</c:v>
                </c:pt>
                <c:pt idx="46">
                  <c:v>18167</c:v>
                </c:pt>
                <c:pt idx="47">
                  <c:v>14561</c:v>
                </c:pt>
                <c:pt idx="48">
                  <c:v>14511</c:v>
                </c:pt>
                <c:pt idx="49">
                  <c:v>24292</c:v>
                </c:pt>
                <c:pt idx="50">
                  <c:v>27546</c:v>
                </c:pt>
                <c:pt idx="51">
                  <c:v>26632</c:v>
                </c:pt>
                <c:pt idx="52">
                  <c:v>26632</c:v>
                </c:pt>
                <c:pt idx="53">
                  <c:v>13594</c:v>
                </c:pt>
                <c:pt idx="54">
                  <c:v>21386</c:v>
                </c:pt>
                <c:pt idx="55">
                  <c:v>25520</c:v>
                </c:pt>
                <c:pt idx="56">
                  <c:v>25520</c:v>
                </c:pt>
                <c:pt idx="57">
                  <c:v>35574</c:v>
                </c:pt>
                <c:pt idx="58">
                  <c:v>25376</c:v>
                </c:pt>
                <c:pt idx="59">
                  <c:v>29142</c:v>
                </c:pt>
                <c:pt idx="60">
                  <c:v>45480</c:v>
                </c:pt>
                <c:pt idx="61">
                  <c:v>35488</c:v>
                </c:pt>
                <c:pt idx="62">
                  <c:v>31288</c:v>
                </c:pt>
                <c:pt idx="63">
                  <c:v>40236</c:v>
                </c:pt>
                <c:pt idx="64">
                  <c:v>28098</c:v>
                </c:pt>
                <c:pt idx="65">
                  <c:v>29148</c:v>
                </c:pt>
                <c:pt idx="66">
                  <c:v>42774</c:v>
                </c:pt>
                <c:pt idx="67">
                  <c:v>38836</c:v>
                </c:pt>
                <c:pt idx="68">
                  <c:v>45086</c:v>
                </c:pt>
                <c:pt idx="69">
                  <c:v>44886</c:v>
                </c:pt>
                <c:pt idx="70">
                  <c:v>41760</c:v>
                </c:pt>
                <c:pt idx="71">
                  <c:v>28850</c:v>
                </c:pt>
                <c:pt idx="72">
                  <c:v>24700</c:v>
                </c:pt>
                <c:pt idx="73">
                  <c:v>27650</c:v>
                </c:pt>
                <c:pt idx="74">
                  <c:v>25350</c:v>
                </c:pt>
                <c:pt idx="75">
                  <c:v>28250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27"/>
        <c:axId val="93630848"/>
        <c:axId val="93632384"/>
      </c:barChart>
      <c:catAx>
        <c:axId val="9363084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32384"/>
        <c:crosses val="autoZero"/>
        <c:auto val="0"/>
        <c:lblAlgn val="ctr"/>
        <c:lblOffset val="100"/>
        <c:noMultiLvlLbl val="0"/>
      </c:catAx>
      <c:valAx>
        <c:axId val="93632384"/>
        <c:scaling>
          <c:orientation val="minMax"/>
        </c:scaling>
        <c:delete val="0"/>
        <c:axPos val="l"/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3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Factors Driving Cruise Selection for </a:t>
            </a:r>
            <a:r>
              <a:rPr lang="en-US" sz="1200" b="1" baseline="0">
                <a:solidFill>
                  <a:schemeClr val="tx1"/>
                </a:solidFill>
              </a:rPr>
              <a:t>American Cruisers </a:t>
            </a:r>
            <a:r>
              <a:rPr lang="en-US" sz="1200" b="1">
                <a:solidFill>
                  <a:schemeClr val="tx1"/>
                </a:solidFill>
              </a:rPr>
              <a:t>(2014)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'China 2'!$B$355:$B$359</c:f>
              <c:strCache>
                <c:ptCount val="5"/>
                <c:pt idx="0">
                  <c:v>Cost</c:v>
                </c:pt>
                <c:pt idx="1">
                  <c:v>Destination</c:v>
                </c:pt>
                <c:pt idx="2">
                  <c:v>Overall Experience</c:v>
                </c:pt>
                <c:pt idx="3">
                  <c:v>Property / Ship</c:v>
                </c:pt>
                <c:pt idx="4">
                  <c:v>Facilities</c:v>
                </c:pt>
              </c:strCache>
            </c:strRef>
          </c:cat>
          <c:val>
            <c:numRef>
              <c:f>'China 2'!$C$355:$C$359</c:f>
              <c:numCache>
                <c:formatCode>0%</c:formatCode>
                <c:ptCount val="5"/>
                <c:pt idx="0">
                  <c:v>0.28999999999999998</c:v>
                </c:pt>
                <c:pt idx="1">
                  <c:v>0.24</c:v>
                </c:pt>
                <c:pt idx="2">
                  <c:v>0.2</c:v>
                </c:pt>
                <c:pt idx="3">
                  <c:v>0.15</c:v>
                </c:pt>
                <c:pt idx="4">
                  <c:v>0.13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7"/>
        <c:axId val="88407040"/>
        <c:axId val="88408832"/>
      </c:barChart>
      <c:catAx>
        <c:axId val="8840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08832"/>
        <c:crosses val="autoZero"/>
        <c:auto val="1"/>
        <c:lblAlgn val="ctr"/>
        <c:lblOffset val="100"/>
        <c:noMultiLvlLbl val="0"/>
      </c:catAx>
      <c:valAx>
        <c:axId val="8840883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0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Importance of Amenities to North </a:t>
            </a:r>
            <a:r>
              <a:rPr lang="en-US" sz="1200" b="1" baseline="0">
                <a:solidFill>
                  <a:schemeClr val="tx1"/>
                </a:solidFill>
              </a:rPr>
              <a:t>American Cruisers </a:t>
            </a:r>
            <a:r>
              <a:rPr lang="en-US" sz="1200" b="1">
                <a:solidFill>
                  <a:schemeClr val="tx1"/>
                </a:solidFill>
              </a:rPr>
              <a:t>(2014)</a:t>
            </a:r>
          </a:p>
        </c:rich>
      </c:tx>
      <c:layout>
        <c:manualLayout>
          <c:xMode val="edge"/>
          <c:yMode val="edge"/>
          <c:x val="0.10546218832020998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532974491469816"/>
          <c:y val="0.10449826989619378"/>
          <c:w val="0.72644869586614169"/>
          <c:h val="0.8622917291047961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'China 2'!$B$376:$B$390</c:f>
              <c:strCache>
                <c:ptCount val="15"/>
                <c:pt idx="0">
                  <c:v>Babysitting services</c:v>
                </c:pt>
                <c:pt idx="1">
                  <c:v>Programs for child 13-17</c:v>
                </c:pt>
                <c:pt idx="2">
                  <c:v>Programs for child uner 13</c:v>
                </c:pt>
                <c:pt idx="3">
                  <c:v>Celebrity chef restaurants</c:v>
                </c:pt>
                <c:pt idx="4">
                  <c:v>Spa &amp; salon services</c:v>
                </c:pt>
                <c:pt idx="5">
                  <c:v>Sporting facilities</c:v>
                </c:pt>
                <c:pt idx="6">
                  <c:v>Specialty restaurants</c:v>
                </c:pt>
                <c:pt idx="7">
                  <c:v>Casino &amp; gaming</c:v>
                </c:pt>
                <c:pt idx="8">
                  <c:v>Health club &amp; gym</c:v>
                </c:pt>
                <c:pt idx="9">
                  <c:v>Adult only areas</c:v>
                </c:pt>
                <c:pt idx="10">
                  <c:v>Internet access</c:v>
                </c:pt>
                <c:pt idx="11">
                  <c:v>Onboard shopping &amp; duty free</c:v>
                </c:pt>
                <c:pt idx="12">
                  <c:v>Suite &amp; balcony cabins</c:v>
                </c:pt>
                <c:pt idx="13">
                  <c:v>Entertainment - well known</c:v>
                </c:pt>
                <c:pt idx="14">
                  <c:v>Entertainment - shows, revues</c:v>
                </c:pt>
              </c:strCache>
            </c:strRef>
          </c:cat>
          <c:val>
            <c:numRef>
              <c:f>'China 2'!$C$376:$C$390</c:f>
              <c:numCache>
                <c:formatCode>0%</c:formatCode>
                <c:ptCount val="15"/>
                <c:pt idx="0">
                  <c:v>0.2</c:v>
                </c:pt>
                <c:pt idx="1">
                  <c:v>0.24</c:v>
                </c:pt>
                <c:pt idx="2">
                  <c:v>0.28000000000000003</c:v>
                </c:pt>
                <c:pt idx="3">
                  <c:v>0.33</c:v>
                </c:pt>
                <c:pt idx="4">
                  <c:v>0.39</c:v>
                </c:pt>
                <c:pt idx="5">
                  <c:v>0.43</c:v>
                </c:pt>
                <c:pt idx="6">
                  <c:v>0.44</c:v>
                </c:pt>
                <c:pt idx="7">
                  <c:v>0.46</c:v>
                </c:pt>
                <c:pt idx="8">
                  <c:v>0.47</c:v>
                </c:pt>
                <c:pt idx="9">
                  <c:v>0.51</c:v>
                </c:pt>
                <c:pt idx="10">
                  <c:v>0.51</c:v>
                </c:pt>
                <c:pt idx="11">
                  <c:v>0.53</c:v>
                </c:pt>
                <c:pt idx="12">
                  <c:v>0.67</c:v>
                </c:pt>
                <c:pt idx="13">
                  <c:v>0.68</c:v>
                </c:pt>
                <c:pt idx="14">
                  <c:v>0.8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88457984"/>
        <c:axId val="88459520"/>
      </c:barChart>
      <c:catAx>
        <c:axId val="88457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59520"/>
        <c:crosses val="autoZero"/>
        <c:auto val="1"/>
        <c:lblAlgn val="ctr"/>
        <c:lblOffset val="100"/>
        <c:noMultiLvlLbl val="0"/>
      </c:catAx>
      <c:valAx>
        <c:axId val="88459520"/>
        <c:scaling>
          <c:orientation val="minMax"/>
          <c:max val="0.9"/>
        </c:scaling>
        <c:delete val="0"/>
        <c:axPos val="b"/>
        <c:numFmt formatCode="0%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5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Source of the World's Cruise Passengers (2015)</a:t>
            </a:r>
          </a:p>
        </c:rich>
      </c:tx>
      <c:layout>
        <c:manualLayout>
          <c:xMode val="edge"/>
          <c:yMode val="edge"/>
          <c:x val="0.18979802329396328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1365034448818906E-2"/>
          <c:y val="8.1430219146482116E-2"/>
          <c:w val="0.91561413221784782"/>
          <c:h val="0.8346100682051421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'China 2'!$B$28:$B$37</c:f>
              <c:strCache>
                <c:ptCount val="10"/>
                <c:pt idx="0">
                  <c:v>USA</c:v>
                </c:pt>
                <c:pt idx="1">
                  <c:v>Germany</c:v>
                </c:pt>
                <c:pt idx="2">
                  <c:v>UK</c:v>
                </c:pt>
                <c:pt idx="3">
                  <c:v>Australia</c:v>
                </c:pt>
                <c:pt idx="4">
                  <c:v>Italy</c:v>
                </c:pt>
                <c:pt idx="5">
                  <c:v>Canada</c:v>
                </c:pt>
                <c:pt idx="6">
                  <c:v>China</c:v>
                </c:pt>
                <c:pt idx="7">
                  <c:v>France</c:v>
                </c:pt>
                <c:pt idx="8">
                  <c:v>Spain</c:v>
                </c:pt>
                <c:pt idx="9">
                  <c:v>Other</c:v>
                </c:pt>
              </c:strCache>
            </c:strRef>
          </c:cat>
          <c:val>
            <c:numRef>
              <c:f>'China 2'!$D$28:$D$37</c:f>
              <c:numCache>
                <c:formatCode>0.0%</c:formatCode>
                <c:ptCount val="10"/>
                <c:pt idx="0">
                  <c:v>0.48620689655172411</c:v>
                </c:pt>
                <c:pt idx="1">
                  <c:v>7.8017241379310348E-2</c:v>
                </c:pt>
                <c:pt idx="2">
                  <c:v>7.6724137931034483E-2</c:v>
                </c:pt>
                <c:pt idx="3">
                  <c:v>4.5258620689655173E-2</c:v>
                </c:pt>
                <c:pt idx="4">
                  <c:v>3.487068965517242E-2</c:v>
                </c:pt>
                <c:pt idx="5">
                  <c:v>3.1206896551724136E-2</c:v>
                </c:pt>
                <c:pt idx="6">
                  <c:v>4.2500000000000003E-2</c:v>
                </c:pt>
                <c:pt idx="7">
                  <c:v>2.6508620689655173E-2</c:v>
                </c:pt>
                <c:pt idx="8">
                  <c:v>2.0086206896551728E-2</c:v>
                </c:pt>
                <c:pt idx="9">
                  <c:v>0.1586206896551724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7"/>
        <c:axId val="88512768"/>
        <c:axId val="88522752"/>
      </c:barChart>
      <c:catAx>
        <c:axId val="8851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22752"/>
        <c:crosses val="autoZero"/>
        <c:auto val="1"/>
        <c:lblAlgn val="ctr"/>
        <c:lblOffset val="100"/>
        <c:noMultiLvlLbl val="0"/>
      </c:catAx>
      <c:valAx>
        <c:axId val="88522752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1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World Cruise Capacity</a:t>
            </a:r>
            <a:r>
              <a:rPr lang="en-US" sz="1200" b="1" baseline="0">
                <a:solidFill>
                  <a:schemeClr val="tx1"/>
                </a:solidFill>
              </a:rPr>
              <a:t> Share by Berths </a:t>
            </a:r>
            <a:r>
              <a:rPr lang="en-US" sz="1200" b="1">
                <a:solidFill>
                  <a:schemeClr val="tx1"/>
                </a:solidFill>
              </a:rPr>
              <a:t>(2016)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'China 2'!$B$49:$B$56</c:f>
              <c:strCache>
                <c:ptCount val="8"/>
                <c:pt idx="0">
                  <c:v>Caribbean</c:v>
                </c:pt>
                <c:pt idx="1">
                  <c:v>Mediterranean</c:v>
                </c:pt>
                <c:pt idx="2">
                  <c:v>Europe ex-Med</c:v>
                </c:pt>
                <c:pt idx="3">
                  <c:v>Asia</c:v>
                </c:pt>
                <c:pt idx="4">
                  <c:v>Australasia</c:v>
                </c:pt>
                <c:pt idx="5">
                  <c:v>Alaska</c:v>
                </c:pt>
                <c:pt idx="6">
                  <c:v>South America</c:v>
                </c:pt>
                <c:pt idx="7">
                  <c:v>All Other</c:v>
                </c:pt>
              </c:strCache>
            </c:strRef>
          </c:cat>
          <c:val>
            <c:numRef>
              <c:f>'China 2'!$C$49:$C$56</c:f>
              <c:numCache>
                <c:formatCode>0.0%</c:formatCode>
                <c:ptCount val="8"/>
                <c:pt idx="0">
                  <c:v>0.33700000000000002</c:v>
                </c:pt>
                <c:pt idx="1">
                  <c:v>0.187</c:v>
                </c:pt>
                <c:pt idx="2">
                  <c:v>0.11600000000000001</c:v>
                </c:pt>
                <c:pt idx="3">
                  <c:v>9.1999999999999998E-2</c:v>
                </c:pt>
                <c:pt idx="4">
                  <c:v>6.0999999999999999E-2</c:v>
                </c:pt>
                <c:pt idx="5">
                  <c:v>4.1000000000000002E-2</c:v>
                </c:pt>
                <c:pt idx="6">
                  <c:v>2.8000000000000001E-2</c:v>
                </c:pt>
                <c:pt idx="7">
                  <c:v>0.13800000000000001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7"/>
        <c:axId val="88580480"/>
        <c:axId val="88582016"/>
      </c:barChart>
      <c:catAx>
        <c:axId val="8858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82016"/>
        <c:crosses val="autoZero"/>
        <c:auto val="1"/>
        <c:lblAlgn val="ctr"/>
        <c:lblOffset val="100"/>
        <c:noMultiLvlLbl val="0"/>
      </c:catAx>
      <c:valAx>
        <c:axId val="88582016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8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Capacity Share Changes by Region (2016)</a:t>
            </a:r>
            <a:br>
              <a:rPr lang="en-US" sz="1200" b="1">
                <a:solidFill>
                  <a:schemeClr val="tx1"/>
                </a:solidFill>
              </a:rPr>
            </a:br>
            <a:r>
              <a:rPr lang="en-US" sz="1000" b="0">
                <a:solidFill>
                  <a:schemeClr val="tx1"/>
                </a:solidFill>
              </a:rPr>
              <a:t>Percentage Point Change / ALBDs 2015 vs 2016</a:t>
            </a:r>
          </a:p>
        </c:rich>
      </c:tx>
      <c:layout>
        <c:manualLayout>
          <c:xMode val="edge"/>
          <c:yMode val="edge"/>
          <c:x val="0.22685531496062991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9177534448818893E-2"/>
          <c:y val="0.19215686274509805"/>
          <c:w val="0.89217663221784782"/>
          <c:h val="0.5320070112343223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'China 2'!$B$70:$B$77</c:f>
              <c:strCache>
                <c:ptCount val="8"/>
                <c:pt idx="0">
                  <c:v>Caribbean</c:v>
                </c:pt>
                <c:pt idx="1">
                  <c:v>Mediterranean</c:v>
                </c:pt>
                <c:pt idx="2">
                  <c:v>Europe ex-Med</c:v>
                </c:pt>
                <c:pt idx="3">
                  <c:v>Asia</c:v>
                </c:pt>
                <c:pt idx="4">
                  <c:v>Australasia</c:v>
                </c:pt>
                <c:pt idx="5">
                  <c:v>Alaska</c:v>
                </c:pt>
                <c:pt idx="6">
                  <c:v>South America</c:v>
                </c:pt>
                <c:pt idx="7">
                  <c:v>All Other</c:v>
                </c:pt>
              </c:strCache>
            </c:strRef>
          </c:cat>
          <c:val>
            <c:numRef>
              <c:f>'China 2'!$C$70:$C$77</c:f>
              <c:numCache>
                <c:formatCode>0.0%</c:formatCode>
                <c:ptCount val="8"/>
                <c:pt idx="0">
                  <c:v>2.8000000000000001E-2</c:v>
                </c:pt>
                <c:pt idx="1">
                  <c:v>0.02</c:v>
                </c:pt>
                <c:pt idx="2">
                  <c:v>8.6999999999999994E-2</c:v>
                </c:pt>
                <c:pt idx="3">
                  <c:v>0.32900000000000001</c:v>
                </c:pt>
                <c:pt idx="4">
                  <c:v>0.192</c:v>
                </c:pt>
                <c:pt idx="5">
                  <c:v>1.7000000000000001E-2</c:v>
                </c:pt>
                <c:pt idx="6">
                  <c:v>5.2999999999999999E-2</c:v>
                </c:pt>
                <c:pt idx="7">
                  <c:v>-1.4E-2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7"/>
        <c:axId val="88905600"/>
        <c:axId val="88907136"/>
      </c:barChart>
      <c:catAx>
        <c:axId val="8890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07136"/>
        <c:crosses val="autoZero"/>
        <c:auto val="1"/>
        <c:lblAlgn val="ctr"/>
        <c:lblOffset val="100"/>
        <c:noMultiLvlLbl val="0"/>
      </c:catAx>
      <c:valAx>
        <c:axId val="88907136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0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Asia</a:t>
            </a:r>
            <a:r>
              <a:rPr lang="en-US" sz="1200" b="1" baseline="0">
                <a:solidFill>
                  <a:schemeClr val="tx1"/>
                </a:solidFill>
              </a:rPr>
              <a:t> Passenger Volume by Source Market </a:t>
            </a:r>
            <a:r>
              <a:rPr lang="en-US" sz="1200" b="1">
                <a:solidFill>
                  <a:schemeClr val="tx1"/>
                </a:solidFill>
              </a:rPr>
              <a:t>(2015)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'China 2'!$O$28:$O$40</c:f>
              <c:strCache>
                <c:ptCount val="13"/>
                <c:pt idx="0">
                  <c:v>China</c:v>
                </c:pt>
                <c:pt idx="1">
                  <c:v>Taiwan</c:v>
                </c:pt>
                <c:pt idx="2">
                  <c:v>Singapore</c:v>
                </c:pt>
                <c:pt idx="3">
                  <c:v>Japan</c:v>
                </c:pt>
                <c:pt idx="4">
                  <c:v>Hong Kong</c:v>
                </c:pt>
                <c:pt idx="5">
                  <c:v>India</c:v>
                </c:pt>
                <c:pt idx="6">
                  <c:v>Malaysia</c:v>
                </c:pt>
                <c:pt idx="7">
                  <c:v>Indonesia</c:v>
                </c:pt>
                <c:pt idx="8">
                  <c:v>Korea</c:v>
                </c:pt>
                <c:pt idx="9">
                  <c:v>Philippines</c:v>
                </c:pt>
                <c:pt idx="10">
                  <c:v>Thailand</c:v>
                </c:pt>
                <c:pt idx="11">
                  <c:v>Vietnam</c:v>
                </c:pt>
                <c:pt idx="12">
                  <c:v>Other Asia</c:v>
                </c:pt>
              </c:strCache>
            </c:strRef>
          </c:cat>
          <c:val>
            <c:numRef>
              <c:f>'China 2'!$P$28:$P$40</c:f>
              <c:numCache>
                <c:formatCode>0%</c:formatCode>
                <c:ptCount val="13"/>
                <c:pt idx="0">
                  <c:v>0.47399999999999998</c:v>
                </c:pt>
                <c:pt idx="1">
                  <c:v>0.11</c:v>
                </c:pt>
                <c:pt idx="2">
                  <c:v>8.7999999999999995E-2</c:v>
                </c:pt>
                <c:pt idx="3">
                  <c:v>8.5999999999999993E-2</c:v>
                </c:pt>
                <c:pt idx="4">
                  <c:v>6.0999999999999999E-2</c:v>
                </c:pt>
                <c:pt idx="5">
                  <c:v>0.06</c:v>
                </c:pt>
                <c:pt idx="6">
                  <c:v>0.03</c:v>
                </c:pt>
                <c:pt idx="7">
                  <c:v>1.9E-2</c:v>
                </c:pt>
                <c:pt idx="8">
                  <c:v>1.7000000000000001E-2</c:v>
                </c:pt>
                <c:pt idx="9">
                  <c:v>1.6E-2</c:v>
                </c:pt>
                <c:pt idx="10">
                  <c:v>1.2E-2</c:v>
                </c:pt>
                <c:pt idx="11">
                  <c:v>8.9999999999999993E-3</c:v>
                </c:pt>
                <c:pt idx="12">
                  <c:v>1.7000000000000001E-2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7"/>
        <c:axId val="88915328"/>
        <c:axId val="88949888"/>
      </c:barChart>
      <c:catAx>
        <c:axId val="8891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49888"/>
        <c:crosses val="autoZero"/>
        <c:auto val="1"/>
        <c:lblAlgn val="ctr"/>
        <c:lblOffset val="100"/>
        <c:noMultiLvlLbl val="0"/>
      </c:catAx>
      <c:valAx>
        <c:axId val="88949888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1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Length of China Cruise</a:t>
            </a:r>
            <a:r>
              <a:rPr lang="en-US" sz="1200" b="1" baseline="0">
                <a:solidFill>
                  <a:schemeClr val="tx1"/>
                </a:solidFill>
              </a:rPr>
              <a:t> Trip </a:t>
            </a:r>
            <a:r>
              <a:rPr lang="en-US" sz="1200" b="1">
                <a:solidFill>
                  <a:schemeClr val="tx1"/>
                </a:solidFill>
              </a:rPr>
              <a:t>(2015)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'China 2'!$O$178:$O$181</c:f>
              <c:strCache>
                <c:ptCount val="4"/>
                <c:pt idx="0">
                  <c:v>2-3 nights</c:v>
                </c:pt>
                <c:pt idx="1">
                  <c:v>4-6 nights</c:v>
                </c:pt>
                <c:pt idx="2">
                  <c:v>7-13 nights</c:v>
                </c:pt>
                <c:pt idx="3">
                  <c:v>14+ nights</c:v>
                </c:pt>
              </c:strCache>
            </c:strRef>
          </c:cat>
          <c:val>
            <c:numRef>
              <c:f>'China 2'!$P$178:$P$181</c:f>
              <c:numCache>
                <c:formatCode>0%</c:formatCode>
                <c:ptCount val="4"/>
                <c:pt idx="0">
                  <c:v>0.1</c:v>
                </c:pt>
                <c:pt idx="1">
                  <c:v>0.83</c:v>
                </c:pt>
                <c:pt idx="2">
                  <c:v>7.0000000000000007E-2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7"/>
        <c:axId val="89072768"/>
        <c:axId val="89074304"/>
      </c:barChart>
      <c:catAx>
        <c:axId val="8907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74304"/>
        <c:crosses val="autoZero"/>
        <c:auto val="1"/>
        <c:lblAlgn val="ctr"/>
        <c:lblOffset val="100"/>
        <c:noMultiLvlLbl val="0"/>
      </c:catAx>
      <c:valAx>
        <c:axId val="8907430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7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Top 10 Ports by Total Port Calls in Asia (2016)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'China 2'!$O$92:$P$101</c:f>
              <c:multiLvlStrCache>
                <c:ptCount val="10"/>
                <c:lvl>
                  <c:pt idx="0">
                    <c:v>Juju 
Island</c:v>
                  </c:pt>
                  <c:pt idx="1">
                    <c:v>Shanghai</c:v>
                  </c:pt>
                  <c:pt idx="2">
                    <c:v>Singapore</c:v>
                  </c:pt>
                  <c:pt idx="3">
                    <c:v>Fukuoka</c:v>
                  </c:pt>
                  <c:pt idx="4">
                    <c:v>Taipei</c:v>
                  </c:pt>
                  <c:pt idx="5">
                    <c:v>Okinawa</c:v>
                  </c:pt>
                  <c:pt idx="6">
                    <c:v>Hong Kong</c:v>
                  </c:pt>
                  <c:pt idx="7">
                    <c:v>Busan</c:v>
                  </c:pt>
                  <c:pt idx="8">
                    <c:v>Ho Chi Minh</c:v>
                  </c:pt>
                  <c:pt idx="9">
                    <c:v>Kuala Lumpur</c:v>
                  </c:pt>
                </c:lvl>
                <c:lvl>
                  <c:pt idx="0">
                    <c:v>Korea</c:v>
                  </c:pt>
                  <c:pt idx="1">
                    <c:v>China</c:v>
                  </c:pt>
                  <c:pt idx="2">
                    <c:v>Singapore</c:v>
                  </c:pt>
                  <c:pt idx="3">
                    <c:v>Japan</c:v>
                  </c:pt>
                  <c:pt idx="4">
                    <c:v>Taiwan</c:v>
                  </c:pt>
                  <c:pt idx="5">
                    <c:v>Japan</c:v>
                  </c:pt>
                  <c:pt idx="6">
                    <c:v>Hong Kong</c:v>
                  </c:pt>
                  <c:pt idx="7">
                    <c:v>Korea</c:v>
                  </c:pt>
                  <c:pt idx="8">
                    <c:v>Vietnam</c:v>
                  </c:pt>
                  <c:pt idx="9">
                    <c:v>Malaysia</c:v>
                  </c:pt>
                </c:lvl>
              </c:multiLvlStrCache>
            </c:multiLvlStrRef>
          </c:cat>
          <c:val>
            <c:numRef>
              <c:f>'China 2'!$Q$92:$Q$101</c:f>
              <c:numCache>
                <c:formatCode>General</c:formatCode>
                <c:ptCount val="10"/>
                <c:pt idx="0">
                  <c:v>460</c:v>
                </c:pt>
                <c:pt idx="1">
                  <c:v>437</c:v>
                </c:pt>
                <c:pt idx="2">
                  <c:v>391</c:v>
                </c:pt>
                <c:pt idx="3">
                  <c:v>258</c:v>
                </c:pt>
                <c:pt idx="4">
                  <c:v>199</c:v>
                </c:pt>
                <c:pt idx="5">
                  <c:v>185</c:v>
                </c:pt>
                <c:pt idx="6">
                  <c:v>185</c:v>
                </c:pt>
                <c:pt idx="7">
                  <c:v>182</c:v>
                </c:pt>
                <c:pt idx="8">
                  <c:v>141</c:v>
                </c:pt>
                <c:pt idx="9">
                  <c:v>138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7"/>
        <c:axId val="90104192"/>
        <c:axId val="90105728"/>
      </c:barChart>
      <c:catAx>
        <c:axId val="9010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05728"/>
        <c:crosses val="autoZero"/>
        <c:auto val="1"/>
        <c:lblAlgn val="ctr"/>
        <c:lblOffset val="100"/>
        <c:noMultiLvlLbl val="0"/>
      </c:catAx>
      <c:valAx>
        <c:axId val="90105728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0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Top Ports by</a:t>
            </a:r>
            <a:r>
              <a:rPr lang="en-US" sz="1200" b="1" baseline="0">
                <a:solidFill>
                  <a:schemeClr val="tx1"/>
                </a:solidFill>
              </a:rPr>
              <a:t> Total Port Calls in China </a:t>
            </a:r>
            <a:r>
              <a:rPr lang="en-US" sz="1200" b="1">
                <a:solidFill>
                  <a:schemeClr val="tx1"/>
                </a:solidFill>
              </a:rPr>
              <a:t>(2016)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'China 2'!$AB$92:$AB$98</c:f>
              <c:strCache>
                <c:ptCount val="7"/>
                <c:pt idx="0">
                  <c:v>Baoshan / Shanghai</c:v>
                </c:pt>
                <c:pt idx="1">
                  <c:v>Hong Kong</c:v>
                </c:pt>
                <c:pt idx="2">
                  <c:v>Xiamen</c:v>
                </c:pt>
                <c:pt idx="3">
                  <c:v>Hainan / Sanya / Haikou</c:v>
                </c:pt>
                <c:pt idx="4">
                  <c:v>Tianjin / Beijing</c:v>
                </c:pt>
                <c:pt idx="5">
                  <c:v>Nansha / Guangzhou</c:v>
                </c:pt>
                <c:pt idx="6">
                  <c:v>Dalian</c:v>
                </c:pt>
              </c:strCache>
            </c:strRef>
          </c:cat>
          <c:val>
            <c:numRef>
              <c:f>'China 2'!$AC$92:$AC$98</c:f>
              <c:numCache>
                <c:formatCode>General</c:formatCode>
                <c:ptCount val="7"/>
                <c:pt idx="0">
                  <c:v>437</c:v>
                </c:pt>
                <c:pt idx="1">
                  <c:v>185</c:v>
                </c:pt>
                <c:pt idx="2">
                  <c:v>157</c:v>
                </c:pt>
                <c:pt idx="3">
                  <c:v>132</c:v>
                </c:pt>
                <c:pt idx="4">
                  <c:v>124</c:v>
                </c:pt>
                <c:pt idx="5">
                  <c:v>43</c:v>
                </c:pt>
                <c:pt idx="6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7"/>
        <c:axId val="91097344"/>
        <c:axId val="91107328"/>
      </c:barChart>
      <c:catAx>
        <c:axId val="9109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07328"/>
        <c:crosses val="autoZero"/>
        <c:auto val="1"/>
        <c:lblAlgn val="ctr"/>
        <c:lblOffset val="100"/>
        <c:noMultiLvlLbl val="0"/>
      </c:catAx>
      <c:valAx>
        <c:axId val="91107328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9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Asia</a:t>
            </a:r>
            <a:r>
              <a:rPr lang="en-US" sz="1200" b="1" baseline="0">
                <a:solidFill>
                  <a:schemeClr val="tx1"/>
                </a:solidFill>
              </a:rPr>
              <a:t> Passenger Volume by Source Market </a:t>
            </a:r>
            <a:r>
              <a:rPr lang="en-US" sz="1200" b="1">
                <a:solidFill>
                  <a:schemeClr val="tx1"/>
                </a:solidFill>
              </a:rPr>
              <a:t>(2015)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'China 2'!$O$117:$O$124</c:f>
              <c:strCache>
                <c:ptCount val="8"/>
                <c:pt idx="0">
                  <c:v>Under 12</c:v>
                </c:pt>
                <c:pt idx="1">
                  <c:v>13-19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70+</c:v>
                </c:pt>
              </c:strCache>
            </c:strRef>
          </c:cat>
          <c:val>
            <c:numRef>
              <c:f>'China 2'!$P$117:$P$124</c:f>
              <c:numCache>
                <c:formatCode>0%</c:formatCode>
                <c:ptCount val="8"/>
                <c:pt idx="0">
                  <c:v>8.7999999999999995E-2</c:v>
                </c:pt>
                <c:pt idx="1">
                  <c:v>3.5000000000000003E-2</c:v>
                </c:pt>
                <c:pt idx="2">
                  <c:v>0.06</c:v>
                </c:pt>
                <c:pt idx="3">
                  <c:v>0.23699999999999999</c:v>
                </c:pt>
                <c:pt idx="4">
                  <c:v>0.183</c:v>
                </c:pt>
                <c:pt idx="5">
                  <c:v>0.27100000000000002</c:v>
                </c:pt>
                <c:pt idx="6">
                  <c:v>7.9000000000000001E-2</c:v>
                </c:pt>
                <c:pt idx="7">
                  <c:v>4.8000000000000001E-2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7"/>
        <c:axId val="91136768"/>
        <c:axId val="91138304"/>
      </c:barChart>
      <c:catAx>
        <c:axId val="9113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38304"/>
        <c:crosses val="autoZero"/>
        <c:auto val="1"/>
        <c:lblAlgn val="ctr"/>
        <c:lblOffset val="100"/>
        <c:noMultiLvlLbl val="0"/>
      </c:catAx>
      <c:valAx>
        <c:axId val="91138304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3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New Cruise Ship Berths (thousands)</a:t>
            </a:r>
            <a:r>
              <a:rPr lang="en-US" sz="1600" b="1" baseline="0">
                <a:solidFill>
                  <a:schemeClr val="tx1"/>
                </a:solidFill>
              </a:rPr>
              <a:t> </a:t>
            </a:r>
            <a:br>
              <a:rPr lang="en-US" sz="1600" b="1" baseline="0">
                <a:solidFill>
                  <a:schemeClr val="tx1"/>
                </a:solidFill>
              </a:rPr>
            </a:br>
            <a:r>
              <a:rPr lang="en-US" sz="1400" b="0" baseline="0">
                <a:solidFill>
                  <a:schemeClr val="tx1"/>
                </a:solidFill>
              </a:rPr>
              <a:t>CCL, RCL, NCLH, MSC, GENHK, TUI, Virgin, Disney</a:t>
            </a:r>
            <a:endParaRPr lang="en-US" sz="1400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1567887508081935E-2"/>
          <c:y val="0.16397724316733486"/>
          <c:w val="0.94309442143912792"/>
          <c:h val="0.628732852945439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'New Ship Q'!$B$6</c:f>
              <c:strCache>
                <c:ptCount val="1"/>
                <c:pt idx="0">
                  <c:v>CCL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'New Ship Q'!$BW$2:$ET$2</c:f>
              <c:numCache>
                <c:formatCode>mmm\-yy</c:formatCode>
                <c:ptCount val="76"/>
                <c:pt idx="0">
                  <c:v>38077</c:v>
                </c:pt>
                <c:pt idx="1">
                  <c:v>38168</c:v>
                </c:pt>
                <c:pt idx="2">
                  <c:v>38260</c:v>
                </c:pt>
                <c:pt idx="3">
                  <c:v>38352</c:v>
                </c:pt>
                <c:pt idx="4">
                  <c:v>38442</c:v>
                </c:pt>
                <c:pt idx="5">
                  <c:v>38533</c:v>
                </c:pt>
                <c:pt idx="6">
                  <c:v>38625</c:v>
                </c:pt>
                <c:pt idx="7">
                  <c:v>38717</c:v>
                </c:pt>
                <c:pt idx="8">
                  <c:v>38807</c:v>
                </c:pt>
                <c:pt idx="9">
                  <c:v>38898</c:v>
                </c:pt>
                <c:pt idx="10">
                  <c:v>38990</c:v>
                </c:pt>
                <c:pt idx="11">
                  <c:v>39082</c:v>
                </c:pt>
                <c:pt idx="12">
                  <c:v>39172</c:v>
                </c:pt>
                <c:pt idx="13">
                  <c:v>39263</c:v>
                </c:pt>
                <c:pt idx="14">
                  <c:v>39355</c:v>
                </c:pt>
                <c:pt idx="15">
                  <c:v>39447</c:v>
                </c:pt>
                <c:pt idx="16">
                  <c:v>39538</c:v>
                </c:pt>
                <c:pt idx="17">
                  <c:v>39629</c:v>
                </c:pt>
                <c:pt idx="18">
                  <c:v>39721</c:v>
                </c:pt>
                <c:pt idx="19">
                  <c:v>39813</c:v>
                </c:pt>
                <c:pt idx="20">
                  <c:v>39903</c:v>
                </c:pt>
                <c:pt idx="21">
                  <c:v>39994</c:v>
                </c:pt>
                <c:pt idx="22">
                  <c:v>40086</c:v>
                </c:pt>
                <c:pt idx="23">
                  <c:v>40178</c:v>
                </c:pt>
                <c:pt idx="24">
                  <c:v>40268</c:v>
                </c:pt>
                <c:pt idx="25">
                  <c:v>40359</c:v>
                </c:pt>
                <c:pt idx="26">
                  <c:v>40451</c:v>
                </c:pt>
                <c:pt idx="27">
                  <c:v>40543</c:v>
                </c:pt>
                <c:pt idx="28">
                  <c:v>40633</c:v>
                </c:pt>
                <c:pt idx="29">
                  <c:v>40724</c:v>
                </c:pt>
                <c:pt idx="30">
                  <c:v>40816</c:v>
                </c:pt>
                <c:pt idx="31">
                  <c:v>40908</c:v>
                </c:pt>
                <c:pt idx="32">
                  <c:v>40999</c:v>
                </c:pt>
                <c:pt idx="33">
                  <c:v>41090</c:v>
                </c:pt>
                <c:pt idx="34">
                  <c:v>41182</c:v>
                </c:pt>
                <c:pt idx="35">
                  <c:v>41274</c:v>
                </c:pt>
                <c:pt idx="36">
                  <c:v>41364</c:v>
                </c:pt>
                <c:pt idx="37">
                  <c:v>41455</c:v>
                </c:pt>
                <c:pt idx="38">
                  <c:v>41547</c:v>
                </c:pt>
                <c:pt idx="39">
                  <c:v>41639</c:v>
                </c:pt>
                <c:pt idx="40">
                  <c:v>41729</c:v>
                </c:pt>
                <c:pt idx="41">
                  <c:v>41820</c:v>
                </c:pt>
                <c:pt idx="42">
                  <c:v>41912</c:v>
                </c:pt>
                <c:pt idx="43">
                  <c:v>42004</c:v>
                </c:pt>
                <c:pt idx="44">
                  <c:v>42094</c:v>
                </c:pt>
                <c:pt idx="45">
                  <c:v>42185</c:v>
                </c:pt>
                <c:pt idx="46">
                  <c:v>42277</c:v>
                </c:pt>
                <c:pt idx="47">
                  <c:v>42369</c:v>
                </c:pt>
                <c:pt idx="48">
                  <c:v>42460</c:v>
                </c:pt>
                <c:pt idx="49">
                  <c:v>42551</c:v>
                </c:pt>
                <c:pt idx="50">
                  <c:v>42643</c:v>
                </c:pt>
                <c:pt idx="51">
                  <c:v>42735</c:v>
                </c:pt>
                <c:pt idx="52">
                  <c:v>42825</c:v>
                </c:pt>
                <c:pt idx="53">
                  <c:v>42916</c:v>
                </c:pt>
                <c:pt idx="54">
                  <c:v>43008</c:v>
                </c:pt>
                <c:pt idx="55">
                  <c:v>43100</c:v>
                </c:pt>
                <c:pt idx="56">
                  <c:v>43190</c:v>
                </c:pt>
                <c:pt idx="57">
                  <c:v>43281</c:v>
                </c:pt>
                <c:pt idx="58">
                  <c:v>43373</c:v>
                </c:pt>
                <c:pt idx="59">
                  <c:v>43465</c:v>
                </c:pt>
                <c:pt idx="60">
                  <c:v>43555</c:v>
                </c:pt>
                <c:pt idx="61">
                  <c:v>43646</c:v>
                </c:pt>
                <c:pt idx="62">
                  <c:v>43738</c:v>
                </c:pt>
                <c:pt idx="63">
                  <c:v>43830</c:v>
                </c:pt>
                <c:pt idx="64">
                  <c:v>43921</c:v>
                </c:pt>
                <c:pt idx="65">
                  <c:v>44012</c:v>
                </c:pt>
                <c:pt idx="66">
                  <c:v>44104</c:v>
                </c:pt>
                <c:pt idx="67">
                  <c:v>44196</c:v>
                </c:pt>
                <c:pt idx="68">
                  <c:v>44286</c:v>
                </c:pt>
                <c:pt idx="69">
                  <c:v>44377</c:v>
                </c:pt>
                <c:pt idx="70">
                  <c:v>44469</c:v>
                </c:pt>
                <c:pt idx="71">
                  <c:v>44561</c:v>
                </c:pt>
                <c:pt idx="72">
                  <c:v>44651</c:v>
                </c:pt>
                <c:pt idx="73">
                  <c:v>44742</c:v>
                </c:pt>
                <c:pt idx="74">
                  <c:v>44834</c:v>
                </c:pt>
                <c:pt idx="75">
                  <c:v>44926</c:v>
                </c:pt>
              </c:numCache>
            </c:numRef>
          </c:cat>
          <c:val>
            <c:numRef>
              <c:f>'New Ship Q'!$BW$6:$ET$6</c:f>
              <c:numCache>
                <c:formatCode>#,##0_);\(#,##0\)</c:formatCode>
                <c:ptCount val="76"/>
                <c:pt idx="0">
                  <c:v>12258</c:v>
                </c:pt>
                <c:pt idx="1">
                  <c:v>22004</c:v>
                </c:pt>
                <c:pt idx="2">
                  <c:v>17742</c:v>
                </c:pt>
                <c:pt idx="3">
                  <c:v>20444</c:v>
                </c:pt>
                <c:pt idx="4">
                  <c:v>18090</c:v>
                </c:pt>
                <c:pt idx="5">
                  <c:v>10292</c:v>
                </c:pt>
                <c:pt idx="6">
                  <c:v>10584</c:v>
                </c:pt>
                <c:pt idx="7">
                  <c:v>7882</c:v>
                </c:pt>
                <c:pt idx="8">
                  <c:v>6832</c:v>
                </c:pt>
                <c:pt idx="9">
                  <c:v>4884</c:v>
                </c:pt>
                <c:pt idx="10">
                  <c:v>7976</c:v>
                </c:pt>
                <c:pt idx="11">
                  <c:v>7976</c:v>
                </c:pt>
                <c:pt idx="12">
                  <c:v>6058</c:v>
                </c:pt>
                <c:pt idx="13">
                  <c:v>15082</c:v>
                </c:pt>
                <c:pt idx="14">
                  <c:v>9024</c:v>
                </c:pt>
                <c:pt idx="15">
                  <c:v>9024</c:v>
                </c:pt>
                <c:pt idx="16">
                  <c:v>11004</c:v>
                </c:pt>
                <c:pt idx="17">
                  <c:v>4030</c:v>
                </c:pt>
                <c:pt idx="18">
                  <c:v>4030</c:v>
                </c:pt>
                <c:pt idx="19">
                  <c:v>10108</c:v>
                </c:pt>
                <c:pt idx="20">
                  <c:v>8128</c:v>
                </c:pt>
                <c:pt idx="21">
                  <c:v>13256</c:v>
                </c:pt>
                <c:pt idx="22">
                  <c:v>21048</c:v>
                </c:pt>
                <c:pt idx="23">
                  <c:v>18612</c:v>
                </c:pt>
                <c:pt idx="24">
                  <c:v>22922</c:v>
                </c:pt>
                <c:pt idx="25">
                  <c:v>18844</c:v>
                </c:pt>
                <c:pt idx="26">
                  <c:v>13608</c:v>
                </c:pt>
                <c:pt idx="27">
                  <c:v>12058</c:v>
                </c:pt>
                <c:pt idx="28">
                  <c:v>7748</c:v>
                </c:pt>
                <c:pt idx="29">
                  <c:v>10532</c:v>
                </c:pt>
                <c:pt idx="30">
                  <c:v>11410</c:v>
                </c:pt>
                <c:pt idx="31">
                  <c:v>9318</c:v>
                </c:pt>
                <c:pt idx="32">
                  <c:v>9318</c:v>
                </c:pt>
                <c:pt idx="33">
                  <c:v>8612</c:v>
                </c:pt>
                <c:pt idx="34">
                  <c:v>8868</c:v>
                </c:pt>
                <c:pt idx="35">
                  <c:v>8868</c:v>
                </c:pt>
                <c:pt idx="36">
                  <c:v>8868</c:v>
                </c:pt>
                <c:pt idx="37">
                  <c:v>5884</c:v>
                </c:pt>
                <c:pt idx="38">
                  <c:v>5754</c:v>
                </c:pt>
                <c:pt idx="39">
                  <c:v>5754</c:v>
                </c:pt>
                <c:pt idx="40">
                  <c:v>5754</c:v>
                </c:pt>
                <c:pt idx="41">
                  <c:v>7120</c:v>
                </c:pt>
                <c:pt idx="42">
                  <c:v>3560</c:v>
                </c:pt>
                <c:pt idx="43">
                  <c:v>7282</c:v>
                </c:pt>
                <c:pt idx="44">
                  <c:v>7282</c:v>
                </c:pt>
                <c:pt idx="45">
                  <c:v>7367</c:v>
                </c:pt>
                <c:pt idx="46">
                  <c:v>7367</c:v>
                </c:pt>
                <c:pt idx="47">
                  <c:v>3645</c:v>
                </c:pt>
                <c:pt idx="48">
                  <c:v>3645</c:v>
                </c:pt>
                <c:pt idx="49">
                  <c:v>10476</c:v>
                </c:pt>
                <c:pt idx="50">
                  <c:v>10476</c:v>
                </c:pt>
                <c:pt idx="51">
                  <c:v>10476</c:v>
                </c:pt>
                <c:pt idx="52">
                  <c:v>10476</c:v>
                </c:pt>
                <c:pt idx="53">
                  <c:v>0</c:v>
                </c:pt>
                <c:pt idx="54">
                  <c:v>6846</c:v>
                </c:pt>
                <c:pt idx="55">
                  <c:v>6846</c:v>
                </c:pt>
                <c:pt idx="56">
                  <c:v>6846</c:v>
                </c:pt>
                <c:pt idx="57">
                  <c:v>11404</c:v>
                </c:pt>
                <c:pt idx="58">
                  <c:v>4558</c:v>
                </c:pt>
                <c:pt idx="59">
                  <c:v>9558</c:v>
                </c:pt>
                <c:pt idx="60">
                  <c:v>21408</c:v>
                </c:pt>
                <c:pt idx="61">
                  <c:v>16850</c:v>
                </c:pt>
                <c:pt idx="62">
                  <c:v>16850</c:v>
                </c:pt>
                <c:pt idx="63">
                  <c:v>19610</c:v>
                </c:pt>
                <c:pt idx="64">
                  <c:v>11960</c:v>
                </c:pt>
                <c:pt idx="65">
                  <c:v>17160</c:v>
                </c:pt>
                <c:pt idx="66">
                  <c:v>17160</c:v>
                </c:pt>
                <c:pt idx="67">
                  <c:v>18160</c:v>
                </c:pt>
                <c:pt idx="68">
                  <c:v>18960</c:v>
                </c:pt>
                <c:pt idx="69">
                  <c:v>18760</c:v>
                </c:pt>
                <c:pt idx="70">
                  <c:v>18760</c:v>
                </c:pt>
                <c:pt idx="71">
                  <c:v>10000</c:v>
                </c:pt>
                <c:pt idx="72">
                  <c:v>8000</c:v>
                </c:pt>
                <c:pt idx="73">
                  <c:v>8200</c:v>
                </c:pt>
                <c:pt idx="74">
                  <c:v>8200</c:v>
                </c:pt>
                <c:pt idx="75">
                  <c:v>8200</c:v>
                </c:pt>
              </c:numCache>
            </c:numRef>
          </c:val>
        </c:ser>
        <c:ser>
          <c:idx val="1"/>
          <c:order val="1"/>
          <c:tx>
            <c:strRef>
              <c:f>'New Ship Q'!$B$7</c:f>
              <c:strCache>
                <c:ptCount val="1"/>
                <c:pt idx="0">
                  <c:v>RCL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'New Ship Q'!$BW$2:$ET$2</c:f>
              <c:numCache>
                <c:formatCode>mmm\-yy</c:formatCode>
                <c:ptCount val="76"/>
                <c:pt idx="0">
                  <c:v>38077</c:v>
                </c:pt>
                <c:pt idx="1">
                  <c:v>38168</c:v>
                </c:pt>
                <c:pt idx="2">
                  <c:v>38260</c:v>
                </c:pt>
                <c:pt idx="3">
                  <c:v>38352</c:v>
                </c:pt>
                <c:pt idx="4">
                  <c:v>38442</c:v>
                </c:pt>
                <c:pt idx="5">
                  <c:v>38533</c:v>
                </c:pt>
                <c:pt idx="6">
                  <c:v>38625</c:v>
                </c:pt>
                <c:pt idx="7">
                  <c:v>38717</c:v>
                </c:pt>
                <c:pt idx="8">
                  <c:v>38807</c:v>
                </c:pt>
                <c:pt idx="9">
                  <c:v>38898</c:v>
                </c:pt>
                <c:pt idx="10">
                  <c:v>38990</c:v>
                </c:pt>
                <c:pt idx="11">
                  <c:v>39082</c:v>
                </c:pt>
                <c:pt idx="12">
                  <c:v>39172</c:v>
                </c:pt>
                <c:pt idx="13">
                  <c:v>39263</c:v>
                </c:pt>
                <c:pt idx="14">
                  <c:v>39355</c:v>
                </c:pt>
                <c:pt idx="15">
                  <c:v>39447</c:v>
                </c:pt>
                <c:pt idx="16">
                  <c:v>39538</c:v>
                </c:pt>
                <c:pt idx="17">
                  <c:v>39629</c:v>
                </c:pt>
                <c:pt idx="18">
                  <c:v>39721</c:v>
                </c:pt>
                <c:pt idx="19">
                  <c:v>39813</c:v>
                </c:pt>
                <c:pt idx="20">
                  <c:v>39903</c:v>
                </c:pt>
                <c:pt idx="21">
                  <c:v>39994</c:v>
                </c:pt>
                <c:pt idx="22">
                  <c:v>40086</c:v>
                </c:pt>
                <c:pt idx="23">
                  <c:v>40178</c:v>
                </c:pt>
                <c:pt idx="24">
                  <c:v>40268</c:v>
                </c:pt>
                <c:pt idx="25">
                  <c:v>40359</c:v>
                </c:pt>
                <c:pt idx="26">
                  <c:v>40451</c:v>
                </c:pt>
                <c:pt idx="27">
                  <c:v>40543</c:v>
                </c:pt>
                <c:pt idx="28">
                  <c:v>40633</c:v>
                </c:pt>
                <c:pt idx="29">
                  <c:v>40724</c:v>
                </c:pt>
                <c:pt idx="30">
                  <c:v>40816</c:v>
                </c:pt>
                <c:pt idx="31">
                  <c:v>40908</c:v>
                </c:pt>
                <c:pt idx="32">
                  <c:v>40999</c:v>
                </c:pt>
                <c:pt idx="33">
                  <c:v>41090</c:v>
                </c:pt>
                <c:pt idx="34">
                  <c:v>41182</c:v>
                </c:pt>
                <c:pt idx="35">
                  <c:v>41274</c:v>
                </c:pt>
                <c:pt idx="36">
                  <c:v>41364</c:v>
                </c:pt>
                <c:pt idx="37">
                  <c:v>41455</c:v>
                </c:pt>
                <c:pt idx="38">
                  <c:v>41547</c:v>
                </c:pt>
                <c:pt idx="39">
                  <c:v>41639</c:v>
                </c:pt>
                <c:pt idx="40">
                  <c:v>41729</c:v>
                </c:pt>
                <c:pt idx="41">
                  <c:v>41820</c:v>
                </c:pt>
                <c:pt idx="42">
                  <c:v>41912</c:v>
                </c:pt>
                <c:pt idx="43">
                  <c:v>42004</c:v>
                </c:pt>
                <c:pt idx="44">
                  <c:v>42094</c:v>
                </c:pt>
                <c:pt idx="45">
                  <c:v>42185</c:v>
                </c:pt>
                <c:pt idx="46">
                  <c:v>42277</c:v>
                </c:pt>
                <c:pt idx="47">
                  <c:v>42369</c:v>
                </c:pt>
                <c:pt idx="48">
                  <c:v>42460</c:v>
                </c:pt>
                <c:pt idx="49">
                  <c:v>42551</c:v>
                </c:pt>
                <c:pt idx="50">
                  <c:v>42643</c:v>
                </c:pt>
                <c:pt idx="51">
                  <c:v>42735</c:v>
                </c:pt>
                <c:pt idx="52">
                  <c:v>42825</c:v>
                </c:pt>
                <c:pt idx="53">
                  <c:v>42916</c:v>
                </c:pt>
                <c:pt idx="54">
                  <c:v>43008</c:v>
                </c:pt>
                <c:pt idx="55">
                  <c:v>43100</c:v>
                </c:pt>
                <c:pt idx="56">
                  <c:v>43190</c:v>
                </c:pt>
                <c:pt idx="57">
                  <c:v>43281</c:v>
                </c:pt>
                <c:pt idx="58">
                  <c:v>43373</c:v>
                </c:pt>
                <c:pt idx="59">
                  <c:v>43465</c:v>
                </c:pt>
                <c:pt idx="60">
                  <c:v>43555</c:v>
                </c:pt>
                <c:pt idx="61">
                  <c:v>43646</c:v>
                </c:pt>
                <c:pt idx="62">
                  <c:v>43738</c:v>
                </c:pt>
                <c:pt idx="63">
                  <c:v>43830</c:v>
                </c:pt>
                <c:pt idx="64">
                  <c:v>43921</c:v>
                </c:pt>
                <c:pt idx="65">
                  <c:v>44012</c:v>
                </c:pt>
                <c:pt idx="66">
                  <c:v>44104</c:v>
                </c:pt>
                <c:pt idx="67">
                  <c:v>44196</c:v>
                </c:pt>
                <c:pt idx="68">
                  <c:v>44286</c:v>
                </c:pt>
                <c:pt idx="69">
                  <c:v>44377</c:v>
                </c:pt>
                <c:pt idx="70">
                  <c:v>44469</c:v>
                </c:pt>
                <c:pt idx="71">
                  <c:v>44561</c:v>
                </c:pt>
                <c:pt idx="72">
                  <c:v>44651</c:v>
                </c:pt>
                <c:pt idx="73">
                  <c:v>44742</c:v>
                </c:pt>
                <c:pt idx="74">
                  <c:v>44834</c:v>
                </c:pt>
                <c:pt idx="75">
                  <c:v>44926</c:v>
                </c:pt>
              </c:numCache>
            </c:numRef>
          </c:cat>
          <c:val>
            <c:numRef>
              <c:f>'New Ship Q'!$BW$7:$ET$7</c:f>
              <c:numCache>
                <c:formatCode>#,##0_);\(#,##0\)</c:formatCode>
                <c:ptCount val="76"/>
                <c:pt idx="0">
                  <c:v>5200</c:v>
                </c:pt>
                <c:pt idx="1">
                  <c:v>7300</c:v>
                </c:pt>
                <c:pt idx="2">
                  <c:v>5200</c:v>
                </c:pt>
                <c:pt idx="3">
                  <c:v>2100</c:v>
                </c:pt>
                <c:pt idx="4">
                  <c:v>2100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3600</c:v>
                </c:pt>
                <c:pt idx="10">
                  <c:v>3600</c:v>
                </c:pt>
                <c:pt idx="11">
                  <c:v>3600</c:v>
                </c:pt>
                <c:pt idx="12">
                  <c:v>3600</c:v>
                </c:pt>
                <c:pt idx="13">
                  <c:v>3600</c:v>
                </c:pt>
                <c:pt idx="14">
                  <c:v>3600</c:v>
                </c:pt>
                <c:pt idx="15">
                  <c:v>3600</c:v>
                </c:pt>
                <c:pt idx="16">
                  <c:v>3600</c:v>
                </c:pt>
                <c:pt idx="17">
                  <c:v>3600</c:v>
                </c:pt>
                <c:pt idx="18">
                  <c:v>3600</c:v>
                </c:pt>
                <c:pt idx="19">
                  <c:v>6450</c:v>
                </c:pt>
                <c:pt idx="20">
                  <c:v>6450</c:v>
                </c:pt>
                <c:pt idx="21">
                  <c:v>2850</c:v>
                </c:pt>
                <c:pt idx="22">
                  <c:v>5700</c:v>
                </c:pt>
                <c:pt idx="23">
                  <c:v>8250</c:v>
                </c:pt>
                <c:pt idx="24">
                  <c:v>8250</c:v>
                </c:pt>
                <c:pt idx="25">
                  <c:v>11100</c:v>
                </c:pt>
                <c:pt idx="26">
                  <c:v>8250</c:v>
                </c:pt>
                <c:pt idx="27">
                  <c:v>8250</c:v>
                </c:pt>
                <c:pt idx="28">
                  <c:v>8250</c:v>
                </c:pt>
                <c:pt idx="29">
                  <c:v>5400</c:v>
                </c:pt>
                <c:pt idx="30">
                  <c:v>8250</c:v>
                </c:pt>
                <c:pt idx="31">
                  <c:v>2850</c:v>
                </c:pt>
                <c:pt idx="32">
                  <c:v>2850</c:v>
                </c:pt>
                <c:pt idx="33">
                  <c:v>2850</c:v>
                </c:pt>
                <c:pt idx="34">
                  <c:v>0</c:v>
                </c:pt>
                <c:pt idx="35">
                  <c:v>3000</c:v>
                </c:pt>
                <c:pt idx="36">
                  <c:v>3000</c:v>
                </c:pt>
                <c:pt idx="37">
                  <c:v>3000</c:v>
                </c:pt>
                <c:pt idx="38">
                  <c:v>3000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4150</c:v>
                </c:pt>
                <c:pt idx="44">
                  <c:v>4150</c:v>
                </c:pt>
                <c:pt idx="45">
                  <c:v>8300</c:v>
                </c:pt>
                <c:pt idx="46">
                  <c:v>8300</c:v>
                </c:pt>
                <c:pt idx="47">
                  <c:v>4150</c:v>
                </c:pt>
                <c:pt idx="48">
                  <c:v>4100</c:v>
                </c:pt>
                <c:pt idx="49">
                  <c:v>9550</c:v>
                </c:pt>
                <c:pt idx="50">
                  <c:v>9550</c:v>
                </c:pt>
                <c:pt idx="51">
                  <c:v>9550</c:v>
                </c:pt>
                <c:pt idx="52">
                  <c:v>9550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5450</c:v>
                </c:pt>
                <c:pt idx="58">
                  <c:v>5450</c:v>
                </c:pt>
                <c:pt idx="59">
                  <c:v>8350</c:v>
                </c:pt>
                <c:pt idx="60">
                  <c:v>8350</c:v>
                </c:pt>
                <c:pt idx="61">
                  <c:v>7050</c:v>
                </c:pt>
                <c:pt idx="62">
                  <c:v>7050</c:v>
                </c:pt>
                <c:pt idx="63">
                  <c:v>4150</c:v>
                </c:pt>
                <c:pt idx="64">
                  <c:v>4150</c:v>
                </c:pt>
                <c:pt idx="65">
                  <c:v>2900</c:v>
                </c:pt>
                <c:pt idx="66">
                  <c:v>2900</c:v>
                </c:pt>
                <c:pt idx="67">
                  <c:v>7050</c:v>
                </c:pt>
                <c:pt idx="68">
                  <c:v>12500</c:v>
                </c:pt>
                <c:pt idx="69">
                  <c:v>12500</c:v>
                </c:pt>
                <c:pt idx="70">
                  <c:v>12500</c:v>
                </c:pt>
                <c:pt idx="71">
                  <c:v>8350</c:v>
                </c:pt>
                <c:pt idx="72">
                  <c:v>2900</c:v>
                </c:pt>
                <c:pt idx="73">
                  <c:v>5650</c:v>
                </c:pt>
                <c:pt idx="74">
                  <c:v>5650</c:v>
                </c:pt>
                <c:pt idx="75">
                  <c:v>8550</c:v>
                </c:pt>
              </c:numCache>
            </c:numRef>
          </c:val>
        </c:ser>
        <c:ser>
          <c:idx val="2"/>
          <c:order val="2"/>
          <c:tx>
            <c:strRef>
              <c:f>'New Ship Q'!$B$8</c:f>
              <c:strCache>
                <c:ptCount val="1"/>
                <c:pt idx="0">
                  <c:v>NCLH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'New Ship Q'!$BW$2:$ET$2</c:f>
              <c:numCache>
                <c:formatCode>mmm\-yy</c:formatCode>
                <c:ptCount val="76"/>
                <c:pt idx="0">
                  <c:v>38077</c:v>
                </c:pt>
                <c:pt idx="1">
                  <c:v>38168</c:v>
                </c:pt>
                <c:pt idx="2">
                  <c:v>38260</c:v>
                </c:pt>
                <c:pt idx="3">
                  <c:v>38352</c:v>
                </c:pt>
                <c:pt idx="4">
                  <c:v>38442</c:v>
                </c:pt>
                <c:pt idx="5">
                  <c:v>38533</c:v>
                </c:pt>
                <c:pt idx="6">
                  <c:v>38625</c:v>
                </c:pt>
                <c:pt idx="7">
                  <c:v>38717</c:v>
                </c:pt>
                <c:pt idx="8">
                  <c:v>38807</c:v>
                </c:pt>
                <c:pt idx="9">
                  <c:v>38898</c:v>
                </c:pt>
                <c:pt idx="10">
                  <c:v>38990</c:v>
                </c:pt>
                <c:pt idx="11">
                  <c:v>39082</c:v>
                </c:pt>
                <c:pt idx="12">
                  <c:v>39172</c:v>
                </c:pt>
                <c:pt idx="13">
                  <c:v>39263</c:v>
                </c:pt>
                <c:pt idx="14">
                  <c:v>39355</c:v>
                </c:pt>
                <c:pt idx="15">
                  <c:v>39447</c:v>
                </c:pt>
                <c:pt idx="16">
                  <c:v>39538</c:v>
                </c:pt>
                <c:pt idx="17">
                  <c:v>39629</c:v>
                </c:pt>
                <c:pt idx="18">
                  <c:v>39721</c:v>
                </c:pt>
                <c:pt idx="19">
                  <c:v>39813</c:v>
                </c:pt>
                <c:pt idx="20">
                  <c:v>39903</c:v>
                </c:pt>
                <c:pt idx="21">
                  <c:v>39994</c:v>
                </c:pt>
                <c:pt idx="22">
                  <c:v>40086</c:v>
                </c:pt>
                <c:pt idx="23">
                  <c:v>40178</c:v>
                </c:pt>
                <c:pt idx="24">
                  <c:v>40268</c:v>
                </c:pt>
                <c:pt idx="25">
                  <c:v>40359</c:v>
                </c:pt>
                <c:pt idx="26">
                  <c:v>40451</c:v>
                </c:pt>
                <c:pt idx="27">
                  <c:v>40543</c:v>
                </c:pt>
                <c:pt idx="28">
                  <c:v>40633</c:v>
                </c:pt>
                <c:pt idx="29">
                  <c:v>40724</c:v>
                </c:pt>
                <c:pt idx="30">
                  <c:v>40816</c:v>
                </c:pt>
                <c:pt idx="31">
                  <c:v>40908</c:v>
                </c:pt>
                <c:pt idx="32">
                  <c:v>40999</c:v>
                </c:pt>
                <c:pt idx="33">
                  <c:v>41090</c:v>
                </c:pt>
                <c:pt idx="34">
                  <c:v>41182</c:v>
                </c:pt>
                <c:pt idx="35">
                  <c:v>41274</c:v>
                </c:pt>
                <c:pt idx="36">
                  <c:v>41364</c:v>
                </c:pt>
                <c:pt idx="37">
                  <c:v>41455</c:v>
                </c:pt>
                <c:pt idx="38">
                  <c:v>41547</c:v>
                </c:pt>
                <c:pt idx="39">
                  <c:v>41639</c:v>
                </c:pt>
                <c:pt idx="40">
                  <c:v>41729</c:v>
                </c:pt>
                <c:pt idx="41">
                  <c:v>41820</c:v>
                </c:pt>
                <c:pt idx="42">
                  <c:v>41912</c:v>
                </c:pt>
                <c:pt idx="43">
                  <c:v>42004</c:v>
                </c:pt>
                <c:pt idx="44">
                  <c:v>42094</c:v>
                </c:pt>
                <c:pt idx="45">
                  <c:v>42185</c:v>
                </c:pt>
                <c:pt idx="46">
                  <c:v>42277</c:v>
                </c:pt>
                <c:pt idx="47">
                  <c:v>42369</c:v>
                </c:pt>
                <c:pt idx="48">
                  <c:v>42460</c:v>
                </c:pt>
                <c:pt idx="49">
                  <c:v>42551</c:v>
                </c:pt>
                <c:pt idx="50">
                  <c:v>42643</c:v>
                </c:pt>
                <c:pt idx="51">
                  <c:v>42735</c:v>
                </c:pt>
                <c:pt idx="52">
                  <c:v>42825</c:v>
                </c:pt>
                <c:pt idx="53">
                  <c:v>42916</c:v>
                </c:pt>
                <c:pt idx="54">
                  <c:v>43008</c:v>
                </c:pt>
                <c:pt idx="55">
                  <c:v>43100</c:v>
                </c:pt>
                <c:pt idx="56">
                  <c:v>43190</c:v>
                </c:pt>
                <c:pt idx="57">
                  <c:v>43281</c:v>
                </c:pt>
                <c:pt idx="58">
                  <c:v>43373</c:v>
                </c:pt>
                <c:pt idx="59">
                  <c:v>43465</c:v>
                </c:pt>
                <c:pt idx="60">
                  <c:v>43555</c:v>
                </c:pt>
                <c:pt idx="61">
                  <c:v>43646</c:v>
                </c:pt>
                <c:pt idx="62">
                  <c:v>43738</c:v>
                </c:pt>
                <c:pt idx="63">
                  <c:v>43830</c:v>
                </c:pt>
                <c:pt idx="64">
                  <c:v>43921</c:v>
                </c:pt>
                <c:pt idx="65">
                  <c:v>44012</c:v>
                </c:pt>
                <c:pt idx="66">
                  <c:v>44104</c:v>
                </c:pt>
                <c:pt idx="67">
                  <c:v>44196</c:v>
                </c:pt>
                <c:pt idx="68">
                  <c:v>44286</c:v>
                </c:pt>
                <c:pt idx="69">
                  <c:v>44377</c:v>
                </c:pt>
                <c:pt idx="70">
                  <c:v>44469</c:v>
                </c:pt>
                <c:pt idx="71">
                  <c:v>44561</c:v>
                </c:pt>
                <c:pt idx="72">
                  <c:v>44651</c:v>
                </c:pt>
                <c:pt idx="73">
                  <c:v>44742</c:v>
                </c:pt>
                <c:pt idx="74">
                  <c:v>44834</c:v>
                </c:pt>
                <c:pt idx="75">
                  <c:v>44926</c:v>
                </c:pt>
              </c:numCache>
            </c:numRef>
          </c:cat>
          <c:val>
            <c:numRef>
              <c:f>'New Ship Q'!$BW$8:$ET$8</c:f>
              <c:numCache>
                <c:formatCode>#,##0_);\(#,##0\)</c:formatCode>
                <c:ptCount val="76"/>
                <c:pt idx="6">
                  <c:v>4562</c:v>
                </c:pt>
                <c:pt idx="7">
                  <c:v>4562</c:v>
                </c:pt>
                <c:pt idx="8">
                  <c:v>6964</c:v>
                </c:pt>
                <c:pt idx="9">
                  <c:v>6964</c:v>
                </c:pt>
                <c:pt idx="10">
                  <c:v>2402</c:v>
                </c:pt>
                <c:pt idx="11">
                  <c:v>2402</c:v>
                </c:pt>
                <c:pt idx="12">
                  <c:v>2394</c:v>
                </c:pt>
                <c:pt idx="13">
                  <c:v>2394</c:v>
                </c:pt>
                <c:pt idx="14">
                  <c:v>2394</c:v>
                </c:pt>
                <c:pt idx="15">
                  <c:v>4788</c:v>
                </c:pt>
                <c:pt idx="16">
                  <c:v>2394</c:v>
                </c:pt>
                <c:pt idx="17">
                  <c:v>2394</c:v>
                </c:pt>
                <c:pt idx="18">
                  <c:v>2394</c:v>
                </c:pt>
                <c:pt idx="24">
                  <c:v>0</c:v>
                </c:pt>
                <c:pt idx="25">
                  <c:v>0</c:v>
                </c:pt>
                <c:pt idx="26">
                  <c:v>4228</c:v>
                </c:pt>
                <c:pt idx="27">
                  <c:v>4228</c:v>
                </c:pt>
                <c:pt idx="28">
                  <c:v>4228</c:v>
                </c:pt>
                <c:pt idx="29">
                  <c:v>4228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3957</c:v>
                </c:pt>
                <c:pt idx="38">
                  <c:v>3957</c:v>
                </c:pt>
                <c:pt idx="39">
                  <c:v>3957</c:v>
                </c:pt>
                <c:pt idx="40">
                  <c:v>7914</c:v>
                </c:pt>
                <c:pt idx="41">
                  <c:v>3957</c:v>
                </c:pt>
                <c:pt idx="42">
                  <c:v>3957</c:v>
                </c:pt>
                <c:pt idx="43">
                  <c:v>3957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4266</c:v>
                </c:pt>
                <c:pt idx="48">
                  <c:v>4266</c:v>
                </c:pt>
                <c:pt idx="49">
                  <c:v>4266</c:v>
                </c:pt>
                <c:pt idx="50">
                  <c:v>5020</c:v>
                </c:pt>
                <c:pt idx="51">
                  <c:v>754</c:v>
                </c:pt>
                <c:pt idx="52">
                  <c:v>754</c:v>
                </c:pt>
                <c:pt idx="53">
                  <c:v>754</c:v>
                </c:pt>
                <c:pt idx="54">
                  <c:v>4200</c:v>
                </c:pt>
                <c:pt idx="55">
                  <c:v>4200</c:v>
                </c:pt>
                <c:pt idx="56">
                  <c:v>4200</c:v>
                </c:pt>
                <c:pt idx="57">
                  <c:v>4200</c:v>
                </c:pt>
                <c:pt idx="58">
                  <c:v>4200</c:v>
                </c:pt>
                <c:pt idx="59">
                  <c:v>4200</c:v>
                </c:pt>
                <c:pt idx="60">
                  <c:v>4200</c:v>
                </c:pt>
                <c:pt idx="61">
                  <c:v>4200</c:v>
                </c:pt>
                <c:pt idx="62">
                  <c:v>0</c:v>
                </c:pt>
                <c:pt idx="63">
                  <c:v>4200</c:v>
                </c:pt>
                <c:pt idx="64">
                  <c:v>4200</c:v>
                </c:pt>
                <c:pt idx="65">
                  <c:v>4200</c:v>
                </c:pt>
                <c:pt idx="66">
                  <c:v>4938</c:v>
                </c:pt>
                <c:pt idx="67">
                  <c:v>738</c:v>
                </c:pt>
                <c:pt idx="68">
                  <c:v>738</c:v>
                </c:pt>
                <c:pt idx="69">
                  <c:v>738</c:v>
                </c:pt>
                <c:pt idx="70">
                  <c:v>0</c:v>
                </c:pt>
                <c:pt idx="71">
                  <c:v>0</c:v>
                </c:pt>
                <c:pt idx="72">
                  <c:v>3300</c:v>
                </c:pt>
                <c:pt idx="73">
                  <c:v>3300</c:v>
                </c:pt>
                <c:pt idx="74">
                  <c:v>3300</c:v>
                </c:pt>
                <c:pt idx="75">
                  <c:v>3300</c:v>
                </c:pt>
              </c:numCache>
            </c:numRef>
          </c:val>
        </c:ser>
        <c:ser>
          <c:idx val="3"/>
          <c:order val="3"/>
          <c:tx>
            <c:strRef>
              <c:f>'New Ship Q'!$B$9</c:f>
              <c:strCache>
                <c:ptCount val="1"/>
                <c:pt idx="0">
                  <c:v>MSC Cruises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'New Ship Q'!$BW$2:$ET$2</c:f>
              <c:numCache>
                <c:formatCode>mmm\-yy</c:formatCode>
                <c:ptCount val="76"/>
                <c:pt idx="0">
                  <c:v>38077</c:v>
                </c:pt>
                <c:pt idx="1">
                  <c:v>38168</c:v>
                </c:pt>
                <c:pt idx="2">
                  <c:v>38260</c:v>
                </c:pt>
                <c:pt idx="3">
                  <c:v>38352</c:v>
                </c:pt>
                <c:pt idx="4">
                  <c:v>38442</c:v>
                </c:pt>
                <c:pt idx="5">
                  <c:v>38533</c:v>
                </c:pt>
                <c:pt idx="6">
                  <c:v>38625</c:v>
                </c:pt>
                <c:pt idx="7">
                  <c:v>38717</c:v>
                </c:pt>
                <c:pt idx="8">
                  <c:v>38807</c:v>
                </c:pt>
                <c:pt idx="9">
                  <c:v>38898</c:v>
                </c:pt>
                <c:pt idx="10">
                  <c:v>38990</c:v>
                </c:pt>
                <c:pt idx="11">
                  <c:v>39082</c:v>
                </c:pt>
                <c:pt idx="12">
                  <c:v>39172</c:v>
                </c:pt>
                <c:pt idx="13">
                  <c:v>39263</c:v>
                </c:pt>
                <c:pt idx="14">
                  <c:v>39355</c:v>
                </c:pt>
                <c:pt idx="15">
                  <c:v>39447</c:v>
                </c:pt>
                <c:pt idx="16">
                  <c:v>39538</c:v>
                </c:pt>
                <c:pt idx="17">
                  <c:v>39629</c:v>
                </c:pt>
                <c:pt idx="18">
                  <c:v>39721</c:v>
                </c:pt>
                <c:pt idx="19">
                  <c:v>39813</c:v>
                </c:pt>
                <c:pt idx="20">
                  <c:v>39903</c:v>
                </c:pt>
                <c:pt idx="21">
                  <c:v>39994</c:v>
                </c:pt>
                <c:pt idx="22">
                  <c:v>40086</c:v>
                </c:pt>
                <c:pt idx="23">
                  <c:v>40178</c:v>
                </c:pt>
                <c:pt idx="24">
                  <c:v>40268</c:v>
                </c:pt>
                <c:pt idx="25">
                  <c:v>40359</c:v>
                </c:pt>
                <c:pt idx="26">
                  <c:v>40451</c:v>
                </c:pt>
                <c:pt idx="27">
                  <c:v>40543</c:v>
                </c:pt>
                <c:pt idx="28">
                  <c:v>40633</c:v>
                </c:pt>
                <c:pt idx="29">
                  <c:v>40724</c:v>
                </c:pt>
                <c:pt idx="30">
                  <c:v>40816</c:v>
                </c:pt>
                <c:pt idx="31">
                  <c:v>40908</c:v>
                </c:pt>
                <c:pt idx="32">
                  <c:v>40999</c:v>
                </c:pt>
                <c:pt idx="33">
                  <c:v>41090</c:v>
                </c:pt>
                <c:pt idx="34">
                  <c:v>41182</c:v>
                </c:pt>
                <c:pt idx="35">
                  <c:v>41274</c:v>
                </c:pt>
                <c:pt idx="36">
                  <c:v>41364</c:v>
                </c:pt>
                <c:pt idx="37">
                  <c:v>41455</c:v>
                </c:pt>
                <c:pt idx="38">
                  <c:v>41547</c:v>
                </c:pt>
                <c:pt idx="39">
                  <c:v>41639</c:v>
                </c:pt>
                <c:pt idx="40">
                  <c:v>41729</c:v>
                </c:pt>
                <c:pt idx="41">
                  <c:v>41820</c:v>
                </c:pt>
                <c:pt idx="42">
                  <c:v>41912</c:v>
                </c:pt>
                <c:pt idx="43">
                  <c:v>42004</c:v>
                </c:pt>
                <c:pt idx="44">
                  <c:v>42094</c:v>
                </c:pt>
                <c:pt idx="45">
                  <c:v>42185</c:v>
                </c:pt>
                <c:pt idx="46">
                  <c:v>42277</c:v>
                </c:pt>
                <c:pt idx="47">
                  <c:v>42369</c:v>
                </c:pt>
                <c:pt idx="48">
                  <c:v>42460</c:v>
                </c:pt>
                <c:pt idx="49">
                  <c:v>42551</c:v>
                </c:pt>
                <c:pt idx="50">
                  <c:v>42643</c:v>
                </c:pt>
                <c:pt idx="51">
                  <c:v>42735</c:v>
                </c:pt>
                <c:pt idx="52">
                  <c:v>42825</c:v>
                </c:pt>
                <c:pt idx="53">
                  <c:v>42916</c:v>
                </c:pt>
                <c:pt idx="54">
                  <c:v>43008</c:v>
                </c:pt>
                <c:pt idx="55">
                  <c:v>43100</c:v>
                </c:pt>
                <c:pt idx="56">
                  <c:v>43190</c:v>
                </c:pt>
                <c:pt idx="57">
                  <c:v>43281</c:v>
                </c:pt>
                <c:pt idx="58">
                  <c:v>43373</c:v>
                </c:pt>
                <c:pt idx="59">
                  <c:v>43465</c:v>
                </c:pt>
                <c:pt idx="60">
                  <c:v>43555</c:v>
                </c:pt>
                <c:pt idx="61">
                  <c:v>43646</c:v>
                </c:pt>
                <c:pt idx="62">
                  <c:v>43738</c:v>
                </c:pt>
                <c:pt idx="63">
                  <c:v>43830</c:v>
                </c:pt>
                <c:pt idx="64">
                  <c:v>43921</c:v>
                </c:pt>
                <c:pt idx="65">
                  <c:v>44012</c:v>
                </c:pt>
                <c:pt idx="66">
                  <c:v>44104</c:v>
                </c:pt>
                <c:pt idx="67">
                  <c:v>44196</c:v>
                </c:pt>
                <c:pt idx="68">
                  <c:v>44286</c:v>
                </c:pt>
                <c:pt idx="69">
                  <c:v>44377</c:v>
                </c:pt>
                <c:pt idx="70">
                  <c:v>44469</c:v>
                </c:pt>
                <c:pt idx="71">
                  <c:v>44561</c:v>
                </c:pt>
                <c:pt idx="72">
                  <c:v>44651</c:v>
                </c:pt>
                <c:pt idx="73">
                  <c:v>44742</c:v>
                </c:pt>
                <c:pt idx="74">
                  <c:v>44834</c:v>
                </c:pt>
                <c:pt idx="75">
                  <c:v>44926</c:v>
                </c:pt>
              </c:numCache>
            </c:numRef>
          </c:cat>
          <c:val>
            <c:numRef>
              <c:f>'New Ship Q'!$BW$9:$ET$9</c:f>
              <c:numCache>
                <c:formatCode>#,##0_);\(#,##0\)</c:formatCode>
                <c:ptCount val="76"/>
                <c:pt idx="0">
                  <c:v>2142</c:v>
                </c:pt>
                <c:pt idx="1">
                  <c:v>2142</c:v>
                </c:pt>
                <c:pt idx="2">
                  <c:v>2142</c:v>
                </c:pt>
                <c:pt idx="3">
                  <c:v>2142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2550</c:v>
                </c:pt>
                <c:pt idx="11">
                  <c:v>2500</c:v>
                </c:pt>
                <c:pt idx="12">
                  <c:v>2500</c:v>
                </c:pt>
                <c:pt idx="13">
                  <c:v>5050</c:v>
                </c:pt>
                <c:pt idx="14">
                  <c:v>2550</c:v>
                </c:pt>
                <c:pt idx="15">
                  <c:v>2550</c:v>
                </c:pt>
                <c:pt idx="16">
                  <c:v>2550</c:v>
                </c:pt>
                <c:pt idx="17">
                  <c:v>0</c:v>
                </c:pt>
                <c:pt idx="18">
                  <c:v>0</c:v>
                </c:pt>
                <c:pt idx="19">
                  <c:v>5824</c:v>
                </c:pt>
                <c:pt idx="20">
                  <c:v>5824</c:v>
                </c:pt>
                <c:pt idx="21">
                  <c:v>5824</c:v>
                </c:pt>
                <c:pt idx="22">
                  <c:v>9098</c:v>
                </c:pt>
                <c:pt idx="23">
                  <c:v>3274</c:v>
                </c:pt>
                <c:pt idx="24">
                  <c:v>5824</c:v>
                </c:pt>
                <c:pt idx="25">
                  <c:v>5824</c:v>
                </c:pt>
                <c:pt idx="26">
                  <c:v>2550</c:v>
                </c:pt>
                <c:pt idx="27">
                  <c:v>2550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3274</c:v>
                </c:pt>
                <c:pt idx="34">
                  <c:v>3274</c:v>
                </c:pt>
                <c:pt idx="35">
                  <c:v>3274</c:v>
                </c:pt>
                <c:pt idx="36">
                  <c:v>6548</c:v>
                </c:pt>
                <c:pt idx="37">
                  <c:v>3274</c:v>
                </c:pt>
                <c:pt idx="38">
                  <c:v>3274</c:v>
                </c:pt>
                <c:pt idx="39">
                  <c:v>3274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4488</c:v>
                </c:pt>
                <c:pt idx="54">
                  <c:v>4488</c:v>
                </c:pt>
                <c:pt idx="55">
                  <c:v>8622</c:v>
                </c:pt>
                <c:pt idx="56">
                  <c:v>8622</c:v>
                </c:pt>
                <c:pt idx="57">
                  <c:v>8268</c:v>
                </c:pt>
                <c:pt idx="58">
                  <c:v>8268</c:v>
                </c:pt>
                <c:pt idx="59">
                  <c:v>4134</c:v>
                </c:pt>
                <c:pt idx="60">
                  <c:v>8622</c:v>
                </c:pt>
                <c:pt idx="61">
                  <c:v>4488</c:v>
                </c:pt>
                <c:pt idx="62">
                  <c:v>4488</c:v>
                </c:pt>
                <c:pt idx="63">
                  <c:v>9376</c:v>
                </c:pt>
                <c:pt idx="64">
                  <c:v>4888</c:v>
                </c:pt>
                <c:pt idx="65">
                  <c:v>4888</c:v>
                </c:pt>
                <c:pt idx="66">
                  <c:v>9776</c:v>
                </c:pt>
                <c:pt idx="67">
                  <c:v>4888</c:v>
                </c:pt>
                <c:pt idx="68">
                  <c:v>4888</c:v>
                </c:pt>
                <c:pt idx="69">
                  <c:v>4888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5400</c:v>
                </c:pt>
                <c:pt idx="75">
                  <c:v>5400</c:v>
                </c:pt>
              </c:numCache>
            </c:numRef>
          </c:val>
        </c:ser>
        <c:ser>
          <c:idx val="4"/>
          <c:order val="4"/>
          <c:tx>
            <c:strRef>
              <c:f>'New Ship Q'!$B$10</c:f>
              <c:strCache>
                <c:ptCount val="1"/>
                <c:pt idx="0">
                  <c:v>Other (Genting Hong Kong, TUI Cruises, Virgin, Disney)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'New Ship Q'!$BW$10:$ET$10</c:f>
              <c:numCache>
                <c:formatCode>#,##0_);\(#,##0\)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2500</c:v>
                </c:pt>
                <c:pt idx="42">
                  <c:v>2500</c:v>
                </c:pt>
                <c:pt idx="43">
                  <c:v>2500</c:v>
                </c:pt>
                <c:pt idx="44">
                  <c:v>2500</c:v>
                </c:pt>
                <c:pt idx="45">
                  <c:v>2500</c:v>
                </c:pt>
                <c:pt idx="46">
                  <c:v>2500</c:v>
                </c:pt>
                <c:pt idx="47">
                  <c:v>2500</c:v>
                </c:pt>
                <c:pt idx="48">
                  <c:v>2500</c:v>
                </c:pt>
                <c:pt idx="49">
                  <c:v>0</c:v>
                </c:pt>
                <c:pt idx="50">
                  <c:v>2500</c:v>
                </c:pt>
                <c:pt idx="51">
                  <c:v>5852</c:v>
                </c:pt>
                <c:pt idx="52">
                  <c:v>5852</c:v>
                </c:pt>
                <c:pt idx="53">
                  <c:v>8352</c:v>
                </c:pt>
                <c:pt idx="54">
                  <c:v>5852</c:v>
                </c:pt>
                <c:pt idx="55">
                  <c:v>5852</c:v>
                </c:pt>
                <c:pt idx="56">
                  <c:v>5852</c:v>
                </c:pt>
                <c:pt idx="57">
                  <c:v>6252</c:v>
                </c:pt>
                <c:pt idx="58">
                  <c:v>2900</c:v>
                </c:pt>
                <c:pt idx="59">
                  <c:v>2900</c:v>
                </c:pt>
                <c:pt idx="60">
                  <c:v>2900</c:v>
                </c:pt>
                <c:pt idx="61">
                  <c:v>2900</c:v>
                </c:pt>
                <c:pt idx="62">
                  <c:v>2900</c:v>
                </c:pt>
                <c:pt idx="63">
                  <c:v>2900</c:v>
                </c:pt>
                <c:pt idx="64">
                  <c:v>2900</c:v>
                </c:pt>
                <c:pt idx="65">
                  <c:v>0</c:v>
                </c:pt>
                <c:pt idx="66">
                  <c:v>8000</c:v>
                </c:pt>
                <c:pt idx="67">
                  <c:v>8000</c:v>
                </c:pt>
                <c:pt idx="68">
                  <c:v>8000</c:v>
                </c:pt>
                <c:pt idx="69">
                  <c:v>8000</c:v>
                </c:pt>
                <c:pt idx="70">
                  <c:v>10500</c:v>
                </c:pt>
                <c:pt idx="71">
                  <c:v>10500</c:v>
                </c:pt>
                <c:pt idx="72">
                  <c:v>10500</c:v>
                </c:pt>
                <c:pt idx="73">
                  <c:v>10500</c:v>
                </c:pt>
                <c:pt idx="74">
                  <c:v>2800</c:v>
                </c:pt>
                <c:pt idx="75">
                  <c:v>2800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40801024"/>
        <c:axId val="40802560"/>
      </c:barChart>
      <c:catAx>
        <c:axId val="408010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02560"/>
        <c:crosses val="autoZero"/>
        <c:auto val="0"/>
        <c:lblAlgn val="ctr"/>
        <c:lblOffset val="100"/>
        <c:noMultiLvlLbl val="0"/>
      </c:catAx>
      <c:valAx>
        <c:axId val="40802560"/>
        <c:scaling>
          <c:orientation val="minMax"/>
          <c:max val="50000"/>
        </c:scaling>
        <c:delete val="0"/>
        <c:axPos val="l"/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0102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354241705981622E-2"/>
          <c:y val="0.93751301837114143"/>
          <c:w val="0.9072941425500598"/>
          <c:h val="6.24869816288585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China &amp; Hong Kong Cruise</a:t>
            </a:r>
            <a:r>
              <a:rPr lang="en-US" sz="1200" b="1" baseline="0">
                <a:solidFill>
                  <a:schemeClr val="tx1"/>
                </a:solidFill>
              </a:rPr>
              <a:t> Passenger Volumes</a:t>
            </a:r>
            <a:endParaRPr lang="en-US" sz="12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119586614173228"/>
          <c:y val="0.15986159169550174"/>
          <c:w val="0.85015830052493435"/>
          <c:h val="0.733110644906410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'China 2'!$R$5</c:f>
              <c:strCache>
                <c:ptCount val="1"/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0"/>
                  <c:y val="-6.799480514762644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"/>
                  <c:y val="-1.7916791542925646E-3"/>
                </c:manualLayout>
              </c:layout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'China 2'!$O$6:$O$14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2016e</c:v>
                </c:pt>
                <c:pt idx="5">
                  <c:v>2017e</c:v>
                </c:pt>
                <c:pt idx="6">
                  <c:v>2018e</c:v>
                </c:pt>
                <c:pt idx="7">
                  <c:v>2019e</c:v>
                </c:pt>
                <c:pt idx="8">
                  <c:v>2020e</c:v>
                </c:pt>
              </c:strCache>
            </c:strRef>
          </c:cat>
          <c:val>
            <c:numRef>
              <c:f>'China 2'!$R$6:$R$14</c:f>
              <c:numCache>
                <c:formatCode>#,##0</c:formatCode>
                <c:ptCount val="9"/>
                <c:pt idx="0">
                  <c:v>243211</c:v>
                </c:pt>
                <c:pt idx="1">
                  <c:v>502883</c:v>
                </c:pt>
                <c:pt idx="2">
                  <c:v>785217</c:v>
                </c:pt>
                <c:pt idx="3">
                  <c:v>1113168</c:v>
                </c:pt>
                <c:pt idx="4" formatCode="General">
                  <c:v>1779000</c:v>
                </c:pt>
                <c:pt idx="5" formatCode="General">
                  <c:v>2402000</c:v>
                </c:pt>
                <c:pt idx="6" formatCode="General">
                  <c:v>3123000</c:v>
                </c:pt>
                <c:pt idx="7" formatCode="General">
                  <c:v>3747000</c:v>
                </c:pt>
                <c:pt idx="8" formatCode="General">
                  <c:v>4497000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91268608"/>
        <c:axId val="91270144"/>
      </c:barChart>
      <c:catAx>
        <c:axId val="9126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70144"/>
        <c:crosses val="autoZero"/>
        <c:auto val="1"/>
        <c:lblAlgn val="ctr"/>
        <c:lblOffset val="100"/>
        <c:noMultiLvlLbl val="0"/>
      </c:catAx>
      <c:valAx>
        <c:axId val="91270144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68608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'China 1'!$C$47</c:f>
              <c:strCache>
                <c:ptCount val="1"/>
                <c:pt idx="0">
                  <c:v>CCL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'China 1'!$H$47:$L$47</c:f>
              <c:numCache>
                <c:formatCode>#,##0_);\(#,##0\)</c:formatCode>
                <c:ptCount val="5"/>
                <c:pt idx="0">
                  <c:v>9830</c:v>
                </c:pt>
                <c:pt idx="1">
                  <c:v>15160</c:v>
                </c:pt>
                <c:pt idx="2">
                  <c:v>20298</c:v>
                </c:pt>
                <c:pt idx="3">
                  <c:v>24472</c:v>
                </c:pt>
                <c:pt idx="4">
                  <c:v>31684</c:v>
                </c:pt>
              </c:numCache>
            </c:numRef>
          </c:val>
        </c:ser>
        <c:ser>
          <c:idx val="1"/>
          <c:order val="1"/>
          <c:tx>
            <c:strRef>
              <c:f>'China 1'!$C$48</c:f>
              <c:strCache>
                <c:ptCount val="1"/>
                <c:pt idx="0">
                  <c:v>RCL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'China 1'!$H$48:$L$48</c:f>
              <c:numCache>
                <c:formatCode>#,##0_);\(#,##0\)</c:formatCode>
                <c:ptCount val="5"/>
                <c:pt idx="0">
                  <c:v>14192</c:v>
                </c:pt>
                <c:pt idx="1">
                  <c:v>18354</c:v>
                </c:pt>
                <c:pt idx="2">
                  <c:v>18354</c:v>
                </c:pt>
                <c:pt idx="3">
                  <c:v>18354</c:v>
                </c:pt>
                <c:pt idx="4">
                  <c:v>18354</c:v>
                </c:pt>
              </c:numCache>
            </c:numRef>
          </c:val>
        </c:ser>
        <c:ser>
          <c:idx val="2"/>
          <c:order val="2"/>
          <c:tx>
            <c:strRef>
              <c:f>'China 1'!$C$49</c:f>
              <c:strCache>
                <c:ptCount val="1"/>
                <c:pt idx="0">
                  <c:v>NCL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'China 1'!$H$49:$L$49</c:f>
              <c:numCache>
                <c:formatCode>#,##0_);\(#,##0\)</c:formatCode>
                <c:ptCount val="5"/>
                <c:pt idx="2">
                  <c:v>4200</c:v>
                </c:pt>
                <c:pt idx="3">
                  <c:v>4200</c:v>
                </c:pt>
                <c:pt idx="4">
                  <c:v>4200</c:v>
                </c:pt>
              </c:numCache>
            </c:numRef>
          </c:val>
        </c:ser>
        <c:ser>
          <c:idx val="3"/>
          <c:order val="3"/>
          <c:tx>
            <c:strRef>
              <c:f>'China 1'!$C$50</c:f>
              <c:strCache>
                <c:ptCount val="1"/>
                <c:pt idx="0">
                  <c:v>GENHK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'China 1'!$H$50:$L$50</c:f>
              <c:numCache>
                <c:formatCode>#,##0_);\(#,##0\)</c:formatCode>
                <c:ptCount val="5"/>
                <c:pt idx="0">
                  <c:v>5204</c:v>
                </c:pt>
                <c:pt idx="1">
                  <c:v>8568</c:v>
                </c:pt>
                <c:pt idx="2">
                  <c:v>11932</c:v>
                </c:pt>
                <c:pt idx="3">
                  <c:v>11932</c:v>
                </c:pt>
                <c:pt idx="4">
                  <c:v>11932</c:v>
                </c:pt>
              </c:numCache>
            </c:numRef>
          </c:val>
        </c:ser>
        <c:ser>
          <c:idx val="4"/>
          <c:order val="4"/>
          <c:tx>
            <c:strRef>
              <c:f>'China 1'!$C$51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'China 1'!$H$51:$L$51</c:f>
              <c:numCache>
                <c:formatCode>#,##0_);\(#,##0\)</c:formatCode>
                <c:ptCount val="5"/>
                <c:pt idx="1">
                  <c:v>1976</c:v>
                </c:pt>
                <c:pt idx="2">
                  <c:v>1976</c:v>
                </c:pt>
                <c:pt idx="3">
                  <c:v>5246</c:v>
                </c:pt>
                <c:pt idx="4">
                  <c:v>5246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210496"/>
        <c:axId val="93212032"/>
      </c:barChart>
      <c:catAx>
        <c:axId val="93210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12032"/>
        <c:crosses val="autoZero"/>
        <c:auto val="1"/>
        <c:lblAlgn val="ctr"/>
        <c:lblOffset val="100"/>
        <c:noMultiLvlLbl val="0"/>
      </c:catAx>
      <c:valAx>
        <c:axId val="93212032"/>
        <c:scaling>
          <c:orientation val="minMax"/>
        </c:scaling>
        <c:delete val="0"/>
        <c:axPos val="l"/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1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chemeClr val="tx1"/>
                </a:solidFill>
              </a:rPr>
              <a:t>Cruise - Contribution to Global Gross Capacity Growth (%YoY)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9502045598677803E-2"/>
          <c:y val="0.24833314597040285"/>
          <c:w val="0.94043282588706667"/>
          <c:h val="0.677883718315866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'Ship Table'!$AP$46</c:f>
              <c:strCache>
                <c:ptCount val="1"/>
                <c:pt idx="0">
                  <c:v>CCL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'Ship Table'!$AR$4:$AV$4</c:f>
              <c:strCache>
                <c:ptCount val="5"/>
                <c:pt idx="0">
                  <c:v>2017</c:v>
                </c:pt>
                <c:pt idx="1">
                  <c:v>2018e</c:v>
                </c:pt>
                <c:pt idx="2">
                  <c:v>2019e</c:v>
                </c:pt>
                <c:pt idx="3">
                  <c:v>2020e</c:v>
                </c:pt>
                <c:pt idx="4">
                  <c:v>2021e</c:v>
                </c:pt>
              </c:strCache>
            </c:strRef>
          </c:cat>
          <c:val>
            <c:numRef>
              <c:f>'Ship Table'!$AR$46:$AV$46</c:f>
              <c:numCache>
                <c:formatCode>0.0%</c:formatCode>
                <c:ptCount val="5"/>
                <c:pt idx="0">
                  <c:v>1.3632978595623034E-2</c:v>
                </c:pt>
                <c:pt idx="1">
                  <c:v>2.3537127174028415E-2</c:v>
                </c:pt>
                <c:pt idx="2">
                  <c:v>3.0337466914135278E-2</c:v>
                </c:pt>
                <c:pt idx="3">
                  <c:v>2.9859149332176413E-2</c:v>
                </c:pt>
                <c:pt idx="4">
                  <c:v>2.0238962327015761E-2</c:v>
                </c:pt>
              </c:numCache>
            </c:numRef>
          </c:val>
        </c:ser>
        <c:ser>
          <c:idx val="1"/>
          <c:order val="1"/>
          <c:tx>
            <c:strRef>
              <c:f>'Ship Table'!$AP$47</c:f>
              <c:strCache>
                <c:ptCount val="1"/>
                <c:pt idx="0">
                  <c:v>RCL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'Ship Table'!$AR$4:$AV$4</c:f>
              <c:strCache>
                <c:ptCount val="5"/>
                <c:pt idx="0">
                  <c:v>2017</c:v>
                </c:pt>
                <c:pt idx="1">
                  <c:v>2018e</c:v>
                </c:pt>
                <c:pt idx="2">
                  <c:v>2019e</c:v>
                </c:pt>
                <c:pt idx="3">
                  <c:v>2020e</c:v>
                </c:pt>
                <c:pt idx="4">
                  <c:v>2021e</c:v>
                </c:pt>
              </c:strCache>
            </c:strRef>
          </c:cat>
          <c:val>
            <c:numRef>
              <c:f>'Ship Table'!$AR$47:$AV$47</c:f>
              <c:numCache>
                <c:formatCode>0.0%</c:formatCode>
                <c:ptCount val="5"/>
                <c:pt idx="0">
                  <c:v>3.3055308653838363E-3</c:v>
                </c:pt>
                <c:pt idx="1">
                  <c:v>1.848018923713779E-2</c:v>
                </c:pt>
                <c:pt idx="2">
                  <c:v>1.0206299049905774E-2</c:v>
                </c:pt>
                <c:pt idx="3">
                  <c:v>1.2249557047335482E-2</c:v>
                </c:pt>
                <c:pt idx="4">
                  <c:v>1.3478485642114409E-2</c:v>
                </c:pt>
              </c:numCache>
            </c:numRef>
          </c:val>
        </c:ser>
        <c:ser>
          <c:idx val="2"/>
          <c:order val="2"/>
          <c:tx>
            <c:strRef>
              <c:f>'Ship Table'!$AP$48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'Ship Table'!$AR$4:$AV$4</c:f>
              <c:strCache>
                <c:ptCount val="5"/>
                <c:pt idx="0">
                  <c:v>2017</c:v>
                </c:pt>
                <c:pt idx="1">
                  <c:v>2018e</c:v>
                </c:pt>
                <c:pt idx="2">
                  <c:v>2019e</c:v>
                </c:pt>
                <c:pt idx="3">
                  <c:v>2020e</c:v>
                </c:pt>
                <c:pt idx="4">
                  <c:v>2021e</c:v>
                </c:pt>
              </c:strCache>
            </c:strRef>
          </c:cat>
          <c:val>
            <c:numRef>
              <c:f>'Ship Table'!$AR$48:$AV$48</c:f>
              <c:numCache>
                <c:formatCode>0.0%</c:formatCode>
                <c:ptCount val="5"/>
                <c:pt idx="0">
                  <c:v>1.7272443366084512E-2</c:v>
                </c:pt>
                <c:pt idx="1">
                  <c:v>7.8469726606923539E-3</c:v>
                </c:pt>
                <c:pt idx="2">
                  <c:v>1.6721943364836896E-2</c:v>
                </c:pt>
                <c:pt idx="3">
                  <c:v>8.0940285013131278E-3</c:v>
                </c:pt>
                <c:pt idx="4">
                  <c:v>7.0665902152520568E-3</c:v>
                </c:pt>
              </c:numCache>
            </c:numRef>
          </c:val>
        </c:ser>
        <c:ser>
          <c:idx val="3"/>
          <c:order val="3"/>
          <c:tx>
            <c:strRef>
              <c:f>'Ship Table'!$AP$49</c:f>
              <c:strCache>
                <c:ptCount val="1"/>
                <c:pt idx="0">
                  <c:v>NCLH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'Ship Table'!$AR$4:$AV$4</c:f>
              <c:strCache>
                <c:ptCount val="5"/>
                <c:pt idx="0">
                  <c:v>2017</c:v>
                </c:pt>
                <c:pt idx="1">
                  <c:v>2018e</c:v>
                </c:pt>
                <c:pt idx="2">
                  <c:v>2019e</c:v>
                </c:pt>
                <c:pt idx="3">
                  <c:v>2020e</c:v>
                </c:pt>
                <c:pt idx="4">
                  <c:v>2021e</c:v>
                </c:pt>
              </c:strCache>
            </c:strRef>
          </c:cat>
          <c:val>
            <c:numRef>
              <c:f>'Ship Table'!$AR$49:$AV$49</c:f>
              <c:numCache>
                <c:formatCode>0.0%</c:formatCode>
                <c:ptCount val="5"/>
                <c:pt idx="0">
                  <c:v>8.5080997109247998E-3</c:v>
                </c:pt>
                <c:pt idx="1">
                  <c:v>7.9606969021516621E-3</c:v>
                </c:pt>
                <c:pt idx="2">
                  <c:v>7.4810568952188919E-3</c:v>
                </c:pt>
                <c:pt idx="3">
                  <c:v>1.2220525846908935E-3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'Ship Table'!$AP$50</c:f>
              <c:strCache>
                <c:ptCount val="1"/>
                <c:pt idx="0">
                  <c:v>GENHK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'Ship Table'!$AR$4:$AV$4</c:f>
              <c:strCache>
                <c:ptCount val="5"/>
                <c:pt idx="0">
                  <c:v>2017</c:v>
                </c:pt>
                <c:pt idx="1">
                  <c:v>2018e</c:v>
                </c:pt>
                <c:pt idx="2">
                  <c:v>2019e</c:v>
                </c:pt>
                <c:pt idx="3">
                  <c:v>2020e</c:v>
                </c:pt>
                <c:pt idx="4">
                  <c:v>2021e</c:v>
                </c:pt>
              </c:strCache>
            </c:strRef>
          </c:cat>
          <c:val>
            <c:numRef>
              <c:f>'Ship Table'!$AR$50:$AV$50</c:f>
              <c:numCache>
                <c:formatCode>0.0%</c:formatCode>
                <c:ptCount val="5"/>
                <c:pt idx="0">
                  <c:v>6.7344111594237711E-3</c:v>
                </c:pt>
                <c:pt idx="1">
                  <c:v>0</c:v>
                </c:pt>
                <c:pt idx="2">
                  <c:v>0</c:v>
                </c:pt>
                <c:pt idx="3">
                  <c:v>8.6106686184182196E-3</c:v>
                </c:pt>
                <c:pt idx="4">
                  <c:v>8.0583923507260308E-3</c:v>
                </c:pt>
              </c:numCache>
            </c:numRef>
          </c:val>
        </c:ser>
        <c:ser>
          <c:idx val="5"/>
          <c:order val="5"/>
          <c:tx>
            <c:strRef>
              <c:f>'Ship Table'!$AP$51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'Ship Table'!$AR$4:$AV$4</c:f>
              <c:strCache>
                <c:ptCount val="5"/>
                <c:pt idx="0">
                  <c:v>2017</c:v>
                </c:pt>
                <c:pt idx="1">
                  <c:v>2018e</c:v>
                </c:pt>
                <c:pt idx="2">
                  <c:v>2019e</c:v>
                </c:pt>
                <c:pt idx="3">
                  <c:v>2020e</c:v>
                </c:pt>
                <c:pt idx="4">
                  <c:v>2021e</c:v>
                </c:pt>
              </c:strCache>
            </c:strRef>
          </c:cat>
          <c:val>
            <c:numRef>
              <c:f>'Ship Table'!$AR$51:$AV$51</c:f>
              <c:numCache>
                <c:formatCode>0.0%</c:formatCode>
                <c:ptCount val="5"/>
                <c:pt idx="0">
                  <c:v>6.7360286993217921E-3</c:v>
                </c:pt>
                <c:pt idx="1">
                  <c:v>6.2889505526998136E-3</c:v>
                </c:pt>
                <c:pt idx="2">
                  <c:v>1.0925905475064925E-2</c:v>
                </c:pt>
                <c:pt idx="3">
                  <c:v>8.4988425274300332E-3</c:v>
                </c:pt>
                <c:pt idx="4">
                  <c:v>1.2268077918455078E-2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40867328"/>
        <c:axId val="40868864"/>
      </c:barChart>
      <c:lineChart>
        <c:grouping val="standard"/>
        <c:varyColors val="0"/>
        <c:ser>
          <c:idx val="6"/>
          <c:order val="6"/>
          <c:tx>
            <c:strRef>
              <c:f>'Ship Table'!$AP$52</c:f>
              <c:strCache>
                <c:ptCount val="1"/>
                <c:pt idx="0">
                  <c:v>Global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'Ship Table'!$AR$4:$AV$4</c:f>
              <c:strCache>
                <c:ptCount val="5"/>
                <c:pt idx="0">
                  <c:v>2017</c:v>
                </c:pt>
                <c:pt idx="1">
                  <c:v>2018e</c:v>
                </c:pt>
                <c:pt idx="2">
                  <c:v>2019e</c:v>
                </c:pt>
                <c:pt idx="3">
                  <c:v>2020e</c:v>
                </c:pt>
                <c:pt idx="4">
                  <c:v>2021e</c:v>
                </c:pt>
              </c:strCache>
            </c:strRef>
          </c:cat>
          <c:val>
            <c:numRef>
              <c:f>'Ship Table'!$AR$52:$AV$52</c:f>
              <c:numCache>
                <c:formatCode>0.0%</c:formatCode>
                <c:ptCount val="5"/>
                <c:pt idx="0">
                  <c:v>5.6189492396761714E-2</c:v>
                </c:pt>
                <c:pt idx="1">
                  <c:v>6.4113936526710033E-2</c:v>
                </c:pt>
                <c:pt idx="2">
                  <c:v>7.5672671699161767E-2</c:v>
                </c:pt>
                <c:pt idx="3">
                  <c:v>6.8534298611364092E-2</c:v>
                </c:pt>
                <c:pt idx="4">
                  <c:v>6.1110508453563514E-2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67328"/>
        <c:axId val="40868864"/>
      </c:lineChart>
      <c:catAx>
        <c:axId val="4086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8864"/>
        <c:crosses val="autoZero"/>
        <c:auto val="1"/>
        <c:lblAlgn val="ctr"/>
        <c:lblOffset val="100"/>
        <c:noMultiLvlLbl val="0"/>
      </c:catAx>
      <c:valAx>
        <c:axId val="40868864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Cruise</a:t>
            </a:r>
            <a:r>
              <a:rPr lang="en-US" sz="1200" b="1" baseline="0">
                <a:solidFill>
                  <a:schemeClr val="tx1"/>
                </a:solidFill>
              </a:rPr>
              <a:t> - Contemporary Berths in 2018e &amp; Growth Over 2019-21e </a:t>
            </a:r>
            <a:endParaRPr lang="en-US" sz="12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9174045679281735E-2"/>
          <c:y val="0.11854521832201034"/>
          <c:w val="0.89724148090013867"/>
          <c:h val="0.59340425142740583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'Ship Table'!$CQ$4</c:f>
              <c:strCache>
                <c:ptCount val="1"/>
                <c:pt idx="0">
                  <c:v>2018e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'Ship Table'!$CO$5:$CO$16</c:f>
              <c:strCache>
                <c:ptCount val="12"/>
                <c:pt idx="0">
                  <c:v>Royal Caribbean</c:v>
                </c:pt>
                <c:pt idx="1">
                  <c:v>Carnival</c:v>
                </c:pt>
                <c:pt idx="2">
                  <c:v>MSC</c:v>
                </c:pt>
                <c:pt idx="3">
                  <c:v>Costa</c:v>
                </c:pt>
                <c:pt idx="4">
                  <c:v>Norwegian</c:v>
                </c:pt>
                <c:pt idx="5">
                  <c:v>AIDA</c:v>
                </c:pt>
                <c:pt idx="6">
                  <c:v>P&amp;O</c:v>
                </c:pt>
                <c:pt idx="7">
                  <c:v>TUI</c:v>
                </c:pt>
                <c:pt idx="8">
                  <c:v>Star</c:v>
                </c:pt>
                <c:pt idx="9">
                  <c:v>Pullmantur</c:v>
                </c:pt>
                <c:pt idx="10">
                  <c:v>P&amp;O Australia</c:v>
                </c:pt>
                <c:pt idx="11">
                  <c:v>Other</c:v>
                </c:pt>
              </c:strCache>
            </c:strRef>
          </c:cat>
          <c:val>
            <c:numRef>
              <c:f>'Ship Table'!$CQ$5:$CQ$16</c:f>
              <c:numCache>
                <c:formatCode>#,##0_);\(#,##0\)</c:formatCode>
                <c:ptCount val="12"/>
                <c:pt idx="0">
                  <c:v>82311</c:v>
                </c:pt>
                <c:pt idx="1">
                  <c:v>70238</c:v>
                </c:pt>
                <c:pt idx="2">
                  <c:v>44490</c:v>
                </c:pt>
                <c:pt idx="3">
                  <c:v>34828</c:v>
                </c:pt>
                <c:pt idx="4">
                  <c:v>47264</c:v>
                </c:pt>
                <c:pt idx="5">
                  <c:v>30372</c:v>
                </c:pt>
                <c:pt idx="6">
                  <c:v>18243</c:v>
                </c:pt>
                <c:pt idx="7">
                  <c:v>14892</c:v>
                </c:pt>
                <c:pt idx="8">
                  <c:v>8506</c:v>
                </c:pt>
                <c:pt idx="9">
                  <c:v>8412</c:v>
                </c:pt>
                <c:pt idx="10">
                  <c:v>5790</c:v>
                </c:pt>
                <c:pt idx="11">
                  <c:v>35996</c:v>
                </c:pt>
              </c:numCache>
            </c:numRef>
          </c:val>
        </c:ser>
        <c:ser>
          <c:idx val="2"/>
          <c:order val="1"/>
          <c:tx>
            <c:strRef>
              <c:f>'Ship Table'!$CR$4</c:f>
              <c:strCache>
                <c:ptCount val="1"/>
                <c:pt idx="0">
                  <c:v>2019-21e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</c:spPr>
          <c:invertIfNegative val="0"/>
          <c:dLbls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'Ship Table'!$CO$5:$CO$16</c:f>
              <c:strCache>
                <c:ptCount val="12"/>
                <c:pt idx="0">
                  <c:v>Royal Caribbean</c:v>
                </c:pt>
                <c:pt idx="1">
                  <c:v>Carnival</c:v>
                </c:pt>
                <c:pt idx="2">
                  <c:v>MSC</c:v>
                </c:pt>
                <c:pt idx="3">
                  <c:v>Costa</c:v>
                </c:pt>
                <c:pt idx="4">
                  <c:v>Norwegian</c:v>
                </c:pt>
                <c:pt idx="5">
                  <c:v>AIDA</c:v>
                </c:pt>
                <c:pt idx="6">
                  <c:v>P&amp;O</c:v>
                </c:pt>
                <c:pt idx="7">
                  <c:v>TUI</c:v>
                </c:pt>
                <c:pt idx="8">
                  <c:v>Star</c:v>
                </c:pt>
                <c:pt idx="9">
                  <c:v>Pullmantur</c:v>
                </c:pt>
                <c:pt idx="10">
                  <c:v>P&amp;O Australia</c:v>
                </c:pt>
                <c:pt idx="11">
                  <c:v>Other</c:v>
                </c:pt>
              </c:strCache>
            </c:strRef>
          </c:cat>
          <c:val>
            <c:numRef>
              <c:f>'Ship Table'!$CR$5:$CR$16</c:f>
              <c:numCache>
                <c:formatCode>#,##0_);\(#,##0\)</c:formatCode>
                <c:ptCount val="12"/>
                <c:pt idx="0">
                  <c:v>13680</c:v>
                </c:pt>
                <c:pt idx="1">
                  <c:v>9200</c:v>
                </c:pt>
                <c:pt idx="2">
                  <c:v>18836</c:v>
                </c:pt>
                <c:pt idx="3">
                  <c:v>18464</c:v>
                </c:pt>
                <c:pt idx="4">
                  <c:v>4200</c:v>
                </c:pt>
                <c:pt idx="5">
                  <c:v>5400</c:v>
                </c:pt>
                <c:pt idx="6">
                  <c:v>5200</c:v>
                </c:pt>
                <c:pt idx="7">
                  <c:v>2900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40899712"/>
        <c:axId val="40901248"/>
      </c:barChart>
      <c:catAx>
        <c:axId val="4089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1248"/>
        <c:crosses val="autoZero"/>
        <c:auto val="1"/>
        <c:lblAlgn val="ctr"/>
        <c:lblOffset val="100"/>
        <c:noMultiLvlLbl val="0"/>
      </c:catAx>
      <c:valAx>
        <c:axId val="40901248"/>
        <c:scaling>
          <c:orientation val="minMax"/>
          <c:max val="100000"/>
        </c:scaling>
        <c:delete val="0"/>
        <c:axPos val="l"/>
        <c:numFmt formatCode="#,##0_);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9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Cruise</a:t>
            </a:r>
            <a:r>
              <a:rPr lang="en-US" sz="1200" b="1" baseline="0">
                <a:solidFill>
                  <a:schemeClr val="tx1"/>
                </a:solidFill>
              </a:rPr>
              <a:t> - Luxury Berths in 2018e &amp; Growth Over 2019-21e ('000s)</a:t>
            </a:r>
            <a:endParaRPr lang="en-US" sz="12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8381397003408798E-2"/>
          <c:y val="0.10798621176655784"/>
          <c:w val="0.91276659338080102"/>
          <c:h val="0.70251398583374858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'Ship Table'!$CQ$4</c:f>
              <c:strCache>
                <c:ptCount val="1"/>
                <c:pt idx="0">
                  <c:v>2018e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'Ship Table'!$CO$30:$CO$39</c:f>
              <c:strCache>
                <c:ptCount val="10"/>
                <c:pt idx="0">
                  <c:v>Silversea</c:v>
                </c:pt>
                <c:pt idx="1">
                  <c:v>Regent</c:v>
                </c:pt>
                <c:pt idx="2">
                  <c:v>Seabourn</c:v>
                </c:pt>
                <c:pt idx="3">
                  <c:v>Crystal</c:v>
                </c:pt>
                <c:pt idx="4">
                  <c:v>Ponant</c:v>
                </c:pt>
                <c:pt idx="5">
                  <c:v>Hapag-Lloyd</c:v>
                </c:pt>
                <c:pt idx="6">
                  <c:v>Windstar</c:v>
                </c:pt>
                <c:pt idx="7">
                  <c:v>Ritz-Carlton</c:v>
                </c:pt>
                <c:pt idx="8">
                  <c:v>Scenic</c:v>
                </c:pt>
                <c:pt idx="9">
                  <c:v>SeaDream</c:v>
                </c:pt>
              </c:strCache>
            </c:strRef>
          </c:cat>
          <c:val>
            <c:numRef>
              <c:f>'Ship Table'!$CQ$30:$CQ$39</c:f>
              <c:numCache>
                <c:formatCode>#,##0_);\(#,##0\)</c:formatCode>
                <c:ptCount val="10"/>
                <c:pt idx="0">
                  <c:v>2922</c:v>
                </c:pt>
                <c:pt idx="1">
                  <c:v>2674</c:v>
                </c:pt>
                <c:pt idx="2">
                  <c:v>2558</c:v>
                </c:pt>
                <c:pt idx="3">
                  <c:v>2102</c:v>
                </c:pt>
                <c:pt idx="4">
                  <c:v>1320</c:v>
                </c:pt>
                <c:pt idx="5">
                  <c:v>1231</c:v>
                </c:pt>
                <c:pt idx="6">
                  <c:v>1244</c:v>
                </c:pt>
                <c:pt idx="7">
                  <c:v>0</c:v>
                </c:pt>
                <c:pt idx="8">
                  <c:v>228</c:v>
                </c:pt>
                <c:pt idx="9">
                  <c:v>188</c:v>
                </c:pt>
              </c:numCache>
            </c:numRef>
          </c:val>
        </c:ser>
        <c:ser>
          <c:idx val="2"/>
          <c:order val="1"/>
          <c:tx>
            <c:strRef>
              <c:f>'Ship Table'!$CR$4</c:f>
              <c:strCache>
                <c:ptCount val="1"/>
                <c:pt idx="0">
                  <c:v>2019-21e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</c:spPr>
          <c:invertIfNegative val="0"/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'Ship Table'!$CO$30:$CO$39</c:f>
              <c:strCache>
                <c:ptCount val="10"/>
                <c:pt idx="0">
                  <c:v>Silversea</c:v>
                </c:pt>
                <c:pt idx="1">
                  <c:v>Regent</c:v>
                </c:pt>
                <c:pt idx="2">
                  <c:v>Seabourn</c:v>
                </c:pt>
                <c:pt idx="3">
                  <c:v>Crystal</c:v>
                </c:pt>
                <c:pt idx="4">
                  <c:v>Ponant</c:v>
                </c:pt>
                <c:pt idx="5">
                  <c:v>Hapag-Lloyd</c:v>
                </c:pt>
                <c:pt idx="6">
                  <c:v>Windstar</c:v>
                </c:pt>
                <c:pt idx="7">
                  <c:v>Ritz-Carlton</c:v>
                </c:pt>
                <c:pt idx="8">
                  <c:v>Scenic</c:v>
                </c:pt>
                <c:pt idx="9">
                  <c:v>SeaDream</c:v>
                </c:pt>
              </c:strCache>
            </c:strRef>
          </c:cat>
          <c:val>
            <c:numRef>
              <c:f>'Ship Table'!$CR$30:$CR$39</c:f>
              <c:numCache>
                <c:formatCode>#,##0_);\(#,##0\)</c:formatCode>
                <c:ptCount val="10"/>
                <c:pt idx="0">
                  <c:v>1192</c:v>
                </c:pt>
                <c:pt idx="1">
                  <c:v>738</c:v>
                </c:pt>
                <c:pt idx="2">
                  <c:v>0</c:v>
                </c:pt>
                <c:pt idx="3">
                  <c:v>400</c:v>
                </c:pt>
                <c:pt idx="4">
                  <c:v>990</c:v>
                </c:pt>
                <c:pt idx="5">
                  <c:v>690</c:v>
                </c:pt>
                <c:pt idx="6">
                  <c:v>0</c:v>
                </c:pt>
                <c:pt idx="7">
                  <c:v>596</c:v>
                </c:pt>
                <c:pt idx="8">
                  <c:v>228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40927616"/>
        <c:axId val="40929152"/>
      </c:barChart>
      <c:catAx>
        <c:axId val="4092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9152"/>
        <c:crosses val="autoZero"/>
        <c:auto val="1"/>
        <c:lblAlgn val="ctr"/>
        <c:lblOffset val="100"/>
        <c:noMultiLvlLbl val="0"/>
      </c:catAx>
      <c:valAx>
        <c:axId val="40929152"/>
        <c:scaling>
          <c:orientation val="minMax"/>
        </c:scaling>
        <c:delete val="0"/>
        <c:axPos val="l"/>
        <c:numFmt formatCode="#,##0_);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Cruise</a:t>
            </a:r>
            <a:r>
              <a:rPr lang="en-US" sz="1200" b="1" baseline="0">
                <a:solidFill>
                  <a:schemeClr val="tx1"/>
                </a:solidFill>
              </a:rPr>
              <a:t> - Premium Berths in 2018e &amp; Growth Over 2019-21e ('000s)</a:t>
            </a:r>
            <a:endParaRPr lang="en-US" sz="12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14472583201461E-2"/>
          <c:y val="0.10798621176655784"/>
          <c:w val="0.90106026127419614"/>
          <c:h val="0.80810405138827379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'Ship Table'!$CQ$4</c:f>
              <c:strCache>
                <c:ptCount val="1"/>
                <c:pt idx="0">
                  <c:v>2018e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'Ship Table'!$CO$18:$CO$28</c:f>
              <c:strCache>
                <c:ptCount val="11"/>
                <c:pt idx="0">
                  <c:v>Princess</c:v>
                </c:pt>
                <c:pt idx="1">
                  <c:v>Celebrity</c:v>
                </c:pt>
                <c:pt idx="2">
                  <c:v>Holland</c:v>
                </c:pt>
                <c:pt idx="3">
                  <c:v>Dream</c:v>
                </c:pt>
                <c:pt idx="4">
                  <c:v>Disney</c:v>
                </c:pt>
                <c:pt idx="5">
                  <c:v>Cunard</c:v>
                </c:pt>
                <c:pt idx="6">
                  <c:v>Viking</c:v>
                </c:pt>
                <c:pt idx="7">
                  <c:v>Virgin</c:v>
                </c:pt>
                <c:pt idx="8">
                  <c:v>Oceania</c:v>
                </c:pt>
                <c:pt idx="9">
                  <c:v>Saga</c:v>
                </c:pt>
                <c:pt idx="10">
                  <c:v>Azamara</c:v>
                </c:pt>
              </c:strCache>
            </c:strRef>
          </c:cat>
          <c:val>
            <c:numRef>
              <c:f>'Ship Table'!$CQ$18:$CQ$28</c:f>
              <c:numCache>
                <c:formatCode>#,##0_);\(#,##0\)</c:formatCode>
                <c:ptCount val="11"/>
                <c:pt idx="0">
                  <c:v>46796</c:v>
                </c:pt>
                <c:pt idx="1">
                  <c:v>26126</c:v>
                </c:pt>
                <c:pt idx="2">
                  <c:v>26446</c:v>
                </c:pt>
                <c:pt idx="3">
                  <c:v>6728</c:v>
                </c:pt>
                <c:pt idx="4">
                  <c:v>8508</c:v>
                </c:pt>
                <c:pt idx="5">
                  <c:v>6811</c:v>
                </c:pt>
                <c:pt idx="6">
                  <c:v>4642</c:v>
                </c:pt>
                <c:pt idx="7">
                  <c:v>0</c:v>
                </c:pt>
                <c:pt idx="8">
                  <c:v>4810</c:v>
                </c:pt>
                <c:pt idx="9">
                  <c:v>1254</c:v>
                </c:pt>
                <c:pt idx="10">
                  <c:v>2130</c:v>
                </c:pt>
              </c:numCache>
            </c:numRef>
          </c:val>
        </c:ser>
        <c:ser>
          <c:idx val="2"/>
          <c:order val="1"/>
          <c:tx>
            <c:strRef>
              <c:f>'Ship Table'!$CR$4</c:f>
              <c:strCache>
                <c:ptCount val="1"/>
                <c:pt idx="0">
                  <c:v>2019-21e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</c:spPr>
          <c:invertIfNegative val="0"/>
          <c:dLbls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'Ship Table'!$CO$18:$CO$28</c:f>
              <c:strCache>
                <c:ptCount val="11"/>
                <c:pt idx="0">
                  <c:v>Princess</c:v>
                </c:pt>
                <c:pt idx="1">
                  <c:v>Celebrity</c:v>
                </c:pt>
                <c:pt idx="2">
                  <c:v>Holland</c:v>
                </c:pt>
                <c:pt idx="3">
                  <c:v>Dream</c:v>
                </c:pt>
                <c:pt idx="4">
                  <c:v>Disney</c:v>
                </c:pt>
                <c:pt idx="5">
                  <c:v>Cunard</c:v>
                </c:pt>
                <c:pt idx="6">
                  <c:v>Viking</c:v>
                </c:pt>
                <c:pt idx="7">
                  <c:v>Virgin</c:v>
                </c:pt>
                <c:pt idx="8">
                  <c:v>Oceania</c:v>
                </c:pt>
                <c:pt idx="9">
                  <c:v>Saga</c:v>
                </c:pt>
                <c:pt idx="10">
                  <c:v>Azamara</c:v>
                </c:pt>
              </c:strCache>
            </c:strRef>
          </c:cat>
          <c:val>
            <c:numRef>
              <c:f>'Ship Table'!$CR$18:$CR$28</c:f>
              <c:numCache>
                <c:formatCode>#,##0_);\(#,##0\)</c:formatCode>
                <c:ptCount val="11"/>
                <c:pt idx="0">
                  <c:v>7200</c:v>
                </c:pt>
                <c:pt idx="1">
                  <c:v>5900</c:v>
                </c:pt>
                <c:pt idx="2">
                  <c:v>2660</c:v>
                </c:pt>
                <c:pt idx="3">
                  <c:v>10000</c:v>
                </c:pt>
                <c:pt idx="4">
                  <c:v>2500</c:v>
                </c:pt>
                <c:pt idx="5">
                  <c:v>0</c:v>
                </c:pt>
                <c:pt idx="6">
                  <c:v>2130</c:v>
                </c:pt>
                <c:pt idx="7">
                  <c:v>5720</c:v>
                </c:pt>
                <c:pt idx="8">
                  <c:v>0</c:v>
                </c:pt>
                <c:pt idx="9">
                  <c:v>2000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40975744"/>
        <c:axId val="40985728"/>
      </c:barChart>
      <c:catAx>
        <c:axId val="4097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5728"/>
        <c:crosses val="autoZero"/>
        <c:auto val="1"/>
        <c:lblAlgn val="ctr"/>
        <c:lblOffset val="100"/>
        <c:noMultiLvlLbl val="0"/>
      </c:catAx>
      <c:valAx>
        <c:axId val="40985728"/>
        <c:scaling>
          <c:orientation val="minMax"/>
        </c:scaling>
        <c:delete val="0"/>
        <c:axPos val="l"/>
        <c:numFmt formatCode="#,##0_);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Cruise</a:t>
            </a:r>
            <a:r>
              <a:rPr lang="en-US" sz="1200" b="1" baseline="0">
                <a:solidFill>
                  <a:schemeClr val="tx1"/>
                </a:solidFill>
              </a:rPr>
              <a:t> - Thousands of Berths in 2018e &amp; Growth Over 2019-21e ('000s)</a:t>
            </a:r>
            <a:endParaRPr lang="en-US" sz="12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8381397003408798E-2"/>
          <c:y val="0.10798621176655784"/>
          <c:w val="0.91276659338080102"/>
          <c:h val="0.81162372024009133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'Ship Table'!$CQ$4</c:f>
              <c:strCache>
                <c:ptCount val="1"/>
                <c:pt idx="0">
                  <c:v>2018e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4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'Ship Table'!$CP$46:$CP$51</c:f>
              <c:strCache>
                <c:ptCount val="6"/>
                <c:pt idx="0">
                  <c:v>CCL</c:v>
                </c:pt>
                <c:pt idx="1">
                  <c:v>RCL</c:v>
                </c:pt>
                <c:pt idx="2">
                  <c:v>MSC</c:v>
                </c:pt>
                <c:pt idx="3">
                  <c:v>NCLH</c:v>
                </c:pt>
                <c:pt idx="4">
                  <c:v>GENHK</c:v>
                </c:pt>
                <c:pt idx="5">
                  <c:v>Other</c:v>
                </c:pt>
              </c:strCache>
            </c:strRef>
          </c:cat>
          <c:val>
            <c:numRef>
              <c:f>'Ship Table'!$CQ$46:$CQ$51</c:f>
              <c:numCache>
                <c:formatCode>#,##0_);\(#,##0\)</c:formatCode>
                <c:ptCount val="6"/>
                <c:pt idx="0">
                  <c:v>242082</c:v>
                </c:pt>
                <c:pt idx="1">
                  <c:v>124083.85400000001</c:v>
                </c:pt>
                <c:pt idx="2">
                  <c:v>44490</c:v>
                </c:pt>
                <c:pt idx="3">
                  <c:v>54748</c:v>
                </c:pt>
                <c:pt idx="4">
                  <c:v>17336</c:v>
                </c:pt>
                <c:pt idx="5">
                  <c:v>78678.146000000008</c:v>
                </c:pt>
              </c:numCache>
            </c:numRef>
          </c:val>
        </c:ser>
        <c:ser>
          <c:idx val="2"/>
          <c:order val="1"/>
          <c:tx>
            <c:strRef>
              <c:f>'Ship Table'!$CR$4</c:f>
              <c:strCache>
                <c:ptCount val="1"/>
                <c:pt idx="0">
                  <c:v>2019-21e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'Ship Table'!$CP$46:$CP$51</c:f>
              <c:strCache>
                <c:ptCount val="6"/>
                <c:pt idx="0">
                  <c:v>CCL</c:v>
                </c:pt>
                <c:pt idx="1">
                  <c:v>RCL</c:v>
                </c:pt>
                <c:pt idx="2">
                  <c:v>MSC</c:v>
                </c:pt>
                <c:pt idx="3">
                  <c:v>NCLH</c:v>
                </c:pt>
                <c:pt idx="4">
                  <c:v>GENHK</c:v>
                </c:pt>
                <c:pt idx="5">
                  <c:v>Other</c:v>
                </c:pt>
              </c:strCache>
            </c:strRef>
          </c:cat>
          <c:val>
            <c:numRef>
              <c:f>'Ship Table'!$CR$46:$CR$51</c:f>
              <c:numCache>
                <c:formatCode>#,##0_);\(#,##0\)</c:formatCode>
                <c:ptCount val="6"/>
                <c:pt idx="0">
                  <c:v>48124</c:v>
                </c:pt>
                <c:pt idx="1">
                  <c:v>21825.063999999998</c:v>
                </c:pt>
                <c:pt idx="2">
                  <c:v>18836</c:v>
                </c:pt>
                <c:pt idx="3">
                  <c:v>4938</c:v>
                </c:pt>
                <c:pt idx="4">
                  <c:v>10400</c:v>
                </c:pt>
                <c:pt idx="5">
                  <c:v>19182.935999999929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41020032"/>
        <c:axId val="41042304"/>
      </c:barChart>
      <c:catAx>
        <c:axId val="4102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2304"/>
        <c:crosses val="autoZero"/>
        <c:auto val="1"/>
        <c:lblAlgn val="ctr"/>
        <c:lblOffset val="100"/>
        <c:noMultiLvlLbl val="0"/>
      </c:catAx>
      <c:valAx>
        <c:axId val="41042304"/>
        <c:scaling>
          <c:orientation val="minMax"/>
          <c:max val="300000"/>
        </c:scaling>
        <c:delete val="0"/>
        <c:axPos val="l"/>
        <c:numFmt formatCode="#,##0_);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003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18" Type="http://schemas.openxmlformats.org/officeDocument/2006/relationships/chart" Target="../charts/chart36.xml"/><Relationship Id="rId3" Type="http://schemas.openxmlformats.org/officeDocument/2006/relationships/chart" Target="../charts/chart21.xml"/><Relationship Id="rId21" Type="http://schemas.openxmlformats.org/officeDocument/2006/relationships/chart" Target="../charts/chart39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17" Type="http://schemas.openxmlformats.org/officeDocument/2006/relationships/chart" Target="../charts/chart35.xml"/><Relationship Id="rId2" Type="http://schemas.openxmlformats.org/officeDocument/2006/relationships/chart" Target="../charts/chart20.xml"/><Relationship Id="rId16" Type="http://schemas.openxmlformats.org/officeDocument/2006/relationships/chart" Target="../charts/chart34.xml"/><Relationship Id="rId20" Type="http://schemas.openxmlformats.org/officeDocument/2006/relationships/chart" Target="../charts/chart38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10" Type="http://schemas.openxmlformats.org/officeDocument/2006/relationships/chart" Target="../charts/chart28.xml"/><Relationship Id="rId19" Type="http://schemas.openxmlformats.org/officeDocument/2006/relationships/chart" Target="../charts/chart37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Relationship Id="rId22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847724</xdr:colOff>
      <xdr:row>42</xdr:row>
      <xdr:rowOff>161924</xdr:rowOff>
    </xdr:from>
    <xdr:to>
      <xdr:col>13</xdr:col>
      <xdr:colOff>609599</xdr:colOff>
      <xdr:row>65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0.45313</cdr:x>
      <cdr:y>0.14879</cdr:y>
    </cdr:from>
    <cdr:to>
      <cdr:x>0.87109</cdr:x>
      <cdr:y>0.4083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209800" y="409575"/>
          <a:ext cx="2038350" cy="714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100" b="1" u="sng">
              <a:solidFill>
                <a:srgbClr val="FF0000"/>
              </a:solidFill>
            </a:rPr>
            <a:t>China growth in 2016</a:t>
          </a:r>
        </a:p>
        <a:p xmlns:a="http://schemas.openxmlformats.org/drawingml/2006/main">
          <a:pPr algn="r"/>
          <a:r>
            <a:rPr lang="en-US" sz="1100">
              <a:solidFill>
                <a:srgbClr val="FF0000"/>
              </a:solidFill>
            </a:rPr>
            <a:t>Shanghai</a:t>
          </a:r>
          <a:r>
            <a:rPr lang="en-US" sz="1100" baseline="0">
              <a:solidFill>
                <a:srgbClr val="FF0000"/>
              </a:solidFill>
            </a:rPr>
            <a:t> +139%</a:t>
          </a:r>
        </a:p>
        <a:p xmlns:a="http://schemas.openxmlformats.org/drawingml/2006/main">
          <a:pPr algn="r"/>
          <a:r>
            <a:rPr lang="en-US" sz="1100" baseline="0">
              <a:solidFill>
                <a:srgbClr val="FF0000"/>
              </a:solidFill>
            </a:rPr>
            <a:t>Hong Kong (8%)</a:t>
          </a:r>
          <a:endParaRPr lang="en-US" sz="1100">
            <a:solidFill>
              <a:srgbClr val="FF0000"/>
            </a:solidFill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0.33984</cdr:x>
      <cdr:y>0.58478</cdr:y>
    </cdr:from>
    <cdr:to>
      <cdr:x>0.45313</cdr:x>
      <cdr:y>0.70588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57350" y="1609725"/>
          <a:ext cx="552450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 b="1">
              <a:solidFill>
                <a:srgbClr val="FF0000"/>
              </a:solidFill>
            </a:rPr>
            <a:t>+42%</a:t>
          </a:r>
        </a:p>
      </cdr:txBody>
    </cdr:sp>
  </cdr:relSizeAnchor>
  <cdr:relSizeAnchor xmlns:cdr="http://schemas.openxmlformats.org/drawingml/2006/chartDrawing">
    <cdr:from>
      <cdr:x>0.24674</cdr:x>
      <cdr:y>0.62399</cdr:y>
    </cdr:from>
    <cdr:to>
      <cdr:x>0.36003</cdr:x>
      <cdr:y>0.7451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203325" y="1717675"/>
          <a:ext cx="552450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>
              <a:solidFill>
                <a:srgbClr val="FF0000"/>
              </a:solidFill>
            </a:rPr>
            <a:t>+56%</a:t>
          </a:r>
        </a:p>
      </cdr:txBody>
    </cdr:sp>
  </cdr:relSizeAnchor>
  <cdr:relSizeAnchor xmlns:cdr="http://schemas.openxmlformats.org/drawingml/2006/chartDrawing">
    <cdr:from>
      <cdr:x>0.14648</cdr:x>
      <cdr:y>0.66897</cdr:y>
    </cdr:from>
    <cdr:to>
      <cdr:x>0.27409</cdr:x>
      <cdr:y>0.80969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714375" y="1841500"/>
          <a:ext cx="622300" cy="387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>
              <a:solidFill>
                <a:srgbClr val="FF0000"/>
              </a:solidFill>
            </a:rPr>
            <a:t>+107%</a:t>
          </a:r>
        </a:p>
      </cdr:txBody>
    </cdr:sp>
  </cdr:relSizeAnchor>
  <cdr:relSizeAnchor xmlns:cdr="http://schemas.openxmlformats.org/drawingml/2006/chartDrawing">
    <cdr:from>
      <cdr:x>0.43229</cdr:x>
      <cdr:y>0.51326</cdr:y>
    </cdr:from>
    <cdr:to>
      <cdr:x>0.54557</cdr:x>
      <cdr:y>0.63437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2108200" y="1412875"/>
          <a:ext cx="552450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>
              <a:solidFill>
                <a:srgbClr val="FF0000"/>
              </a:solidFill>
            </a:rPr>
            <a:t>+60%</a:t>
          </a:r>
        </a:p>
      </cdr:txBody>
    </cdr:sp>
  </cdr:relSizeAnchor>
  <cdr:relSizeAnchor xmlns:cdr="http://schemas.openxmlformats.org/drawingml/2006/chartDrawing">
    <cdr:from>
      <cdr:x>0.52018</cdr:x>
      <cdr:y>0.42676</cdr:y>
    </cdr:from>
    <cdr:to>
      <cdr:x>0.63346</cdr:x>
      <cdr:y>0.54787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2536825" y="1174750"/>
          <a:ext cx="552450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>
              <a:solidFill>
                <a:srgbClr val="FF0000"/>
              </a:solidFill>
            </a:rPr>
            <a:t>+35%</a:t>
          </a:r>
        </a:p>
      </cdr:txBody>
    </cdr:sp>
  </cdr:relSizeAnchor>
  <cdr:relSizeAnchor xmlns:cdr="http://schemas.openxmlformats.org/drawingml/2006/chartDrawing">
    <cdr:from>
      <cdr:x>0.61589</cdr:x>
      <cdr:y>0.32295</cdr:y>
    </cdr:from>
    <cdr:to>
      <cdr:x>0.72917</cdr:x>
      <cdr:y>0.44406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003550" y="889000"/>
          <a:ext cx="552450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>
              <a:solidFill>
                <a:srgbClr val="FF0000"/>
              </a:solidFill>
            </a:rPr>
            <a:t>+30%</a:t>
          </a:r>
        </a:p>
      </cdr:txBody>
    </cdr:sp>
  </cdr:relSizeAnchor>
  <cdr:relSizeAnchor xmlns:cdr="http://schemas.openxmlformats.org/drawingml/2006/chartDrawing">
    <cdr:from>
      <cdr:x>0.70964</cdr:x>
      <cdr:y>0.22953</cdr:y>
    </cdr:from>
    <cdr:to>
      <cdr:x>0.82292</cdr:x>
      <cdr:y>0.35063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3460750" y="631825"/>
          <a:ext cx="552450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>
              <a:solidFill>
                <a:srgbClr val="FF0000"/>
              </a:solidFill>
            </a:rPr>
            <a:t>+20%</a:t>
          </a:r>
        </a:p>
      </cdr:txBody>
    </cdr:sp>
  </cdr:relSizeAnchor>
  <cdr:relSizeAnchor xmlns:cdr="http://schemas.openxmlformats.org/drawingml/2006/chartDrawing">
    <cdr:from>
      <cdr:x>0.80534</cdr:x>
      <cdr:y>0.1188</cdr:y>
    </cdr:from>
    <cdr:to>
      <cdr:x>0.91862</cdr:x>
      <cdr:y>0.23991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927475" y="327025"/>
          <a:ext cx="552450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>
              <a:solidFill>
                <a:srgbClr val="FF0000"/>
              </a:solidFill>
            </a:rPr>
            <a:t>+20%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1247774</xdr:colOff>
      <xdr:row>62</xdr:row>
      <xdr:rowOff>161924</xdr:rowOff>
    </xdr:from>
    <xdr:to>
      <xdr:col>11</xdr:col>
      <xdr:colOff>1247774</xdr:colOff>
      <xdr:row>81</xdr:row>
      <xdr:rowOff>161924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75</xdr:col>
      <xdr:colOff>0</xdr:colOff>
      <xdr:row>54</xdr:row>
      <xdr:rowOff>0</xdr:rowOff>
    </xdr:from>
    <xdr:to>
      <xdr:col>90</xdr:col>
      <xdr:colOff>1</xdr:colOff>
      <xdr:row>79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83</xdr:col>
      <xdr:colOff>59531</xdr:colOff>
      <xdr:row>65</xdr:row>
      <xdr:rowOff>59531</xdr:rowOff>
    </xdr:from>
    <xdr:to>
      <xdr:col>84</xdr:col>
      <xdr:colOff>297656</xdr:colOff>
      <xdr:row>68</xdr:row>
      <xdr:rowOff>59531</xdr:rowOff>
    </xdr:to>
    <xdr:sp macro="" textlink="">
      <xdr:nvSpPr>
        <xdr:cNvPr id="6" name="Oval 5"/>
        <xdr:cNvSpPr/>
      </xdr:nvSpPr>
      <xdr:spPr>
        <a:xfrm>
          <a:off x="9084469" y="10894219"/>
          <a:ext cx="845343" cy="500062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75</xdr:col>
      <xdr:colOff>0</xdr:colOff>
      <xdr:row>106</xdr:row>
      <xdr:rowOff>1</xdr:rowOff>
    </xdr:from>
    <xdr:to>
      <xdr:col>90</xdr:col>
      <xdr:colOff>0</xdr:colOff>
      <xdr:row>131</xdr:row>
      <xdr:rowOff>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75</xdr:col>
      <xdr:colOff>-1</xdr:colOff>
      <xdr:row>80</xdr:row>
      <xdr:rowOff>0</xdr:rowOff>
    </xdr:from>
    <xdr:to>
      <xdr:col>89</xdr:col>
      <xdr:colOff>607218</xdr:colOff>
      <xdr:row>105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0.36209</cdr:x>
      <cdr:y>0.15429</cdr:y>
    </cdr:from>
    <cdr:to>
      <cdr:x>0.56471</cdr:x>
      <cdr:y>0.40857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98030" y="642938"/>
          <a:ext cx="1845469" cy="10596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200" b="1">
              <a:solidFill>
                <a:srgbClr val="FF0000"/>
              </a:solidFill>
            </a:rPr>
            <a:t>Cruise line stock prices</a:t>
          </a:r>
          <a:r>
            <a:rPr lang="en-US" sz="1200" b="1" baseline="0">
              <a:solidFill>
                <a:srgbClr val="FF0000"/>
              </a:solidFill>
            </a:rPr>
            <a:t> were weak in 1H16 - a surge in new ships after years of stable additions may have been a factor</a:t>
          </a:r>
          <a:endParaRPr lang="en-US" sz="12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0.4719</cdr:x>
      <cdr:y>0.4</cdr:y>
    </cdr:from>
    <cdr:to>
      <cdr:x>0.53333</cdr:x>
      <cdr:y>0.47143</cdr:y>
    </cdr:to>
    <cdr:cxnSp macro="">
      <cdr:nvCxnSpPr>
        <cdr:cNvPr id="4" name="Straight Arrow Connector 3"/>
        <cdr:cNvCxnSpPr/>
      </cdr:nvCxnSpPr>
      <cdr:spPr>
        <a:xfrm xmlns:a="http://schemas.openxmlformats.org/drawingml/2006/main">
          <a:off x="4298156" y="1666875"/>
          <a:ext cx="559593" cy="297656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0.63007</cdr:x>
      <cdr:y>0.54571</cdr:y>
    </cdr:from>
    <cdr:to>
      <cdr:x>0.87974</cdr:x>
      <cdr:y>0.55143</cdr:y>
    </cdr:to>
    <cdr:cxnSp macro="">
      <cdr:nvCxnSpPr>
        <cdr:cNvPr id="8" name="Straight Connector 7"/>
        <cdr:cNvCxnSpPr/>
      </cdr:nvCxnSpPr>
      <cdr:spPr>
        <a:xfrm xmlns:a="http://schemas.openxmlformats.org/drawingml/2006/main" flipV="1">
          <a:off x="5738812" y="2274094"/>
          <a:ext cx="2274094" cy="23812"/>
        </a:xfrm>
        <a:prstGeom xmlns:a="http://schemas.openxmlformats.org/drawingml/2006/main" prst="line">
          <a:avLst/>
        </a:prstGeom>
        <a:ln xmlns:a="http://schemas.openxmlformats.org/drawingml/2006/main" w="34925">
          <a:solidFill>
            <a:srgbClr val="FF0000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0.43791</cdr:x>
      <cdr:y>0.17429</cdr:y>
    </cdr:from>
    <cdr:to>
      <cdr:x>0.64053</cdr:x>
      <cdr:y>0.42857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988581" y="726299"/>
          <a:ext cx="1845520" cy="10596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200" b="1">
              <a:solidFill>
                <a:srgbClr val="FF0000"/>
              </a:solidFill>
            </a:rPr>
            <a:t>Cruise line stock prices</a:t>
          </a:r>
          <a:r>
            <a:rPr lang="en-US" sz="1200" b="1" baseline="0">
              <a:solidFill>
                <a:srgbClr val="FF0000"/>
              </a:solidFill>
            </a:rPr>
            <a:t> were weak in 1H16 - a surge in new ships after years of stable additions may have been a factor</a:t>
          </a:r>
          <a:endParaRPr lang="en-US" sz="12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0.57386</cdr:x>
      <cdr:y>0.43429</cdr:y>
    </cdr:from>
    <cdr:to>
      <cdr:x>0.63529</cdr:x>
      <cdr:y>0.50572</cdr:y>
    </cdr:to>
    <cdr:cxnSp macro="">
      <cdr:nvCxnSpPr>
        <cdr:cNvPr id="4" name="Straight Arrow Connector 3"/>
        <cdr:cNvCxnSpPr/>
      </cdr:nvCxnSpPr>
      <cdr:spPr>
        <a:xfrm xmlns:a="http://schemas.openxmlformats.org/drawingml/2006/main">
          <a:off x="5226885" y="1809750"/>
          <a:ext cx="559522" cy="297662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0.71503</cdr:x>
      <cdr:y>0.49428</cdr:y>
    </cdr:from>
    <cdr:to>
      <cdr:x>0.98954</cdr:x>
      <cdr:y>0.5</cdr:y>
    </cdr:to>
    <cdr:cxnSp macro="">
      <cdr:nvCxnSpPr>
        <cdr:cNvPr id="8" name="Straight Connector 7"/>
        <cdr:cNvCxnSpPr/>
      </cdr:nvCxnSpPr>
      <cdr:spPr>
        <a:xfrm xmlns:a="http://schemas.openxmlformats.org/drawingml/2006/main" flipV="1">
          <a:off x="6512719" y="2059764"/>
          <a:ext cx="2500326" cy="23829"/>
        </a:xfrm>
        <a:prstGeom xmlns:a="http://schemas.openxmlformats.org/drawingml/2006/main" prst="line">
          <a:avLst/>
        </a:prstGeom>
        <a:ln xmlns:a="http://schemas.openxmlformats.org/drawingml/2006/main" w="34925">
          <a:solidFill>
            <a:srgbClr val="FF0000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0.7268</cdr:x>
      <cdr:y>0</cdr:y>
    </cdr:from>
    <cdr:to>
      <cdr:x>0.98693</cdr:x>
      <cdr:y>0.25428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619875" y="0"/>
          <a:ext cx="2369344" cy="10596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>
              <a:solidFill>
                <a:srgbClr val="FF0000"/>
              </a:solidFill>
            </a:rPr>
            <a:t>If the weakness in 1H16 was partly</a:t>
          </a:r>
          <a:r>
            <a:rPr lang="en-US" sz="1200" b="1" baseline="0">
              <a:solidFill>
                <a:srgbClr val="FF0000"/>
              </a:solidFill>
            </a:rPr>
            <a:t> supply related, multiples could fall ahead of an even largest supply jump over 2019-21e</a:t>
          </a:r>
          <a:endParaRPr lang="en-US" sz="12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0.06405</cdr:x>
      <cdr:y>0.07143</cdr:y>
    </cdr:from>
    <cdr:to>
      <cdr:x>0.26797</cdr:x>
      <cdr:y>0.38571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83406" y="297656"/>
          <a:ext cx="1857375" cy="1309688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>
            <a:lumMod val="20000"/>
            <a:lumOff val="80000"/>
          </a:schemeClr>
        </a:solidFill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 b="1">
              <a:solidFill>
                <a:srgbClr val="002060"/>
              </a:solidFill>
            </a:rPr>
            <a:t>With the acceleration</a:t>
          </a:r>
          <a:r>
            <a:rPr lang="en-US" sz="1100" b="1" baseline="0">
              <a:solidFill>
                <a:srgbClr val="002060"/>
              </a:solidFill>
            </a:rPr>
            <a:t> in new capacity in 2018-21e, we think investors would like to see more new ships being absorbed by China without reducing yields</a:t>
          </a:r>
          <a:endParaRPr lang="en-US" sz="1100" b="1">
            <a:solidFill>
              <a:srgbClr val="002060"/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0.45394</cdr:x>
      <cdr:y>0.12648</cdr:y>
    </cdr:from>
    <cdr:to>
      <cdr:x>0.65656</cdr:x>
      <cdr:y>0.38076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134644" y="527050"/>
          <a:ext cx="1845520" cy="10596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>
              <a:solidFill>
                <a:schemeClr val="tx1"/>
              </a:solidFill>
            </a:rPr>
            <a:t>Cruise line stock prices</a:t>
          </a:r>
          <a:r>
            <a:rPr lang="en-US" sz="1200" b="1" baseline="0">
              <a:solidFill>
                <a:schemeClr val="tx1"/>
              </a:solidFill>
            </a:rPr>
            <a:t> were weak in 1H16 - a surge in new ships after years of stable additions may have been a factor</a:t>
          </a:r>
          <a:endParaRPr lang="en-US" sz="1200" b="1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0.60297</cdr:x>
      <cdr:y>0.39219</cdr:y>
    </cdr:from>
    <cdr:to>
      <cdr:x>0.64445</cdr:x>
      <cdr:y>0.42571</cdr:y>
    </cdr:to>
    <cdr:cxnSp macro="">
      <cdr:nvCxnSpPr>
        <cdr:cNvPr id="3" name="Straight Arrow Connector 2"/>
        <cdr:cNvCxnSpPr/>
      </cdr:nvCxnSpPr>
      <cdr:spPr>
        <a:xfrm xmlns:a="http://schemas.openxmlformats.org/drawingml/2006/main">
          <a:off x="5491984" y="1634335"/>
          <a:ext cx="377812" cy="139684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0.07094</cdr:x>
      <cdr:y>0.06933</cdr:y>
    </cdr:from>
    <cdr:to>
      <cdr:x>0.27486</cdr:x>
      <cdr:y>0.38361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46113" y="288925"/>
          <a:ext cx="1857361" cy="1309664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>
            <a:lumMod val="20000"/>
            <a:lumOff val="80000"/>
          </a:schemeClr>
        </a:solidFill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>
              <a:solidFill>
                <a:schemeClr val="tx1"/>
              </a:solidFill>
            </a:rPr>
            <a:t>With the acceleration</a:t>
          </a:r>
          <a:r>
            <a:rPr lang="en-US" sz="1100" b="1" baseline="0">
              <a:solidFill>
                <a:schemeClr val="tx1"/>
              </a:solidFill>
            </a:rPr>
            <a:t> in new capacity in 2018-21e, we think investors would like to see more new ships being absorbed by China without reducing yields</a:t>
          </a:r>
          <a:endParaRPr lang="en-US" sz="1100" b="1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0.71407</cdr:x>
      <cdr:y>0.41219</cdr:y>
    </cdr:from>
    <cdr:to>
      <cdr:x>0.98858</cdr:x>
      <cdr:y>0.41791</cdr:y>
    </cdr:to>
    <cdr:cxnSp macro="">
      <cdr:nvCxnSpPr>
        <cdr:cNvPr id="5" name="Straight Connector 4"/>
        <cdr:cNvCxnSpPr/>
      </cdr:nvCxnSpPr>
      <cdr:spPr>
        <a:xfrm xmlns:a="http://schemas.openxmlformats.org/drawingml/2006/main" flipV="1">
          <a:off x="6503988" y="1717675"/>
          <a:ext cx="2500314" cy="23836"/>
        </a:xfrm>
        <a:prstGeom xmlns:a="http://schemas.openxmlformats.org/drawingml/2006/main" prst="line">
          <a:avLst/>
        </a:prstGeom>
        <a:ln xmlns:a="http://schemas.openxmlformats.org/drawingml/2006/main" w="34925">
          <a:solidFill>
            <a:schemeClr val="tx1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0.72061</cdr:x>
      <cdr:y>2.3997E-7</cdr:y>
    </cdr:from>
    <cdr:to>
      <cdr:x>0.98074</cdr:x>
      <cdr:y>0.21143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563519" y="1"/>
          <a:ext cx="2369337" cy="8810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>
              <a:solidFill>
                <a:schemeClr val="tx1"/>
              </a:solidFill>
            </a:rPr>
            <a:t>If the weakness in 1H16 was partly</a:t>
          </a:r>
          <a:r>
            <a:rPr lang="en-US" sz="1200" b="1" baseline="0">
              <a:solidFill>
                <a:schemeClr val="tx1"/>
              </a:solidFill>
            </a:rPr>
            <a:t> supply related, multiples could fall ahead of an even larger supply jump over 2019-21e</a:t>
          </a:r>
          <a:endParaRPr lang="en-US" sz="1200" b="1">
            <a:solidFill>
              <a:schemeClr val="tx1"/>
            </a:solidFill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71</xdr:row>
      <xdr:rowOff>0</xdr:rowOff>
    </xdr:from>
    <xdr:to>
      <xdr:col>13</xdr:col>
      <xdr:colOff>0</xdr:colOff>
      <xdr:row>94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95</xdr:row>
      <xdr:rowOff>1</xdr:rowOff>
    </xdr:from>
    <xdr:to>
      <xdr:col>13</xdr:col>
      <xdr:colOff>0</xdr:colOff>
      <xdr:row>118</xdr:row>
      <xdr:rowOff>1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143</xdr:row>
      <xdr:rowOff>0</xdr:rowOff>
    </xdr:from>
    <xdr:to>
      <xdr:col>13</xdr:col>
      <xdr:colOff>0</xdr:colOff>
      <xdr:row>166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119</xdr:row>
      <xdr:rowOff>0</xdr:rowOff>
    </xdr:from>
    <xdr:to>
      <xdr:col>13</xdr:col>
      <xdr:colOff>0</xdr:colOff>
      <xdr:row>142</xdr:row>
      <xdr:rowOff>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167</xdr:row>
      <xdr:rowOff>0</xdr:rowOff>
    </xdr:from>
    <xdr:to>
      <xdr:col>13</xdr:col>
      <xdr:colOff>0</xdr:colOff>
      <xdr:row>190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1512793</xdr:colOff>
      <xdr:row>71</xdr:row>
      <xdr:rowOff>0</xdr:rowOff>
    </xdr:from>
    <xdr:to>
      <xdr:col>25</xdr:col>
      <xdr:colOff>582705</xdr:colOff>
      <xdr:row>94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95</xdr:row>
      <xdr:rowOff>0</xdr:rowOff>
    </xdr:from>
    <xdr:to>
      <xdr:col>26</xdr:col>
      <xdr:colOff>0</xdr:colOff>
      <xdr:row>118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1512793</xdr:colOff>
      <xdr:row>119</xdr:row>
      <xdr:rowOff>0</xdr:rowOff>
    </xdr:from>
    <xdr:to>
      <xdr:col>25</xdr:col>
      <xdr:colOff>582705</xdr:colOff>
      <xdr:row>142</xdr:row>
      <xdr:rowOff>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17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9</xdr:col>
      <xdr:colOff>0</xdr:colOff>
      <xdr:row>35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9</xdr:col>
      <xdr:colOff>0</xdr:colOff>
      <xdr:row>53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9</xdr:col>
      <xdr:colOff>0</xdr:colOff>
      <xdr:row>71</xdr:row>
      <xdr:rowOff>152400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9</xdr:col>
      <xdr:colOff>0</xdr:colOff>
      <xdr:row>89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91</xdr:row>
      <xdr:rowOff>0</xdr:rowOff>
    </xdr:from>
    <xdr:to>
      <xdr:col>9</xdr:col>
      <xdr:colOff>0</xdr:colOff>
      <xdr:row>107</xdr:row>
      <xdr:rowOff>152400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115</xdr:row>
      <xdr:rowOff>161924</xdr:rowOff>
    </xdr:from>
    <xdr:to>
      <xdr:col>13</xdr:col>
      <xdr:colOff>0</xdr:colOff>
      <xdr:row>132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136</xdr:row>
      <xdr:rowOff>0</xdr:rowOff>
    </xdr:from>
    <xdr:to>
      <xdr:col>13</xdr:col>
      <xdr:colOff>0</xdr:colOff>
      <xdr:row>153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157</xdr:row>
      <xdr:rowOff>0</xdr:rowOff>
    </xdr:from>
    <xdr:to>
      <xdr:col>13</xdr:col>
      <xdr:colOff>0</xdr:colOff>
      <xdr:row>174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177</xdr:row>
      <xdr:rowOff>0</xdr:rowOff>
    </xdr:from>
    <xdr:to>
      <xdr:col>13</xdr:col>
      <xdr:colOff>0</xdr:colOff>
      <xdr:row>194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198</xdr:row>
      <xdr:rowOff>0</xdr:rowOff>
    </xdr:from>
    <xdr:to>
      <xdr:col>13</xdr:col>
      <xdr:colOff>0</xdr:colOff>
      <xdr:row>215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219</xdr:row>
      <xdr:rowOff>0</xdr:rowOff>
    </xdr:from>
    <xdr:to>
      <xdr:col>13</xdr:col>
      <xdr:colOff>0</xdr:colOff>
      <xdr:row>236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240</xdr:row>
      <xdr:rowOff>0</xdr:rowOff>
    </xdr:from>
    <xdr:to>
      <xdr:col>13</xdr:col>
      <xdr:colOff>0</xdr:colOff>
      <xdr:row>257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261</xdr:row>
      <xdr:rowOff>0</xdr:rowOff>
    </xdr:from>
    <xdr:to>
      <xdr:col>13</xdr:col>
      <xdr:colOff>0</xdr:colOff>
      <xdr:row>278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0</xdr:colOff>
      <xdr:row>291</xdr:row>
      <xdr:rowOff>0</xdr:rowOff>
    </xdr:from>
    <xdr:to>
      <xdr:col>13</xdr:col>
      <xdr:colOff>0</xdr:colOff>
      <xdr:row>308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312</xdr:row>
      <xdr:rowOff>0</xdr:rowOff>
    </xdr:from>
    <xdr:to>
      <xdr:col>13</xdr:col>
      <xdr:colOff>0</xdr:colOff>
      <xdr:row>329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333</xdr:row>
      <xdr:rowOff>0</xdr:rowOff>
    </xdr:from>
    <xdr:to>
      <xdr:col>13</xdr:col>
      <xdr:colOff>0</xdr:colOff>
      <xdr:row>350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0</xdr:colOff>
      <xdr:row>354</xdr:row>
      <xdr:rowOff>0</xdr:rowOff>
    </xdr:from>
    <xdr:to>
      <xdr:col>13</xdr:col>
      <xdr:colOff>0</xdr:colOff>
      <xdr:row>371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0</xdr:colOff>
      <xdr:row>375</xdr:row>
      <xdr:rowOff>0</xdr:rowOff>
    </xdr:from>
    <xdr:to>
      <xdr:col>13</xdr:col>
      <xdr:colOff>0</xdr:colOff>
      <xdr:row>392</xdr:row>
      <xdr:rowOff>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0</xdr:colOff>
      <xdr:row>27</xdr:row>
      <xdr:rowOff>0</xdr:rowOff>
    </xdr:from>
    <xdr:to>
      <xdr:col>13</xdr:col>
      <xdr:colOff>0</xdr:colOff>
      <xdr:row>44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0</xdr:colOff>
      <xdr:row>48</xdr:row>
      <xdr:rowOff>0</xdr:rowOff>
    </xdr:from>
    <xdr:to>
      <xdr:col>13</xdr:col>
      <xdr:colOff>0</xdr:colOff>
      <xdr:row>65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0</xdr:colOff>
      <xdr:row>69</xdr:row>
      <xdr:rowOff>0</xdr:rowOff>
    </xdr:from>
    <xdr:to>
      <xdr:col>13</xdr:col>
      <xdr:colOff>0</xdr:colOff>
      <xdr:row>86</xdr:row>
      <xdr:rowOff>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18</xdr:col>
      <xdr:colOff>0</xdr:colOff>
      <xdr:row>27</xdr:row>
      <xdr:rowOff>0</xdr:rowOff>
    </xdr:from>
    <xdr:to>
      <xdr:col>26</xdr:col>
      <xdr:colOff>0</xdr:colOff>
      <xdr:row>44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0</xdr:colOff>
      <xdr:row>177</xdr:row>
      <xdr:rowOff>0</xdr:rowOff>
    </xdr:from>
    <xdr:to>
      <xdr:col>25</xdr:col>
      <xdr:colOff>0</xdr:colOff>
      <xdr:row>194</xdr:row>
      <xdr:rowOff>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18</xdr:col>
      <xdr:colOff>0</xdr:colOff>
      <xdr:row>90</xdr:row>
      <xdr:rowOff>0</xdr:rowOff>
    </xdr:from>
    <xdr:to>
      <xdr:col>26</xdr:col>
      <xdr:colOff>0</xdr:colOff>
      <xdr:row>107</xdr:row>
      <xdr:rowOff>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31</xdr:col>
      <xdr:colOff>0</xdr:colOff>
      <xdr:row>91</xdr:row>
      <xdr:rowOff>0</xdr:rowOff>
    </xdr:from>
    <xdr:to>
      <xdr:col>39</xdr:col>
      <xdr:colOff>0</xdr:colOff>
      <xdr:row>107</xdr:row>
      <xdr:rowOff>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18</xdr:col>
      <xdr:colOff>0</xdr:colOff>
      <xdr:row>116</xdr:row>
      <xdr:rowOff>0</xdr:rowOff>
    </xdr:from>
    <xdr:to>
      <xdr:col>26</xdr:col>
      <xdr:colOff>0</xdr:colOff>
      <xdr:row>133</xdr:row>
      <xdr:rowOff>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18</xdr:col>
      <xdr:colOff>104775</xdr:colOff>
      <xdr:row>4</xdr:row>
      <xdr:rowOff>9525</xdr:rowOff>
    </xdr:from>
    <xdr:to>
      <xdr:col>26</xdr:col>
      <xdr:colOff>104775</xdr:colOff>
      <xdr:row>21</xdr:row>
      <xdr:rowOff>9525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0.30273</cdr:x>
      <cdr:y>0.15225</cdr:y>
    </cdr:from>
    <cdr:to>
      <cdr:x>0.8125</cdr:x>
      <cdr:y>0.52941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76375" y="419100"/>
          <a:ext cx="2486025" cy="1038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200" b="1">
              <a:solidFill>
                <a:srgbClr val="002060"/>
              </a:solidFill>
            </a:rPr>
            <a:t>North America = 12.01</a:t>
          </a:r>
          <a:r>
            <a:rPr lang="en-US" sz="1200" b="1" baseline="0">
              <a:solidFill>
                <a:srgbClr val="002060"/>
              </a:solidFill>
            </a:rPr>
            <a:t>m (52%)</a:t>
          </a:r>
        </a:p>
        <a:p xmlns:a="http://schemas.openxmlformats.org/drawingml/2006/main">
          <a:pPr algn="r"/>
          <a:r>
            <a:rPr lang="en-US" sz="1200" b="1" baseline="0">
              <a:solidFill>
                <a:srgbClr val="00B050"/>
              </a:solidFill>
            </a:rPr>
            <a:t>UK / Europe = 5.44m (24%)</a:t>
          </a:r>
        </a:p>
        <a:p xmlns:a="http://schemas.openxmlformats.org/drawingml/2006/main">
          <a:pPr algn="r"/>
          <a:r>
            <a:rPr lang="en-US" sz="1200" b="1" baseline="0">
              <a:solidFill>
                <a:srgbClr val="FF0000"/>
              </a:solidFill>
            </a:rPr>
            <a:t>China = 0.99m (4.3%)</a:t>
          </a:r>
          <a:endParaRPr lang="en-US" sz="1200" b="1">
            <a:solidFill>
              <a:srgbClr val="FF0000"/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qu\US%20Domestic\US%20Research\Small%20Caps\BROOKS\Company%20Models\New%20Cruise%20Models\CCL_091917%20(unpublished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qu\US%20Domestic\US%20Research\Small%20Caps\BROOKS\Company%20Models\New%20Cruise%20Models\RCL_091917%20(unpublish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_FDSCACHE__"/>
      <sheetName val="Cover"/>
      <sheetName val="Download"/>
      <sheetName val="Model"/>
      <sheetName val="Result"/>
      <sheetName val="Incidents"/>
      <sheetName val="MQE"/>
      <sheetName val="SOTP"/>
      <sheetName val="C1"/>
      <sheetName val="T1"/>
      <sheetName val="Key"/>
      <sheetName val="Key (2)"/>
      <sheetName val="Sheet1"/>
      <sheetName val="Vol"/>
      <sheetName val="Yld"/>
      <sheetName val="Fuel"/>
      <sheetName val="Mgn"/>
      <sheetName val="Cst"/>
      <sheetName val="Dbt"/>
      <sheetName val="Annual"/>
      <sheetName val="Street"/>
      <sheetName val="Squiggles"/>
      <sheetName val="Valuations"/>
      <sheetName val="Macro"/>
      <sheetName val="Short"/>
      <sheetName val="Own"/>
      <sheetName val="__APW_ACTIVE_FIELD_RESTORE__"/>
    </sheetNames>
    <sheetDataSet>
      <sheetData sheetId="0"/>
      <sheetData sheetId="1"/>
      <sheetData sheetId="2"/>
      <sheetData sheetId="3">
        <row r="47">
          <cell r="GZ47">
            <v>284396</v>
          </cell>
        </row>
        <row r="52">
          <cell r="GT52">
            <v>253060</v>
          </cell>
          <cell r="GU52">
            <v>265020</v>
          </cell>
          <cell r="GV52">
            <v>281924</v>
          </cell>
          <cell r="GW52">
            <v>284886</v>
          </cell>
          <cell r="GX52">
            <v>290086</v>
          </cell>
          <cell r="GY52">
            <v>284396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_FDSCACHE__"/>
      <sheetName val="Cover"/>
      <sheetName val="Download"/>
      <sheetName val="Model"/>
      <sheetName val="Result"/>
      <sheetName val="SOTP"/>
      <sheetName val="MQE"/>
      <sheetName val="Key"/>
      <sheetName val="Mgn"/>
      <sheetName val="Fuel"/>
      <sheetName val="C1"/>
      <sheetName val="T1"/>
      <sheetName val="T2"/>
      <sheetName val="T3"/>
      <sheetName val="Ships"/>
      <sheetName val="The Street"/>
      <sheetName val="Squiggles"/>
      <sheetName val="EVE"/>
      <sheetName val="PER"/>
      <sheetName val="Macro"/>
      <sheetName val="FS"/>
      <sheetName val="Own"/>
      <sheetName val="Short"/>
      <sheetName val="OLD"/>
      <sheetName val="__APW_ACTIVE_FIELD_RESTORE__"/>
    </sheetNames>
    <sheetDataSet>
      <sheetData sheetId="0" refreshError="1"/>
      <sheetData sheetId="1" refreshError="1"/>
      <sheetData sheetId="2" refreshError="1"/>
      <sheetData sheetId="3">
        <row r="162">
          <cell r="DB162">
            <v>123960</v>
          </cell>
          <cell r="DE162">
            <v>130429</v>
          </cell>
          <cell r="DJ162">
            <v>138485</v>
          </cell>
          <cell r="DN162">
            <v>145547</v>
          </cell>
          <cell r="DR162">
            <v>152322</v>
          </cell>
          <cell r="DV162">
            <v>160222</v>
          </cell>
          <cell r="DZ162">
            <v>157872</v>
          </cell>
          <cell r="ED162">
            <v>162872</v>
          </cell>
          <cell r="EH162">
            <v>162872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Macquarie Research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FB945"/>
      </a:accent1>
      <a:accent2>
        <a:srgbClr val="0066A5"/>
      </a:accent2>
      <a:accent3>
        <a:srgbClr val="33B4E6"/>
      </a:accent3>
      <a:accent4>
        <a:srgbClr val="ADEBFF"/>
      </a:accent4>
      <a:accent5>
        <a:srgbClr val="737476"/>
      </a:accent5>
      <a:accent6>
        <a:srgbClr val="C5C5C7"/>
      </a:accent6>
      <a:hlink>
        <a:srgbClr val="0066A5"/>
      </a:hlink>
      <a:folHlink>
        <a:srgbClr val="D85427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1"/>
  <sheetViews>
    <sheetView workbookViewId="0"/>
  </sheetViews>
  <sheetFormatPr defaultRowHeight="12.75"/>
  <sheetData>
    <row r="1" spans="1:2">
      <c r="B1" t="s">
        <v>296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5"/>
  <sheetViews>
    <sheetView topLeftCell="A16" workbookViewId="0">
      <selection activeCell="J43" sqref="J43"/>
    </sheetView>
  </sheetViews>
  <sheetFormatPr defaultRowHeight="12.75"/>
  <cols>
    <col min="1" max="1" width="2.7109375" customWidth="1"/>
    <col min="2" max="2" width="3.28515625" style="35" bestFit="1" customWidth="1"/>
    <col min="3" max="3" width="16.28515625" bestFit="1" customWidth="1"/>
    <col min="4" max="5" width="8.7109375" style="18" customWidth="1"/>
    <col min="6" max="6" width="14.7109375" style="119" hidden="1" customWidth="1"/>
    <col min="7" max="12" width="18.7109375" style="18" customWidth="1"/>
    <col min="13" max="13" width="18.7109375" style="18" hidden="1" customWidth="1"/>
  </cols>
  <sheetData>
    <row r="2" spans="2:13">
      <c r="C2" s="35"/>
      <c r="D2" s="121"/>
      <c r="E2" s="121"/>
      <c r="F2" s="120"/>
      <c r="G2" s="121"/>
      <c r="H2" s="121"/>
      <c r="I2" s="121"/>
      <c r="J2" s="121"/>
      <c r="K2" s="121"/>
      <c r="L2" s="121"/>
      <c r="M2" s="121"/>
    </row>
    <row r="3" spans="2:13" s="127" customFormat="1" ht="13.5" customHeight="1" thickBot="1">
      <c r="B3" s="124"/>
      <c r="C3" s="125" t="s">
        <v>294</v>
      </c>
      <c r="D3" s="126" t="s">
        <v>205</v>
      </c>
      <c r="E3" s="126" t="s">
        <v>407</v>
      </c>
      <c r="F3" s="165" t="s">
        <v>732</v>
      </c>
      <c r="G3" s="126" t="s">
        <v>731</v>
      </c>
      <c r="H3" s="126">
        <v>2015</v>
      </c>
      <c r="I3" s="126">
        <v>2016</v>
      </c>
      <c r="J3" s="126">
        <v>2017</v>
      </c>
      <c r="K3" s="126">
        <v>2018</v>
      </c>
      <c r="L3" s="126">
        <v>2019</v>
      </c>
      <c r="M3" s="126">
        <v>2020</v>
      </c>
    </row>
    <row r="4" spans="2:13" s="127" customFormat="1" ht="13.5" customHeight="1">
      <c r="B4" s="287" t="s">
        <v>93</v>
      </c>
      <c r="C4" s="122" t="s">
        <v>71</v>
      </c>
      <c r="D4" s="157">
        <v>2004</v>
      </c>
      <c r="E4" s="156">
        <v>2124</v>
      </c>
      <c r="F4" s="155"/>
      <c r="G4" s="160" t="s">
        <v>717</v>
      </c>
      <c r="H4" s="128"/>
      <c r="I4" s="128"/>
      <c r="J4" s="128"/>
      <c r="K4" s="128" t="s">
        <v>84</v>
      </c>
      <c r="L4" s="128" t="s">
        <v>84</v>
      </c>
      <c r="M4" s="128" t="s">
        <v>84</v>
      </c>
    </row>
    <row r="5" spans="2:13" s="127" customFormat="1" ht="13.5" customHeight="1">
      <c r="B5" s="287"/>
      <c r="C5" s="123"/>
      <c r="D5" s="157">
        <v>2008</v>
      </c>
      <c r="E5" s="156">
        <v>3012</v>
      </c>
      <c r="F5" s="155"/>
      <c r="G5" s="156"/>
      <c r="H5" s="128"/>
      <c r="I5" s="128"/>
      <c r="J5" s="128"/>
      <c r="K5" s="128"/>
      <c r="L5" s="128" t="s">
        <v>88</v>
      </c>
      <c r="M5" s="128" t="s">
        <v>88</v>
      </c>
    </row>
    <row r="6" spans="2:13" s="127" customFormat="1" ht="13.5" customHeight="1">
      <c r="B6" s="287"/>
      <c r="C6" s="129" t="s">
        <v>132</v>
      </c>
      <c r="D6" s="159">
        <v>2000</v>
      </c>
      <c r="E6" s="150">
        <v>2210</v>
      </c>
      <c r="F6" s="163" t="s">
        <v>730</v>
      </c>
      <c r="G6" s="150" t="s">
        <v>717</v>
      </c>
      <c r="H6" s="130" t="s">
        <v>700</v>
      </c>
      <c r="I6" s="130" t="str">
        <f t="shared" ref="I6:M8" si="0">H6</f>
        <v>Atlantica</v>
      </c>
      <c r="J6" s="130" t="str">
        <f t="shared" si="0"/>
        <v>Atlantica</v>
      </c>
      <c r="K6" s="130" t="str">
        <f t="shared" si="0"/>
        <v>Atlantica</v>
      </c>
      <c r="L6" s="130" t="str">
        <f t="shared" si="0"/>
        <v>Atlantica</v>
      </c>
      <c r="M6" s="130" t="str">
        <f t="shared" si="0"/>
        <v>Atlantica</v>
      </c>
    </row>
    <row r="7" spans="2:13" s="127" customFormat="1" ht="13.5" customHeight="1">
      <c r="B7" s="287"/>
      <c r="C7" s="129"/>
      <c r="D7" s="159">
        <v>2007</v>
      </c>
      <c r="E7" s="150">
        <v>3014</v>
      </c>
      <c r="F7" s="163" t="s">
        <v>729</v>
      </c>
      <c r="G7" s="150" t="s">
        <v>717</v>
      </c>
      <c r="H7" s="130" t="s">
        <v>701</v>
      </c>
      <c r="I7" s="130" t="str">
        <f t="shared" si="0"/>
        <v>Serena</v>
      </c>
      <c r="J7" s="130" t="str">
        <f t="shared" si="0"/>
        <v>Serena</v>
      </c>
      <c r="K7" s="130" t="str">
        <f t="shared" si="0"/>
        <v>Serena</v>
      </c>
      <c r="L7" s="130" t="str">
        <f t="shared" si="0"/>
        <v>Serena</v>
      </c>
      <c r="M7" s="130" t="str">
        <f t="shared" si="0"/>
        <v>Serena</v>
      </c>
    </row>
    <row r="8" spans="2:13" s="127" customFormat="1" ht="13.5" customHeight="1">
      <c r="B8" s="287"/>
      <c r="C8" s="129"/>
      <c r="D8" s="159">
        <v>1996</v>
      </c>
      <c r="E8" s="150">
        <v>1928</v>
      </c>
      <c r="F8" s="163" t="s">
        <v>728</v>
      </c>
      <c r="G8" s="150" t="s">
        <v>717</v>
      </c>
      <c r="H8" s="130" t="s">
        <v>691</v>
      </c>
      <c r="I8" s="130" t="str">
        <f t="shared" si="0"/>
        <v>Victoria</v>
      </c>
      <c r="J8" s="130" t="str">
        <f t="shared" si="0"/>
        <v>Victoria</v>
      </c>
      <c r="K8" s="130" t="str">
        <f t="shared" si="0"/>
        <v>Victoria</v>
      </c>
      <c r="L8" s="130" t="str">
        <f t="shared" si="0"/>
        <v>Victoria</v>
      </c>
      <c r="M8" s="130" t="str">
        <f t="shared" si="0"/>
        <v>Victoria</v>
      </c>
    </row>
    <row r="9" spans="2:13" s="127" customFormat="1" ht="13.5" customHeight="1">
      <c r="B9" s="287"/>
      <c r="C9" s="129"/>
      <c r="D9" s="159">
        <v>2003</v>
      </c>
      <c r="E9" s="150">
        <v>2698</v>
      </c>
      <c r="F9" s="163" t="s">
        <v>725</v>
      </c>
      <c r="G9" s="150" t="s">
        <v>717</v>
      </c>
      <c r="H9" s="130"/>
      <c r="I9" s="130" t="s">
        <v>702</v>
      </c>
      <c r="J9" s="130" t="str">
        <f>I9</f>
        <v>Fortuna</v>
      </c>
      <c r="K9" s="130" t="str">
        <f>J9</f>
        <v>Fortuna</v>
      </c>
      <c r="L9" s="130" t="str">
        <f>K9</f>
        <v>Fortuna</v>
      </c>
      <c r="M9" s="130" t="str">
        <f>L9</f>
        <v>Fortuna</v>
      </c>
    </row>
    <row r="10" spans="2:13" s="127" customFormat="1" ht="13.5" customHeight="1">
      <c r="B10" s="287"/>
      <c r="C10" s="129"/>
      <c r="D10" s="159">
        <v>1993</v>
      </c>
      <c r="E10" s="150">
        <v>1578</v>
      </c>
      <c r="F10" s="163" t="s">
        <v>727</v>
      </c>
      <c r="G10" s="150" t="s">
        <v>717</v>
      </c>
      <c r="H10" s="130"/>
      <c r="I10" s="130"/>
      <c r="J10" s="130" t="s">
        <v>703</v>
      </c>
      <c r="K10" s="130" t="str">
        <f>J10</f>
        <v>NeoRomantica</v>
      </c>
      <c r="L10" s="130" t="str">
        <f>K10</f>
        <v>NeoRomantica</v>
      </c>
      <c r="M10" s="130" t="str">
        <f>L10</f>
        <v>NeoRomantica</v>
      </c>
    </row>
    <row r="11" spans="2:13" s="127" customFormat="1" ht="13.5" customHeight="1">
      <c r="B11" s="287"/>
      <c r="C11" s="129"/>
      <c r="D11" s="159">
        <v>2019</v>
      </c>
      <c r="E11" s="150">
        <v>4200</v>
      </c>
      <c r="F11" s="158"/>
      <c r="G11" s="150"/>
      <c r="H11" s="130"/>
      <c r="I11" s="130"/>
      <c r="J11" s="130"/>
      <c r="K11" s="130"/>
      <c r="L11" s="130" t="s">
        <v>704</v>
      </c>
      <c r="M11" s="130" t="s">
        <v>704</v>
      </c>
    </row>
    <row r="12" spans="2:13" s="127" customFormat="1" ht="13.5" hidden="1" customHeight="1">
      <c r="B12" s="287"/>
      <c r="C12" s="129"/>
      <c r="D12" s="159">
        <v>2020</v>
      </c>
      <c r="E12" s="150">
        <v>4200</v>
      </c>
      <c r="F12" s="158"/>
      <c r="G12" s="150"/>
      <c r="H12" s="130"/>
      <c r="I12" s="130"/>
      <c r="J12" s="130"/>
      <c r="K12" s="130"/>
      <c r="L12" s="130"/>
      <c r="M12" s="130" t="s">
        <v>704</v>
      </c>
    </row>
    <row r="13" spans="2:13" s="127" customFormat="1" ht="13.5" customHeight="1">
      <c r="B13" s="287"/>
      <c r="C13" s="123" t="s">
        <v>143</v>
      </c>
      <c r="D13" s="157">
        <v>2008</v>
      </c>
      <c r="E13" s="156">
        <v>2050</v>
      </c>
      <c r="F13" s="164" t="s">
        <v>727</v>
      </c>
      <c r="G13" s="156" t="s">
        <v>717</v>
      </c>
      <c r="H13" s="128"/>
      <c r="I13" s="128"/>
      <c r="J13" s="128"/>
      <c r="K13" s="128">
        <f t="shared" ref="K13:M26" si="1">J13</f>
        <v>0</v>
      </c>
      <c r="L13" s="128">
        <f t="shared" si="1"/>
        <v>0</v>
      </c>
      <c r="M13" s="128">
        <f t="shared" si="1"/>
        <v>0</v>
      </c>
    </row>
    <row r="14" spans="2:13" s="127" customFormat="1" ht="13.5" customHeight="1">
      <c r="B14" s="287"/>
      <c r="C14" s="129" t="s">
        <v>195</v>
      </c>
      <c r="D14" s="159">
        <v>2004</v>
      </c>
      <c r="E14" s="150">
        <v>2678</v>
      </c>
      <c r="F14" s="163" t="s">
        <v>726</v>
      </c>
      <c r="G14" s="150" t="s">
        <v>717</v>
      </c>
      <c r="H14" s="130" t="s">
        <v>705</v>
      </c>
      <c r="I14" s="130" t="s">
        <v>705</v>
      </c>
      <c r="J14" s="130" t="str">
        <f>I14</f>
        <v>Sapphire</v>
      </c>
      <c r="K14" s="130" t="str">
        <f t="shared" si="1"/>
        <v>Sapphire</v>
      </c>
      <c r="L14" s="130" t="str">
        <f t="shared" si="1"/>
        <v>Sapphire</v>
      </c>
      <c r="M14" s="130" t="str">
        <f t="shared" si="1"/>
        <v>Sapphire</v>
      </c>
    </row>
    <row r="15" spans="2:13" s="127" customFormat="1" ht="13.5" customHeight="1">
      <c r="B15" s="287"/>
      <c r="C15" s="129"/>
      <c r="D15" s="159">
        <v>2001</v>
      </c>
      <c r="E15" s="150">
        <v>2632</v>
      </c>
      <c r="F15" s="163" t="s">
        <v>725</v>
      </c>
      <c r="G15" s="150" t="s">
        <v>300</v>
      </c>
      <c r="H15" s="130"/>
      <c r="I15" s="130" t="s">
        <v>706</v>
      </c>
      <c r="J15" s="130" t="str">
        <f>I15</f>
        <v>Golden</v>
      </c>
      <c r="K15" s="130" t="str">
        <f t="shared" si="1"/>
        <v>Golden</v>
      </c>
      <c r="L15" s="130" t="str">
        <f t="shared" si="1"/>
        <v>Golden</v>
      </c>
      <c r="M15" s="130" t="str">
        <f t="shared" si="1"/>
        <v>Golden</v>
      </c>
    </row>
    <row r="16" spans="2:13" s="127" customFormat="1" ht="13.5" customHeight="1">
      <c r="B16" s="287"/>
      <c r="C16" s="129"/>
      <c r="D16" s="159">
        <v>2017</v>
      </c>
      <c r="E16" s="150">
        <v>3560</v>
      </c>
      <c r="F16" s="163" t="s">
        <v>724</v>
      </c>
      <c r="G16" s="150" t="s">
        <v>717</v>
      </c>
      <c r="H16" s="130"/>
      <c r="I16" s="130"/>
      <c r="J16" s="130" t="s">
        <v>102</v>
      </c>
      <c r="K16" s="130" t="str">
        <f t="shared" si="1"/>
        <v>Majestic Princess</v>
      </c>
      <c r="L16" s="130" t="str">
        <f t="shared" si="1"/>
        <v>Majestic Princess</v>
      </c>
      <c r="M16" s="130" t="str">
        <f t="shared" si="1"/>
        <v>Majestic Princess</v>
      </c>
    </row>
    <row r="17" spans="2:13" s="127" customFormat="1" ht="13.5" customHeight="1">
      <c r="B17" s="288" t="s">
        <v>45</v>
      </c>
      <c r="C17" s="131" t="s">
        <v>185</v>
      </c>
      <c r="D17" s="162">
        <v>2014</v>
      </c>
      <c r="E17" s="160">
        <v>4162</v>
      </c>
      <c r="F17" s="161"/>
      <c r="G17" s="160" t="s">
        <v>717</v>
      </c>
      <c r="H17" s="132" t="s">
        <v>264</v>
      </c>
      <c r="I17" s="132" t="str">
        <f t="shared" ref="I17:J20" si="2">H17</f>
        <v>Quantum</v>
      </c>
      <c r="J17" s="132" t="str">
        <f t="shared" si="2"/>
        <v>Quantum</v>
      </c>
      <c r="K17" s="132" t="str">
        <f t="shared" si="1"/>
        <v>Quantum</v>
      </c>
      <c r="L17" s="132" t="str">
        <f t="shared" si="1"/>
        <v>Quantum</v>
      </c>
      <c r="M17" s="132" t="str">
        <f t="shared" si="1"/>
        <v>Quantum</v>
      </c>
    </row>
    <row r="18" spans="2:13" s="127" customFormat="1" ht="13.5" customHeight="1">
      <c r="B18" s="289"/>
      <c r="C18" s="123"/>
      <c r="D18" s="157">
        <v>1999</v>
      </c>
      <c r="E18" s="156">
        <v>3282</v>
      </c>
      <c r="F18" s="155"/>
      <c r="G18" s="156" t="s">
        <v>300</v>
      </c>
      <c r="H18" s="133" t="s">
        <v>261</v>
      </c>
      <c r="I18" s="133" t="str">
        <f t="shared" si="2"/>
        <v>Voyager</v>
      </c>
      <c r="J18" s="133" t="str">
        <f t="shared" si="2"/>
        <v>Voyager</v>
      </c>
      <c r="K18" s="133" t="str">
        <f t="shared" si="1"/>
        <v>Voyager</v>
      </c>
      <c r="L18" s="133" t="str">
        <f t="shared" si="1"/>
        <v>Voyager</v>
      </c>
      <c r="M18" s="133" t="str">
        <f t="shared" si="1"/>
        <v>Voyager</v>
      </c>
    </row>
    <row r="19" spans="2:13" s="127" customFormat="1" ht="13.5" customHeight="1">
      <c r="B19" s="289"/>
      <c r="C19" s="123"/>
      <c r="D19" s="157">
        <v>2003</v>
      </c>
      <c r="E19" s="156">
        <v>3110</v>
      </c>
      <c r="F19" s="155"/>
      <c r="G19" s="156" t="s">
        <v>717</v>
      </c>
      <c r="H19" s="133" t="s">
        <v>693</v>
      </c>
      <c r="I19" s="133" t="str">
        <f t="shared" si="2"/>
        <v>Mariner</v>
      </c>
      <c r="J19" s="133" t="str">
        <f t="shared" si="2"/>
        <v>Mariner</v>
      </c>
      <c r="K19" s="133" t="str">
        <f t="shared" si="1"/>
        <v>Mariner</v>
      </c>
      <c r="L19" s="133" t="str">
        <f t="shared" si="1"/>
        <v>Mariner</v>
      </c>
      <c r="M19" s="133" t="str">
        <f t="shared" si="1"/>
        <v>Mariner</v>
      </c>
    </row>
    <row r="20" spans="2:13" s="127" customFormat="1" ht="13.5" customHeight="1">
      <c r="B20" s="289"/>
      <c r="C20" s="123"/>
      <c r="D20" s="157">
        <v>1995</v>
      </c>
      <c r="E20" s="156">
        <v>1830</v>
      </c>
      <c r="F20" s="155"/>
      <c r="G20" s="156" t="s">
        <v>720</v>
      </c>
      <c r="H20" s="133" t="s">
        <v>692</v>
      </c>
      <c r="I20" s="133" t="str">
        <f t="shared" si="2"/>
        <v>Legend</v>
      </c>
      <c r="J20" s="133" t="str">
        <f t="shared" si="2"/>
        <v>Legend</v>
      </c>
      <c r="K20" s="133"/>
      <c r="L20" s="133"/>
      <c r="M20" s="133">
        <f t="shared" si="1"/>
        <v>0</v>
      </c>
    </row>
    <row r="21" spans="2:13" s="127" customFormat="1" ht="13.5" customHeight="1">
      <c r="B21" s="289"/>
      <c r="C21" s="123"/>
      <c r="D21" s="157">
        <v>2016</v>
      </c>
      <c r="E21" s="156">
        <v>4162</v>
      </c>
      <c r="F21" s="155"/>
      <c r="G21" s="156" t="s">
        <v>723</v>
      </c>
      <c r="H21" s="133"/>
      <c r="I21" s="133" t="s">
        <v>694</v>
      </c>
      <c r="J21" s="133" t="str">
        <f>I21</f>
        <v>Ovation</v>
      </c>
      <c r="K21" s="133" t="str">
        <f t="shared" si="1"/>
        <v>Ovation</v>
      </c>
      <c r="L21" s="133" t="str">
        <f t="shared" si="1"/>
        <v>Ovation</v>
      </c>
      <c r="M21" s="133" t="str">
        <f t="shared" si="1"/>
        <v>Ovation</v>
      </c>
    </row>
    <row r="22" spans="2:13" s="127" customFormat="1" ht="13.5" customHeight="1">
      <c r="B22" s="289"/>
      <c r="C22" s="129" t="s">
        <v>707</v>
      </c>
      <c r="D22" s="159">
        <v>1995</v>
      </c>
      <c r="E22" s="150">
        <v>1808</v>
      </c>
      <c r="F22" s="163" t="s">
        <v>722</v>
      </c>
      <c r="G22" s="150" t="s">
        <v>717</v>
      </c>
      <c r="H22" s="134" t="s">
        <v>708</v>
      </c>
      <c r="I22" s="134" t="str">
        <f>H22</f>
        <v>Golden Era</v>
      </c>
      <c r="J22" s="134" t="str">
        <f>I22</f>
        <v>Golden Era</v>
      </c>
      <c r="K22" s="134" t="str">
        <f t="shared" si="1"/>
        <v>Golden Era</v>
      </c>
      <c r="L22" s="134" t="str">
        <f t="shared" si="1"/>
        <v>Golden Era</v>
      </c>
      <c r="M22" s="134" t="str">
        <f t="shared" si="1"/>
        <v>Golden Era</v>
      </c>
    </row>
    <row r="23" spans="2:13" s="127" customFormat="1" ht="13.5" customHeight="1">
      <c r="B23" s="135"/>
      <c r="C23" s="131" t="s">
        <v>46</v>
      </c>
      <c r="D23" s="162">
        <v>2017</v>
      </c>
      <c r="E23" s="160">
        <v>4200</v>
      </c>
      <c r="F23" s="161"/>
      <c r="G23" s="160" t="s">
        <v>717</v>
      </c>
      <c r="H23" s="132"/>
      <c r="I23" s="132"/>
      <c r="J23" s="132" t="s">
        <v>187</v>
      </c>
      <c r="K23" s="132" t="str">
        <f t="shared" si="1"/>
        <v>Norwegian Joy</v>
      </c>
      <c r="L23" s="132" t="str">
        <f t="shared" si="1"/>
        <v>Norwegian Joy</v>
      </c>
      <c r="M23" s="132" t="str">
        <f t="shared" si="1"/>
        <v>Norwegian Joy</v>
      </c>
    </row>
    <row r="24" spans="2:13" s="127" customFormat="1" ht="13.5" customHeight="1">
      <c r="B24" s="288" t="s">
        <v>253</v>
      </c>
      <c r="C24" s="136" t="s">
        <v>194</v>
      </c>
      <c r="D24" s="153">
        <v>1999</v>
      </c>
      <c r="E24" s="152">
        <v>1974</v>
      </c>
      <c r="F24" s="151"/>
      <c r="G24" s="152" t="s">
        <v>721</v>
      </c>
      <c r="H24" s="137" t="s">
        <v>709</v>
      </c>
      <c r="I24" s="137" t="str">
        <f t="shared" ref="I24:J26" si="3">H24</f>
        <v>Virgo</v>
      </c>
      <c r="J24" s="137" t="str">
        <f t="shared" si="3"/>
        <v>Virgo</v>
      </c>
      <c r="K24" s="137" t="str">
        <f t="shared" si="1"/>
        <v>Virgo</v>
      </c>
      <c r="L24" s="137" t="str">
        <f t="shared" si="1"/>
        <v>Virgo</v>
      </c>
      <c r="M24" s="137" t="str">
        <f t="shared" si="1"/>
        <v>Virgo</v>
      </c>
    </row>
    <row r="25" spans="2:13" s="127" customFormat="1" ht="13.5" customHeight="1">
      <c r="B25" s="289"/>
      <c r="C25" s="129"/>
      <c r="D25" s="159">
        <v>1993</v>
      </c>
      <c r="E25" s="150">
        <v>1750</v>
      </c>
      <c r="F25" s="158"/>
      <c r="G25" s="150" t="s">
        <v>690</v>
      </c>
      <c r="H25" s="134" t="s">
        <v>710</v>
      </c>
      <c r="I25" s="134" t="str">
        <f t="shared" si="3"/>
        <v>Acquarius</v>
      </c>
      <c r="J25" s="134" t="str">
        <f t="shared" si="3"/>
        <v>Acquarius</v>
      </c>
      <c r="K25" s="134" t="str">
        <f t="shared" si="1"/>
        <v>Acquarius</v>
      </c>
      <c r="L25" s="134" t="str">
        <f t="shared" si="1"/>
        <v>Acquarius</v>
      </c>
      <c r="M25" s="134" t="str">
        <f t="shared" si="1"/>
        <v>Acquarius</v>
      </c>
    </row>
    <row r="26" spans="2:13" s="127" customFormat="1" ht="13.5" customHeight="1">
      <c r="B26" s="289"/>
      <c r="C26" s="129"/>
      <c r="D26" s="159">
        <v>1988</v>
      </c>
      <c r="E26" s="150">
        <v>1480</v>
      </c>
      <c r="F26" s="158"/>
      <c r="G26" s="150" t="s">
        <v>720</v>
      </c>
      <c r="H26" s="134" t="s">
        <v>711</v>
      </c>
      <c r="I26" s="134" t="str">
        <f t="shared" si="3"/>
        <v>Libra</v>
      </c>
      <c r="J26" s="134" t="str">
        <f t="shared" si="3"/>
        <v>Libra</v>
      </c>
      <c r="K26" s="134" t="str">
        <f t="shared" si="1"/>
        <v>Libra</v>
      </c>
      <c r="L26" s="134" t="str">
        <f t="shared" si="1"/>
        <v>Libra</v>
      </c>
      <c r="M26" s="134" t="str">
        <f t="shared" si="1"/>
        <v>Libra</v>
      </c>
    </row>
    <row r="27" spans="2:13" s="127" customFormat="1" ht="13.5" customHeight="1">
      <c r="B27" s="289"/>
      <c r="C27" s="129"/>
      <c r="D27" s="159">
        <v>2020</v>
      </c>
      <c r="E27" s="150">
        <v>5000</v>
      </c>
      <c r="F27" s="158"/>
      <c r="G27" s="150"/>
      <c r="H27" s="134"/>
      <c r="I27" s="134"/>
      <c r="J27" s="134"/>
      <c r="K27" s="134"/>
      <c r="L27" s="134"/>
      <c r="M27" s="134" t="s">
        <v>719</v>
      </c>
    </row>
    <row r="28" spans="2:13" s="127" customFormat="1" ht="13.5" customHeight="1">
      <c r="B28" s="289"/>
      <c r="C28" s="123" t="s">
        <v>218</v>
      </c>
      <c r="D28" s="157">
        <v>2016</v>
      </c>
      <c r="E28" s="156">
        <v>3364</v>
      </c>
      <c r="F28" s="155"/>
      <c r="G28" s="156" t="s">
        <v>718</v>
      </c>
      <c r="H28" s="133"/>
      <c r="I28" s="133" t="s">
        <v>441</v>
      </c>
      <c r="J28" s="133" t="str">
        <f>I28</f>
        <v>Genting Dream</v>
      </c>
      <c r="K28" s="133" t="str">
        <f>J28</f>
        <v>Genting Dream</v>
      </c>
      <c r="L28" s="133" t="str">
        <f>K28</f>
        <v>Genting Dream</v>
      </c>
      <c r="M28" s="133" t="str">
        <f>L28</f>
        <v>Genting Dream</v>
      </c>
    </row>
    <row r="29" spans="2:13" s="127" customFormat="1" ht="13.5" customHeight="1">
      <c r="B29" s="289"/>
      <c r="C29" s="123"/>
      <c r="D29" s="157">
        <v>2017</v>
      </c>
      <c r="E29" s="156">
        <v>3364</v>
      </c>
      <c r="F29" s="155"/>
      <c r="G29" s="154"/>
      <c r="H29" s="133"/>
      <c r="I29" s="133"/>
      <c r="J29" s="133" t="s">
        <v>446</v>
      </c>
      <c r="K29" s="133" t="str">
        <f t="shared" ref="K29:M30" si="4">J29</f>
        <v>World Dream</v>
      </c>
      <c r="L29" s="133" t="str">
        <f t="shared" si="4"/>
        <v>World Dream</v>
      </c>
      <c r="M29" s="133" t="str">
        <f t="shared" si="4"/>
        <v>World Dream</v>
      </c>
    </row>
    <row r="30" spans="2:13" s="127" customFormat="1" ht="13.5" customHeight="1">
      <c r="B30" s="135"/>
      <c r="C30" s="136" t="s">
        <v>184</v>
      </c>
      <c r="D30" s="153">
        <v>2003</v>
      </c>
      <c r="E30" s="152">
        <v>1976</v>
      </c>
      <c r="F30" s="151"/>
      <c r="G30" s="150" t="s">
        <v>717</v>
      </c>
      <c r="H30" s="137"/>
      <c r="I30" s="137" t="s">
        <v>274</v>
      </c>
      <c r="J30" s="137" t="str">
        <f>I30</f>
        <v>Lirica</v>
      </c>
      <c r="K30" s="137" t="str">
        <f t="shared" si="4"/>
        <v>Lirica</v>
      </c>
      <c r="L30" s="137" t="str">
        <f t="shared" si="4"/>
        <v>Lirica</v>
      </c>
      <c r="M30" s="137" t="str">
        <f t="shared" si="4"/>
        <v>Lirica</v>
      </c>
    </row>
    <row r="31" spans="2:13" s="127" customFormat="1" ht="13.5" customHeight="1">
      <c r="B31" s="138"/>
      <c r="C31" s="139"/>
      <c r="D31" s="149">
        <v>2009</v>
      </c>
      <c r="E31" s="147">
        <v>3270</v>
      </c>
      <c r="F31" s="148"/>
      <c r="G31" s="147"/>
      <c r="H31" s="140"/>
      <c r="I31" s="140"/>
      <c r="J31" s="140"/>
      <c r="K31" s="140" t="s">
        <v>712</v>
      </c>
      <c r="L31" s="140" t="str">
        <f>K31</f>
        <v>Splendida</v>
      </c>
      <c r="M31" s="140" t="str">
        <f>L31</f>
        <v>Splendida</v>
      </c>
    </row>
    <row r="32" spans="2:13" s="127" customFormat="1" ht="13.5" customHeight="1" thickBot="1">
      <c r="B32" s="124"/>
      <c r="C32" s="125" t="s">
        <v>734</v>
      </c>
      <c r="D32" s="166">
        <v>2000</v>
      </c>
      <c r="E32" s="167">
        <v>832</v>
      </c>
      <c r="F32" s="168"/>
      <c r="G32" s="167" t="s">
        <v>521</v>
      </c>
      <c r="H32" s="169"/>
      <c r="I32" s="169" t="s">
        <v>736</v>
      </c>
      <c r="J32" s="169" t="str">
        <f>I32</f>
        <v>Chinese Taishan</v>
      </c>
      <c r="K32" s="169" t="str">
        <f t="shared" ref="K32:L32" si="5">J32</f>
        <v>Chinese Taishan</v>
      </c>
      <c r="L32" s="169" t="str">
        <f t="shared" si="5"/>
        <v>Chinese Taishan</v>
      </c>
      <c r="M32" s="134"/>
    </row>
    <row r="33" spans="2:13" s="2" customFormat="1">
      <c r="B33" s="34"/>
      <c r="C33" s="2" t="s">
        <v>71</v>
      </c>
      <c r="D33" s="60"/>
      <c r="E33" s="60"/>
      <c r="F33" s="69"/>
      <c r="G33" s="60"/>
      <c r="K33" s="67">
        <f>E4</f>
        <v>2124</v>
      </c>
      <c r="L33" s="67">
        <f>K33+E5</f>
        <v>5136</v>
      </c>
      <c r="M33" s="67"/>
    </row>
    <row r="34" spans="2:13" s="2" customFormat="1">
      <c r="B34" s="34"/>
      <c r="C34" s="2" t="s">
        <v>132</v>
      </c>
      <c r="D34" s="60"/>
      <c r="E34" s="60"/>
      <c r="F34" s="69"/>
      <c r="G34" s="60"/>
      <c r="H34" s="68">
        <f>E6+E7+E8</f>
        <v>7152</v>
      </c>
      <c r="I34" s="68">
        <f>H34+E9</f>
        <v>9850</v>
      </c>
      <c r="J34" s="68">
        <f>I34+E10</f>
        <v>11428</v>
      </c>
      <c r="K34" s="68">
        <f t="shared" ref="K34:K41" si="6">J34</f>
        <v>11428</v>
      </c>
      <c r="L34" s="68">
        <f>K34+E11</f>
        <v>15628</v>
      </c>
      <c r="M34" s="68"/>
    </row>
    <row r="35" spans="2:13" s="2" customFormat="1">
      <c r="B35" s="34"/>
      <c r="C35" s="2" t="s">
        <v>143</v>
      </c>
      <c r="D35" s="60"/>
      <c r="E35" s="60"/>
      <c r="F35" s="69"/>
      <c r="G35" s="60"/>
      <c r="H35" s="60"/>
      <c r="I35" s="60"/>
      <c r="J35" s="68"/>
      <c r="K35" s="68">
        <f>E13</f>
        <v>2050</v>
      </c>
      <c r="L35" s="68">
        <f t="shared" ref="L35:L43" si="7">K35</f>
        <v>2050</v>
      </c>
      <c r="M35" s="68"/>
    </row>
    <row r="36" spans="2:13" s="2" customFormat="1">
      <c r="B36" s="34"/>
      <c r="C36" s="31" t="s">
        <v>195</v>
      </c>
      <c r="D36" s="61"/>
      <c r="E36" s="61"/>
      <c r="F36" s="117"/>
      <c r="G36" s="61"/>
      <c r="H36" s="118">
        <f>E14</f>
        <v>2678</v>
      </c>
      <c r="I36" s="118">
        <f>H36+E15</f>
        <v>5310</v>
      </c>
      <c r="J36" s="118">
        <f>I36+E16</f>
        <v>8870</v>
      </c>
      <c r="K36" s="118">
        <f t="shared" si="6"/>
        <v>8870</v>
      </c>
      <c r="L36" s="118">
        <f t="shared" si="7"/>
        <v>8870</v>
      </c>
      <c r="M36" s="118"/>
    </row>
    <row r="37" spans="2:13" s="2" customFormat="1">
      <c r="B37" s="34"/>
      <c r="C37" s="2" t="s">
        <v>185</v>
      </c>
      <c r="D37" s="60"/>
      <c r="E37" s="60"/>
      <c r="F37" s="69"/>
      <c r="G37" s="60"/>
      <c r="H37" s="68">
        <f>E17+E18+E19+E20</f>
        <v>12384</v>
      </c>
      <c r="I37" s="68">
        <f>H37+E21</f>
        <v>16546</v>
      </c>
      <c r="J37" s="68">
        <f>I37</f>
        <v>16546</v>
      </c>
      <c r="K37" s="68">
        <f t="shared" si="6"/>
        <v>16546</v>
      </c>
      <c r="L37" s="68">
        <f t="shared" si="7"/>
        <v>16546</v>
      </c>
      <c r="M37" s="68"/>
    </row>
    <row r="38" spans="2:13" s="2" customFormat="1">
      <c r="B38" s="34"/>
      <c r="C38" s="31" t="s">
        <v>716</v>
      </c>
      <c r="D38" s="61"/>
      <c r="E38" s="61"/>
      <c r="F38" s="117"/>
      <c r="G38" s="61"/>
      <c r="H38" s="118">
        <f>E22</f>
        <v>1808</v>
      </c>
      <c r="I38" s="118">
        <f>H38</f>
        <v>1808</v>
      </c>
      <c r="J38" s="118">
        <f>I38</f>
        <v>1808</v>
      </c>
      <c r="K38" s="118">
        <f t="shared" si="6"/>
        <v>1808</v>
      </c>
      <c r="L38" s="118">
        <f t="shared" si="7"/>
        <v>1808</v>
      </c>
      <c r="M38" s="118"/>
    </row>
    <row r="39" spans="2:13" s="2" customFormat="1">
      <c r="B39" s="34"/>
      <c r="C39" s="146" t="s">
        <v>46</v>
      </c>
      <c r="D39" s="112"/>
      <c r="E39" s="112"/>
      <c r="F39" s="145"/>
      <c r="G39" s="112"/>
      <c r="H39" s="112"/>
      <c r="I39" s="112"/>
      <c r="J39" s="144">
        <f>E23</f>
        <v>4200</v>
      </c>
      <c r="K39" s="144">
        <f t="shared" si="6"/>
        <v>4200</v>
      </c>
      <c r="L39" s="144">
        <f t="shared" si="7"/>
        <v>4200</v>
      </c>
      <c r="M39" s="144"/>
    </row>
    <row r="40" spans="2:13" s="2" customFormat="1">
      <c r="B40" s="34"/>
      <c r="C40" s="2" t="s">
        <v>194</v>
      </c>
      <c r="D40" s="60"/>
      <c r="E40" s="60"/>
      <c r="F40" s="69"/>
      <c r="G40" s="60"/>
      <c r="H40" s="68">
        <f>E24+E25+E26</f>
        <v>5204</v>
      </c>
      <c r="I40" s="68">
        <f>H40</f>
        <v>5204</v>
      </c>
      <c r="J40" s="68">
        <f>I40</f>
        <v>5204</v>
      </c>
      <c r="K40" s="68">
        <f t="shared" si="6"/>
        <v>5204</v>
      </c>
      <c r="L40" s="68">
        <f t="shared" si="7"/>
        <v>5204</v>
      </c>
      <c r="M40" s="68"/>
    </row>
    <row r="41" spans="2:13" s="2" customFormat="1">
      <c r="B41" s="34"/>
      <c r="C41" s="31" t="s">
        <v>218</v>
      </c>
      <c r="D41" s="61"/>
      <c r="E41" s="61"/>
      <c r="F41" s="117"/>
      <c r="G41" s="61"/>
      <c r="H41" s="61"/>
      <c r="I41" s="118">
        <f>E28</f>
        <v>3364</v>
      </c>
      <c r="J41" s="118">
        <f>E28+E29</f>
        <v>6728</v>
      </c>
      <c r="K41" s="118">
        <f t="shared" si="6"/>
        <v>6728</v>
      </c>
      <c r="L41" s="118">
        <f t="shared" si="7"/>
        <v>6728</v>
      </c>
      <c r="M41" s="118"/>
    </row>
    <row r="42" spans="2:13" s="2" customFormat="1">
      <c r="B42" s="34"/>
      <c r="C42" s="31" t="s">
        <v>184</v>
      </c>
      <c r="D42" s="61"/>
      <c r="E42" s="61"/>
      <c r="F42" s="117"/>
      <c r="G42" s="61"/>
      <c r="H42" s="61"/>
      <c r="I42" s="144">
        <f>E30</f>
        <v>1976</v>
      </c>
      <c r="J42" s="144">
        <f>I42</f>
        <v>1976</v>
      </c>
      <c r="K42" s="144">
        <f>J42+E31</f>
        <v>5246</v>
      </c>
      <c r="L42" s="144">
        <f t="shared" si="7"/>
        <v>5246</v>
      </c>
      <c r="M42" s="68"/>
    </row>
    <row r="43" spans="2:13" s="2" customFormat="1">
      <c r="B43" s="1"/>
      <c r="C43" s="3" t="s">
        <v>737</v>
      </c>
      <c r="D43" s="5"/>
      <c r="E43" s="5"/>
      <c r="F43" s="9"/>
      <c r="G43" s="5"/>
      <c r="H43" s="5"/>
      <c r="I43" s="68">
        <f>E32</f>
        <v>832</v>
      </c>
      <c r="J43" s="68">
        <f>I43</f>
        <v>832</v>
      </c>
      <c r="K43" s="68">
        <f t="shared" ref="K43" si="8">J43</f>
        <v>832</v>
      </c>
      <c r="L43" s="68">
        <f t="shared" si="7"/>
        <v>832</v>
      </c>
      <c r="M43" s="68"/>
    </row>
    <row r="44" spans="2:13" s="35" customFormat="1" ht="13.5" thickBot="1">
      <c r="B44" s="1"/>
      <c r="C44" s="32" t="s">
        <v>715</v>
      </c>
      <c r="D44" s="59"/>
      <c r="E44" s="59"/>
      <c r="F44" s="170"/>
      <c r="G44" s="59"/>
      <c r="H44" s="143">
        <f>SUM(H33:H43)</f>
        <v>29226</v>
      </c>
      <c r="I44" s="143">
        <f t="shared" ref="I44:L44" si="9">SUM(I33:I43)</f>
        <v>44890</v>
      </c>
      <c r="J44" s="143">
        <f t="shared" si="9"/>
        <v>57592</v>
      </c>
      <c r="K44" s="143">
        <f t="shared" si="9"/>
        <v>65036</v>
      </c>
      <c r="L44" s="143">
        <f t="shared" si="9"/>
        <v>72248</v>
      </c>
      <c r="M44" s="143">
        <f t="shared" ref="M44" si="10">SUM(M33:M42)</f>
        <v>0</v>
      </c>
    </row>
    <row r="45" spans="2:13">
      <c r="B45" s="34"/>
      <c r="C45" s="142" t="s">
        <v>714</v>
      </c>
      <c r="D45" s="171"/>
      <c r="E45" s="171"/>
      <c r="F45" s="172"/>
      <c r="G45" s="171"/>
      <c r="H45" s="171"/>
      <c r="I45" s="173">
        <f>I44/H44-1</f>
        <v>0.53596113050023941</v>
      </c>
      <c r="J45" s="173">
        <f>J44/I44-1</f>
        <v>0.28295834261528174</v>
      </c>
      <c r="K45" s="173">
        <f>K44/J44-1</f>
        <v>0.12925406306431442</v>
      </c>
      <c r="L45" s="173">
        <f>L44/K44-1</f>
        <v>0.1108924288086599</v>
      </c>
      <c r="M45" s="141">
        <f>M44/L44-1</f>
        <v>-1</v>
      </c>
    </row>
    <row r="47" spans="2:13">
      <c r="C47" t="s">
        <v>93</v>
      </c>
      <c r="H47" s="68">
        <f>H33+H34+H35+H36</f>
        <v>9830</v>
      </c>
      <c r="I47" s="68">
        <f>I33+I34+I35+I36</f>
        <v>15160</v>
      </c>
      <c r="J47" s="68">
        <f>J33+J34+J35+J36</f>
        <v>20298</v>
      </c>
      <c r="K47" s="68">
        <f>K33+K34+K35+K36</f>
        <v>24472</v>
      </c>
      <c r="L47" s="68">
        <f>L33+L34+L35+L36</f>
        <v>31684</v>
      </c>
    </row>
    <row r="48" spans="2:13">
      <c r="C48" t="s">
        <v>45</v>
      </c>
      <c r="H48" s="68">
        <f>H37+H38</f>
        <v>14192</v>
      </c>
      <c r="I48" s="68">
        <f>I37+I38</f>
        <v>18354</v>
      </c>
      <c r="J48" s="68">
        <f>J37+J38</f>
        <v>18354</v>
      </c>
      <c r="K48" s="68">
        <f>K37+K38</f>
        <v>18354</v>
      </c>
      <c r="L48" s="68">
        <f>L37+L38</f>
        <v>18354</v>
      </c>
    </row>
    <row r="49" spans="3:12">
      <c r="C49" t="s">
        <v>713</v>
      </c>
      <c r="H49" s="68"/>
      <c r="I49" s="68"/>
      <c r="J49" s="68">
        <f>J39</f>
        <v>4200</v>
      </c>
      <c r="K49" s="68">
        <f>K39</f>
        <v>4200</v>
      </c>
      <c r="L49" s="68">
        <f>L39</f>
        <v>4200</v>
      </c>
    </row>
    <row r="50" spans="3:12">
      <c r="C50" t="s">
        <v>253</v>
      </c>
      <c r="H50" s="68">
        <f>H40+H41</f>
        <v>5204</v>
      </c>
      <c r="I50" s="68">
        <f>I40+I41</f>
        <v>8568</v>
      </c>
      <c r="J50" s="68">
        <f>J40+J41</f>
        <v>11932</v>
      </c>
      <c r="K50" s="68">
        <f>K40+K41</f>
        <v>11932</v>
      </c>
      <c r="L50" s="68">
        <f>L40+L41</f>
        <v>11932</v>
      </c>
    </row>
    <row r="51" spans="3:12">
      <c r="C51" t="s">
        <v>184</v>
      </c>
      <c r="H51" s="68"/>
      <c r="I51" s="68">
        <f>I42</f>
        <v>1976</v>
      </c>
      <c r="J51" s="68">
        <f>J42</f>
        <v>1976</v>
      </c>
      <c r="K51" s="68">
        <f>K42</f>
        <v>5246</v>
      </c>
      <c r="L51" s="68">
        <f>L42</f>
        <v>5246</v>
      </c>
    </row>
    <row r="54" spans="3:12">
      <c r="C54" t="s">
        <v>734</v>
      </c>
      <c r="E54" s="18">
        <v>1</v>
      </c>
    </row>
    <row r="55" spans="3:12">
      <c r="C55" t="s">
        <v>735</v>
      </c>
      <c r="E55" s="18">
        <v>1</v>
      </c>
    </row>
  </sheetData>
  <mergeCells count="3">
    <mergeCell ref="B4:B16"/>
    <mergeCell ref="B17:B22"/>
    <mergeCell ref="B24:B29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2:M49"/>
  <sheetViews>
    <sheetView zoomScale="90" zoomScaleNormal="90" workbookViewId="0">
      <selection activeCell="Q34" sqref="Q34"/>
    </sheetView>
  </sheetViews>
  <sheetFormatPr defaultRowHeight="12.75"/>
  <cols>
    <col min="1" max="1" width="2.7109375" style="70" customWidth="1"/>
    <col min="2" max="2" width="3.28515625" style="70" bestFit="1" customWidth="1"/>
    <col min="3" max="3" width="8.7109375" style="71" customWidth="1"/>
    <col min="4" max="5" width="8.7109375" style="72" customWidth="1"/>
    <col min="6" max="6" width="12.7109375" style="72" customWidth="1"/>
    <col min="7" max="7" width="26.85546875" style="71" bestFit="1" customWidth="1"/>
    <col min="8" max="8" width="22.42578125" style="71" bestFit="1" customWidth="1"/>
    <col min="9" max="9" width="25.85546875" style="71" bestFit="1" customWidth="1"/>
    <col min="10" max="11" width="9.140625" style="70"/>
    <col min="12" max="12" width="19.7109375" style="70" bestFit="1" customWidth="1"/>
    <col min="13" max="13" width="9.140625" style="72"/>
    <col min="14" max="16384" width="9.140625" style="70"/>
  </cols>
  <sheetData>
    <row r="2" spans="2:13" s="14" customFormat="1" ht="26.25" thickBot="1">
      <c r="B2" s="38"/>
      <c r="C2" s="39" t="s">
        <v>213</v>
      </c>
      <c r="D2" s="40" t="s">
        <v>206</v>
      </c>
      <c r="E2" s="40" t="s">
        <v>407</v>
      </c>
      <c r="F2" s="73" t="s">
        <v>478</v>
      </c>
      <c r="G2" s="39" t="s">
        <v>200</v>
      </c>
      <c r="H2" s="39" t="s">
        <v>201</v>
      </c>
      <c r="I2" s="39" t="s">
        <v>202</v>
      </c>
      <c r="M2" s="20"/>
    </row>
    <row r="3" spans="2:13" s="74" customFormat="1" ht="12.75" customHeight="1">
      <c r="B3" s="294" t="s">
        <v>71</v>
      </c>
      <c r="C3" s="75" t="s">
        <v>479</v>
      </c>
      <c r="D3" s="76">
        <v>1454</v>
      </c>
      <c r="E3" s="76">
        <v>6810</v>
      </c>
      <c r="F3" s="77">
        <f>D3/E3*1000</f>
        <v>213.50954478707783</v>
      </c>
      <c r="G3" s="75" t="s">
        <v>444</v>
      </c>
      <c r="H3" s="75" t="s">
        <v>102</v>
      </c>
      <c r="I3" s="75"/>
      <c r="M3" s="111"/>
    </row>
    <row r="4" spans="2:13" s="74" customFormat="1">
      <c r="B4" s="290"/>
      <c r="C4" s="78" t="s">
        <v>480</v>
      </c>
      <c r="D4" s="79">
        <v>1568</v>
      </c>
      <c r="E4" s="79">
        <v>7208</v>
      </c>
      <c r="F4" s="80">
        <f t="shared" ref="F4:F38" si="0">D4/E4*1000</f>
        <v>217.53607103218647</v>
      </c>
      <c r="G4" s="78" t="s">
        <v>78</v>
      </c>
      <c r="H4" s="78" t="s">
        <v>481</v>
      </c>
      <c r="I4" s="78" t="s">
        <v>113</v>
      </c>
      <c r="M4" s="111"/>
    </row>
    <row r="5" spans="2:13" s="74" customFormat="1" ht="51">
      <c r="B5" s="290"/>
      <c r="C5" s="81" t="s">
        <v>482</v>
      </c>
      <c r="D5" s="82">
        <v>4028</v>
      </c>
      <c r="E5" s="82">
        <v>21960</v>
      </c>
      <c r="F5" s="77">
        <f t="shared" si="0"/>
        <v>183.42440801457195</v>
      </c>
      <c r="G5" s="24" t="s">
        <v>483</v>
      </c>
      <c r="H5" s="81" t="s">
        <v>484</v>
      </c>
      <c r="I5" s="81"/>
      <c r="M5" s="111"/>
    </row>
    <row r="6" spans="2:13" s="74" customFormat="1" ht="38.25">
      <c r="B6" s="291"/>
      <c r="C6" s="83" t="s">
        <v>485</v>
      </c>
      <c r="D6" s="84">
        <v>3352</v>
      </c>
      <c r="E6" s="84">
        <v>17760</v>
      </c>
      <c r="F6" s="85">
        <f t="shared" si="0"/>
        <v>188.73873873873873</v>
      </c>
      <c r="G6" s="86" t="s">
        <v>486</v>
      </c>
      <c r="H6" s="83" t="s">
        <v>484</v>
      </c>
      <c r="I6" s="83"/>
      <c r="M6" s="111"/>
    </row>
    <row r="7" spans="2:13">
      <c r="B7" s="290" t="s">
        <v>45</v>
      </c>
      <c r="C7" s="81" t="s">
        <v>479</v>
      </c>
      <c r="D7" s="82">
        <v>515</v>
      </c>
      <c r="E7" s="82">
        <v>2534</v>
      </c>
      <c r="F7" s="77">
        <f t="shared" si="0"/>
        <v>203.2359905288082</v>
      </c>
      <c r="G7" s="11" t="s">
        <v>487</v>
      </c>
      <c r="H7" s="11"/>
      <c r="I7" s="11"/>
    </row>
    <row r="8" spans="2:13" ht="25.5">
      <c r="B8" s="290"/>
      <c r="C8" s="78" t="s">
        <v>480</v>
      </c>
      <c r="D8" s="79">
        <v>2790</v>
      </c>
      <c r="E8" s="79">
        <v>10931</v>
      </c>
      <c r="F8" s="80">
        <f t="shared" si="0"/>
        <v>255.237398225231</v>
      </c>
      <c r="G8" s="87" t="s">
        <v>488</v>
      </c>
      <c r="H8" s="88" t="s">
        <v>489</v>
      </c>
      <c r="I8" s="88"/>
    </row>
    <row r="9" spans="2:13" ht="25.5">
      <c r="B9" s="290"/>
      <c r="C9" s="81" t="s">
        <v>482</v>
      </c>
      <c r="D9" s="82">
        <v>1525</v>
      </c>
      <c r="E9" s="82">
        <v>6714</v>
      </c>
      <c r="F9" s="77">
        <f t="shared" si="0"/>
        <v>227.13732499255286</v>
      </c>
      <c r="G9" s="10" t="s">
        <v>490</v>
      </c>
      <c r="H9" s="11"/>
      <c r="I9" s="11"/>
    </row>
    <row r="10" spans="2:13">
      <c r="B10" s="291"/>
      <c r="C10" s="83" t="s">
        <v>485</v>
      </c>
      <c r="D10" s="84">
        <v>1835</v>
      </c>
      <c r="E10" s="84">
        <v>7080</v>
      </c>
      <c r="F10" s="85">
        <f t="shared" si="0"/>
        <v>259.18079096045199</v>
      </c>
      <c r="G10" s="89" t="s">
        <v>491</v>
      </c>
      <c r="H10" s="89" t="s">
        <v>492</v>
      </c>
      <c r="I10" s="89"/>
    </row>
    <row r="11" spans="2:13">
      <c r="B11" s="290" t="s">
        <v>63</v>
      </c>
      <c r="C11" s="81" t="s">
        <v>479</v>
      </c>
      <c r="D11" s="82">
        <v>845</v>
      </c>
      <c r="E11" s="82">
        <v>3900</v>
      </c>
      <c r="F11" s="77">
        <f t="shared" si="0"/>
        <v>216.66666666666669</v>
      </c>
      <c r="G11" s="11" t="s">
        <v>187</v>
      </c>
      <c r="H11" s="11"/>
      <c r="I11" s="11"/>
    </row>
    <row r="12" spans="2:13">
      <c r="B12" s="290"/>
      <c r="C12" s="78" t="s">
        <v>480</v>
      </c>
      <c r="D12" s="79">
        <v>1087</v>
      </c>
      <c r="E12" s="79">
        <v>4200</v>
      </c>
      <c r="F12" s="80">
        <f t="shared" si="0"/>
        <v>258.8095238095238</v>
      </c>
      <c r="G12" s="88" t="s">
        <v>493</v>
      </c>
      <c r="H12" s="88"/>
      <c r="I12" s="88"/>
    </row>
    <row r="13" spans="2:13">
      <c r="B13" s="290"/>
      <c r="C13" s="81" t="s">
        <v>482</v>
      </c>
      <c r="D13" s="82">
        <v>1087</v>
      </c>
      <c r="E13" s="82">
        <v>4200</v>
      </c>
      <c r="F13" s="77">
        <f t="shared" si="0"/>
        <v>258.8095238095238</v>
      </c>
      <c r="G13" s="11" t="s">
        <v>493</v>
      </c>
      <c r="H13" s="11"/>
      <c r="I13" s="11"/>
    </row>
    <row r="14" spans="2:13">
      <c r="B14" s="291"/>
      <c r="C14" s="83" t="s">
        <v>485</v>
      </c>
      <c r="D14" s="84">
        <v>479</v>
      </c>
      <c r="E14" s="84">
        <v>738</v>
      </c>
      <c r="F14" s="85">
        <f t="shared" si="0"/>
        <v>649.05149051490514</v>
      </c>
      <c r="G14" s="89"/>
      <c r="H14" s="89"/>
      <c r="I14" s="89" t="s">
        <v>494</v>
      </c>
    </row>
    <row r="15" spans="2:13">
      <c r="B15" s="290" t="s">
        <v>293</v>
      </c>
      <c r="C15" s="81" t="s">
        <v>479</v>
      </c>
      <c r="D15" s="82">
        <v>960</v>
      </c>
      <c r="E15" s="82">
        <v>3364</v>
      </c>
      <c r="F15" s="77">
        <f t="shared" si="0"/>
        <v>285.3745541022592</v>
      </c>
      <c r="G15" s="11"/>
      <c r="H15" s="11" t="s">
        <v>446</v>
      </c>
      <c r="I15" s="11"/>
    </row>
    <row r="16" spans="2:13">
      <c r="B16" s="290"/>
      <c r="C16" s="78" t="s">
        <v>480</v>
      </c>
      <c r="D16" s="79">
        <v>200</v>
      </c>
      <c r="E16" s="79">
        <v>200</v>
      </c>
      <c r="F16" s="80">
        <f t="shared" si="0"/>
        <v>1000</v>
      </c>
      <c r="G16" s="87"/>
      <c r="H16" s="88"/>
      <c r="I16" s="88" t="s">
        <v>448</v>
      </c>
    </row>
    <row r="17" spans="1:9">
      <c r="B17" s="290"/>
      <c r="C17" s="81" t="s">
        <v>482</v>
      </c>
      <c r="D17" s="82">
        <v>570</v>
      </c>
      <c r="E17" s="82">
        <v>1000</v>
      </c>
      <c r="F17" s="77">
        <f t="shared" si="0"/>
        <v>570</v>
      </c>
      <c r="G17" s="11"/>
      <c r="H17" s="11"/>
      <c r="I17" s="11" t="s">
        <v>452</v>
      </c>
    </row>
    <row r="18" spans="1:9">
      <c r="B18" s="291"/>
      <c r="C18" s="83" t="s">
        <v>485</v>
      </c>
      <c r="D18" s="84">
        <v>1570</v>
      </c>
      <c r="E18" s="84">
        <v>6000</v>
      </c>
      <c r="F18" s="85">
        <f t="shared" si="0"/>
        <v>261.66666666666669</v>
      </c>
      <c r="G18" s="89" t="s">
        <v>495</v>
      </c>
      <c r="H18" s="89"/>
      <c r="I18" s="89" t="s">
        <v>452</v>
      </c>
    </row>
    <row r="19" spans="1:9" ht="25.5">
      <c r="B19" s="290" t="s">
        <v>184</v>
      </c>
      <c r="C19" s="81" t="s">
        <v>479</v>
      </c>
      <c r="D19" s="82">
        <v>1986</v>
      </c>
      <c r="E19" s="82">
        <v>8640</v>
      </c>
      <c r="F19" s="77">
        <f t="shared" si="0"/>
        <v>229.86111111111109</v>
      </c>
      <c r="G19" s="10" t="s">
        <v>496</v>
      </c>
      <c r="H19" s="11"/>
      <c r="I19" s="11"/>
    </row>
    <row r="20" spans="1:9">
      <c r="B20" s="290"/>
      <c r="C20" s="78" t="s">
        <v>480</v>
      </c>
      <c r="D20" s="79">
        <v>954</v>
      </c>
      <c r="E20" s="79">
        <v>4140</v>
      </c>
      <c r="F20" s="80">
        <f t="shared" si="0"/>
        <v>230.43478260869566</v>
      </c>
      <c r="G20" s="88" t="s">
        <v>162</v>
      </c>
      <c r="H20" s="88"/>
      <c r="I20" s="88"/>
    </row>
    <row r="21" spans="1:9" ht="25.5">
      <c r="B21" s="290"/>
      <c r="C21" s="81" t="s">
        <v>482</v>
      </c>
      <c r="D21" s="82">
        <v>1882</v>
      </c>
      <c r="E21" s="82">
        <v>9388</v>
      </c>
      <c r="F21" s="77">
        <f t="shared" si="0"/>
        <v>200.46868342564977</v>
      </c>
      <c r="G21" s="10" t="s">
        <v>497</v>
      </c>
      <c r="H21" s="11"/>
      <c r="I21" s="11"/>
    </row>
    <row r="22" spans="1:9" ht="13.5" thickBot="1">
      <c r="B22" s="291"/>
      <c r="C22" s="83" t="s">
        <v>485</v>
      </c>
      <c r="D22" s="84">
        <v>850</v>
      </c>
      <c r="E22" s="84">
        <v>4888</v>
      </c>
      <c r="F22" s="85">
        <f t="shared" si="0"/>
        <v>173.89525368248772</v>
      </c>
      <c r="G22" s="89" t="s">
        <v>453</v>
      </c>
      <c r="H22" s="89"/>
      <c r="I22" s="89"/>
    </row>
    <row r="23" spans="1:9" ht="25.5">
      <c r="A23" s="90"/>
      <c r="B23" s="290" t="s">
        <v>317</v>
      </c>
      <c r="C23" s="81" t="s">
        <v>479</v>
      </c>
      <c r="D23" s="82">
        <v>616</v>
      </c>
      <c r="E23" s="82">
        <v>1860</v>
      </c>
      <c r="F23" s="77">
        <f t="shared" si="0"/>
        <v>331.18279569892474</v>
      </c>
      <c r="G23" s="11"/>
      <c r="H23" s="10" t="s">
        <v>498</v>
      </c>
      <c r="I23" s="11"/>
    </row>
    <row r="24" spans="1:9">
      <c r="B24" s="290"/>
      <c r="C24" s="78" t="s">
        <v>480</v>
      </c>
      <c r="D24" s="79">
        <v>308</v>
      </c>
      <c r="E24" s="79">
        <v>930</v>
      </c>
      <c r="F24" s="80">
        <f t="shared" si="0"/>
        <v>331.18279569892474</v>
      </c>
      <c r="G24" s="88"/>
      <c r="H24" s="88" t="s">
        <v>449</v>
      </c>
      <c r="I24" s="88"/>
    </row>
    <row r="25" spans="1:9">
      <c r="B25" s="290"/>
      <c r="C25" s="81" t="s">
        <v>482</v>
      </c>
      <c r="D25" s="82"/>
      <c r="E25" s="82"/>
      <c r="F25" s="77"/>
      <c r="G25" s="11"/>
      <c r="H25" s="11"/>
      <c r="I25" s="11"/>
    </row>
    <row r="26" spans="1:9">
      <c r="A26" s="91"/>
      <c r="B26" s="291"/>
      <c r="C26" s="83" t="s">
        <v>485</v>
      </c>
      <c r="D26" s="84">
        <v>308</v>
      </c>
      <c r="E26" s="84">
        <v>930</v>
      </c>
      <c r="F26" s="85">
        <f t="shared" si="0"/>
        <v>331.18279569892474</v>
      </c>
      <c r="G26" s="89"/>
      <c r="H26" s="89" t="s">
        <v>499</v>
      </c>
      <c r="I26" s="89"/>
    </row>
    <row r="27" spans="1:9">
      <c r="B27" s="290" t="s">
        <v>500</v>
      </c>
      <c r="C27" s="81" t="s">
        <v>479</v>
      </c>
      <c r="D27" s="82"/>
      <c r="E27" s="82"/>
      <c r="F27" s="77"/>
      <c r="G27" s="11"/>
      <c r="H27" s="11"/>
      <c r="I27" s="11"/>
    </row>
    <row r="28" spans="1:9">
      <c r="B28" s="290"/>
      <c r="C28" s="78" t="s">
        <v>480</v>
      </c>
      <c r="D28" s="79"/>
      <c r="E28" s="79"/>
      <c r="F28" s="80"/>
      <c r="G28" s="88"/>
      <c r="H28" s="88"/>
      <c r="I28" s="88"/>
    </row>
    <row r="29" spans="1:9">
      <c r="B29" s="290"/>
      <c r="C29" s="81" t="s">
        <v>482</v>
      </c>
      <c r="D29" s="82">
        <v>600</v>
      </c>
      <c r="E29" s="82">
        <v>2800</v>
      </c>
      <c r="F29" s="77">
        <f t="shared" si="0"/>
        <v>214.28571428571428</v>
      </c>
      <c r="G29" s="11" t="s">
        <v>501</v>
      </c>
      <c r="H29" s="11"/>
      <c r="I29" s="11"/>
    </row>
    <row r="30" spans="1:9">
      <c r="A30" s="91"/>
      <c r="B30" s="291"/>
      <c r="C30" s="83" t="s">
        <v>485</v>
      </c>
      <c r="D30" s="84">
        <v>600</v>
      </c>
      <c r="E30" s="84">
        <v>2800</v>
      </c>
      <c r="F30" s="85">
        <f t="shared" si="0"/>
        <v>214.28571428571428</v>
      </c>
      <c r="G30" s="89" t="s">
        <v>502</v>
      </c>
      <c r="H30" s="89"/>
      <c r="I30" s="89"/>
    </row>
    <row r="31" spans="1:9" ht="12.75" customHeight="1">
      <c r="B31" s="290" t="s">
        <v>361</v>
      </c>
      <c r="C31" s="81" t="s">
        <v>479</v>
      </c>
      <c r="D31" s="8">
        <v>110</v>
      </c>
      <c r="E31" s="82">
        <v>300</v>
      </c>
      <c r="F31" s="77">
        <f t="shared" si="0"/>
        <v>366.66666666666663</v>
      </c>
      <c r="G31" s="11"/>
      <c r="H31" s="10"/>
      <c r="I31" s="10" t="s">
        <v>503</v>
      </c>
    </row>
    <row r="32" spans="1:9">
      <c r="B32" s="290"/>
      <c r="C32" s="78" t="s">
        <v>479</v>
      </c>
      <c r="D32" s="92">
        <v>280</v>
      </c>
      <c r="E32" s="79">
        <v>596</v>
      </c>
      <c r="F32" s="80">
        <f t="shared" si="0"/>
        <v>469.79865771812081</v>
      </c>
      <c r="G32" s="88"/>
      <c r="H32" s="87"/>
      <c r="I32" s="87" t="s">
        <v>504</v>
      </c>
    </row>
    <row r="33" spans="2:9">
      <c r="B33" s="290"/>
      <c r="C33" s="81" t="s">
        <v>480</v>
      </c>
      <c r="D33" s="8">
        <v>142</v>
      </c>
      <c r="E33" s="82">
        <v>228</v>
      </c>
      <c r="F33" s="77">
        <f t="shared" si="0"/>
        <v>622.80701754385973</v>
      </c>
      <c r="G33" s="11"/>
      <c r="H33" s="11"/>
      <c r="I33" s="11" t="s">
        <v>505</v>
      </c>
    </row>
    <row r="34" spans="2:9">
      <c r="B34" s="290"/>
      <c r="C34" s="83" t="s">
        <v>482</v>
      </c>
      <c r="D34" s="93">
        <v>330</v>
      </c>
      <c r="E34" s="84">
        <v>1080</v>
      </c>
      <c r="F34" s="85">
        <f t="shared" si="0"/>
        <v>305.5555555555556</v>
      </c>
      <c r="G34" s="89"/>
      <c r="H34" s="89" t="s">
        <v>506</v>
      </c>
      <c r="I34" s="89"/>
    </row>
    <row r="35" spans="2:9" ht="12.75" customHeight="1">
      <c r="B35" s="292" t="s">
        <v>295</v>
      </c>
      <c r="C35" s="94" t="s">
        <v>479</v>
      </c>
      <c r="D35" s="95">
        <f>D3+D7+D11+D15+D19+D23+D27+D31+D32</f>
        <v>6766</v>
      </c>
      <c r="E35" s="95">
        <f>E3+E7+E11+E15+E19+E23+E27+E31+E32</f>
        <v>28004</v>
      </c>
      <c r="F35" s="96">
        <f t="shared" si="0"/>
        <v>241.60834166547636</v>
      </c>
      <c r="G35" s="94" t="s">
        <v>507</v>
      </c>
      <c r="H35" s="97" t="s">
        <v>508</v>
      </c>
      <c r="I35" s="97" t="s">
        <v>509</v>
      </c>
    </row>
    <row r="36" spans="2:9">
      <c r="B36" s="290"/>
      <c r="C36" s="98" t="s">
        <v>480</v>
      </c>
      <c r="D36" s="99">
        <f>D4+D8+D12+D16+D20+D24+D28+D33</f>
        <v>7049</v>
      </c>
      <c r="E36" s="99">
        <f>E4+E8+E12+E16+E20+E24+E28+E33</f>
        <v>27837</v>
      </c>
      <c r="F36" s="100">
        <f t="shared" si="0"/>
        <v>253.22412616302043</v>
      </c>
      <c r="G36" s="98" t="s">
        <v>510</v>
      </c>
      <c r="H36" s="101" t="s">
        <v>511</v>
      </c>
      <c r="I36" s="101" t="s">
        <v>512</v>
      </c>
    </row>
    <row r="37" spans="2:9">
      <c r="B37" s="290"/>
      <c r="C37" s="15" t="s">
        <v>482</v>
      </c>
      <c r="D37" s="102">
        <f>D5+D9+D13+D17+D21+D25+D29+D34</f>
        <v>10022</v>
      </c>
      <c r="E37" s="102">
        <f>E5+E9+E13+E17+E21+E25+E29+E34</f>
        <v>47142</v>
      </c>
      <c r="F37" s="103">
        <f t="shared" si="0"/>
        <v>212.59174409231682</v>
      </c>
      <c r="G37" s="15" t="s">
        <v>513</v>
      </c>
      <c r="H37" s="15" t="s">
        <v>514</v>
      </c>
      <c r="I37" s="15" t="s">
        <v>515</v>
      </c>
    </row>
    <row r="38" spans="2:9" ht="13.5" thickBot="1">
      <c r="B38" s="293"/>
      <c r="C38" s="104" t="s">
        <v>485</v>
      </c>
      <c r="D38" s="105">
        <f>D6+D10+D14+D18+D22+D26+D30</f>
        <v>8994</v>
      </c>
      <c r="E38" s="105">
        <f>E6+E10+E14+E18+E22+E26+E30</f>
        <v>40196</v>
      </c>
      <c r="F38" s="106">
        <f t="shared" si="0"/>
        <v>223.75360732411184</v>
      </c>
      <c r="G38" s="104" t="s">
        <v>516</v>
      </c>
      <c r="H38" s="104" t="s">
        <v>517</v>
      </c>
      <c r="I38" s="104" t="s">
        <v>518</v>
      </c>
    </row>
    <row r="41" spans="2:9">
      <c r="C41" s="71" t="s">
        <v>213</v>
      </c>
      <c r="D41" s="72" t="s">
        <v>93</v>
      </c>
      <c r="E41" s="109" t="s">
        <v>45</v>
      </c>
      <c r="F41" s="72" t="s">
        <v>63</v>
      </c>
      <c r="G41" s="110" t="s">
        <v>293</v>
      </c>
      <c r="H41" s="110" t="s">
        <v>184</v>
      </c>
      <c r="I41" s="71" t="s">
        <v>361</v>
      </c>
    </row>
    <row r="42" spans="2:9">
      <c r="C42" s="71" t="s">
        <v>479</v>
      </c>
      <c r="D42" s="107">
        <f>E3</f>
        <v>6810</v>
      </c>
      <c r="E42" s="107">
        <f>E7</f>
        <v>2534</v>
      </c>
      <c r="F42" s="107">
        <f>E11</f>
        <v>3900</v>
      </c>
      <c r="G42" s="108">
        <f>E15</f>
        <v>3364</v>
      </c>
      <c r="H42" s="108">
        <f>E19</f>
        <v>8640</v>
      </c>
      <c r="I42" s="108">
        <f>E23+E27+E31+E32</f>
        <v>2756</v>
      </c>
    </row>
    <row r="43" spans="2:9">
      <c r="C43" s="71" t="s">
        <v>480</v>
      </c>
      <c r="D43" s="107">
        <f t="shared" ref="D43:D45" si="1">E4</f>
        <v>7208</v>
      </c>
      <c r="E43" s="107">
        <f t="shared" ref="E43:E45" si="2">E8</f>
        <v>10931</v>
      </c>
      <c r="F43" s="107">
        <f t="shared" ref="F43:F45" si="3">E12</f>
        <v>4200</v>
      </c>
      <c r="G43" s="108">
        <f t="shared" ref="G43:G45" si="4">E16</f>
        <v>200</v>
      </c>
      <c r="H43" s="108">
        <f t="shared" ref="H43:H45" si="5">E20</f>
        <v>4140</v>
      </c>
      <c r="I43" s="108">
        <f>E24+E28+E33</f>
        <v>1158</v>
      </c>
    </row>
    <row r="44" spans="2:9">
      <c r="C44" s="71" t="s">
        <v>482</v>
      </c>
      <c r="D44" s="107">
        <f t="shared" si="1"/>
        <v>21960</v>
      </c>
      <c r="E44" s="107">
        <f t="shared" si="2"/>
        <v>6714</v>
      </c>
      <c r="F44" s="107">
        <f t="shared" si="3"/>
        <v>4200</v>
      </c>
      <c r="G44" s="108">
        <f t="shared" si="4"/>
        <v>1000</v>
      </c>
      <c r="H44" s="108">
        <f t="shared" si="5"/>
        <v>9388</v>
      </c>
      <c r="I44" s="108">
        <f>E29+E34</f>
        <v>3880</v>
      </c>
    </row>
    <row r="45" spans="2:9">
      <c r="C45" s="71" t="s">
        <v>485</v>
      </c>
      <c r="D45" s="107">
        <f t="shared" si="1"/>
        <v>17760</v>
      </c>
      <c r="E45" s="107">
        <f t="shared" si="2"/>
        <v>7080</v>
      </c>
      <c r="F45" s="107">
        <f t="shared" si="3"/>
        <v>738</v>
      </c>
      <c r="G45" s="108">
        <f t="shared" si="4"/>
        <v>6000</v>
      </c>
      <c r="H45" s="108">
        <f t="shared" si="5"/>
        <v>4888</v>
      </c>
      <c r="I45" s="108">
        <f>E26+E30</f>
        <v>3730</v>
      </c>
    </row>
    <row r="47" spans="2:9">
      <c r="G47"/>
    </row>
    <row r="48" spans="2:9">
      <c r="G48"/>
    </row>
    <row r="49" spans="7:7">
      <c r="G49"/>
    </row>
  </sheetData>
  <sortState ref="F56:I88">
    <sortCondition descending="1" ref="I56:I88"/>
  </sortState>
  <mergeCells count="9">
    <mergeCell ref="B23:B26"/>
    <mergeCell ref="B27:B30"/>
    <mergeCell ref="B31:B34"/>
    <mergeCell ref="B35:B38"/>
    <mergeCell ref="B3:B6"/>
    <mergeCell ref="B7:B10"/>
    <mergeCell ref="B11:B14"/>
    <mergeCell ref="B15:B18"/>
    <mergeCell ref="B19:B2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G142"/>
  <sheetViews>
    <sheetView topLeftCell="A104" workbookViewId="0">
      <selection activeCell="G128" sqref="G128"/>
    </sheetView>
  </sheetViews>
  <sheetFormatPr defaultRowHeight="12.75"/>
  <cols>
    <col min="1" max="2" width="9.140625" style="18"/>
  </cols>
  <sheetData>
    <row r="1" spans="1:2">
      <c r="A1" s="18" t="s">
        <v>213</v>
      </c>
      <c r="B1" s="17" t="s">
        <v>214</v>
      </c>
    </row>
    <row r="2" spans="1:2">
      <c r="A2" s="18">
        <v>1900</v>
      </c>
      <c r="B2" s="42">
        <v>8.3802024746906554</v>
      </c>
    </row>
    <row r="3" spans="1:2">
      <c r="A3" s="18">
        <v>1901</v>
      </c>
      <c r="B3" s="42">
        <v>8.3802024746906554</v>
      </c>
    </row>
    <row r="4" spans="1:2">
      <c r="A4" s="18">
        <v>1902</v>
      </c>
      <c r="B4" s="42">
        <v>8.7154105736782821</v>
      </c>
    </row>
    <row r="5" spans="1:2">
      <c r="A5" s="18">
        <v>1903</v>
      </c>
      <c r="B5" s="42">
        <v>9.0506186726659088</v>
      </c>
    </row>
    <row r="6" spans="1:2">
      <c r="A6" s="18">
        <v>1904</v>
      </c>
      <c r="B6" s="42">
        <v>9.0506186726659088</v>
      </c>
    </row>
    <row r="7" spans="1:2">
      <c r="A7" s="18">
        <v>1905</v>
      </c>
      <c r="B7" s="42">
        <v>9.0506186726659088</v>
      </c>
    </row>
    <row r="8" spans="1:2">
      <c r="A8" s="18">
        <v>1906</v>
      </c>
      <c r="B8" s="42">
        <v>9.0506186726659088</v>
      </c>
    </row>
    <row r="9" spans="1:2">
      <c r="A9" s="18">
        <v>1907</v>
      </c>
      <c r="B9" s="42">
        <v>9.3858267716535355</v>
      </c>
    </row>
    <row r="10" spans="1:2">
      <c r="A10" s="18">
        <v>1908</v>
      </c>
      <c r="B10" s="42">
        <v>9.0506186726659106</v>
      </c>
    </row>
    <row r="11" spans="1:2">
      <c r="A11" s="18">
        <v>1909</v>
      </c>
      <c r="B11" s="42">
        <v>9.0506186726659106</v>
      </c>
    </row>
    <row r="12" spans="1:2">
      <c r="A12" s="18">
        <v>1910</v>
      </c>
      <c r="B12" s="42">
        <v>9.3858267716535373</v>
      </c>
    </row>
    <row r="13" spans="1:2">
      <c r="A13" s="18">
        <v>1911</v>
      </c>
      <c r="B13" s="42">
        <v>9.3858267716535373</v>
      </c>
    </row>
    <row r="14" spans="1:2">
      <c r="A14" s="18">
        <v>1912</v>
      </c>
      <c r="B14" s="42">
        <v>9.721034870641164</v>
      </c>
    </row>
    <row r="15" spans="1:2">
      <c r="A15" s="18">
        <v>1913</v>
      </c>
      <c r="B15" s="42">
        <v>9.9556805399325032</v>
      </c>
    </row>
    <row r="16" spans="1:2">
      <c r="A16" s="18">
        <v>1914</v>
      </c>
      <c r="B16" s="42">
        <v>10.089763779527555</v>
      </c>
    </row>
    <row r="17" spans="1:2">
      <c r="A17" s="18">
        <v>1915</v>
      </c>
      <c r="B17" s="42">
        <v>10.190326209223842</v>
      </c>
    </row>
    <row r="18" spans="1:2">
      <c r="A18" s="18">
        <v>1916</v>
      </c>
      <c r="B18" s="42">
        <v>10.961304836895383</v>
      </c>
    </row>
    <row r="19" spans="1:2">
      <c r="A19" s="18">
        <v>1917</v>
      </c>
      <c r="B19" s="42">
        <v>12.905511811023615</v>
      </c>
    </row>
    <row r="20" spans="1:2">
      <c r="A20" s="18">
        <v>1918</v>
      </c>
      <c r="B20" s="42">
        <v>15.151406074240713</v>
      </c>
    </row>
    <row r="21" spans="1:2">
      <c r="A21" s="18">
        <v>1919</v>
      </c>
      <c r="B21" s="42">
        <v>17.464341957255336</v>
      </c>
    </row>
    <row r="22" spans="1:2">
      <c r="A22" s="18">
        <v>1920</v>
      </c>
      <c r="B22" s="42">
        <v>20.17952755905511</v>
      </c>
    </row>
    <row r="23" spans="1:2">
      <c r="A23" s="18">
        <v>1921</v>
      </c>
      <c r="B23" s="42">
        <v>17.967154105736775</v>
      </c>
    </row>
    <row r="24" spans="1:2">
      <c r="A24" s="18">
        <v>1922</v>
      </c>
      <c r="B24" s="42">
        <v>16.860967379077607</v>
      </c>
    </row>
    <row r="25" spans="1:2">
      <c r="A25" s="18">
        <v>1923</v>
      </c>
      <c r="B25" s="42">
        <v>17.162654668166471</v>
      </c>
    </row>
    <row r="26" spans="1:2">
      <c r="A26" s="18">
        <v>1924</v>
      </c>
      <c r="B26" s="42">
        <v>17.263217097862757</v>
      </c>
    </row>
    <row r="27" spans="1:2">
      <c r="A27" s="18">
        <v>1925</v>
      </c>
      <c r="B27" s="42">
        <v>17.665466816647911</v>
      </c>
    </row>
    <row r="28" spans="1:2">
      <c r="A28" s="18">
        <v>1926</v>
      </c>
      <c r="B28" s="42">
        <v>17.833070866141725</v>
      </c>
    </row>
    <row r="29" spans="1:2">
      <c r="A29" s="18">
        <v>1927</v>
      </c>
      <c r="B29" s="42">
        <v>17.4978627671541</v>
      </c>
    </row>
    <row r="30" spans="1:2">
      <c r="A30" s="18">
        <v>1928</v>
      </c>
      <c r="B30" s="42">
        <v>17.296737907761525</v>
      </c>
    </row>
    <row r="31" spans="1:2">
      <c r="A31" s="18">
        <v>1929</v>
      </c>
      <c r="B31" s="42">
        <v>17.296737907761525</v>
      </c>
    </row>
    <row r="32" spans="1:2">
      <c r="A32" s="18">
        <v>1930</v>
      </c>
      <c r="B32" s="42">
        <v>16.82744656917885</v>
      </c>
    </row>
    <row r="33" spans="1:2">
      <c r="A33" s="18">
        <v>1931</v>
      </c>
      <c r="B33" s="42">
        <v>15.319010123734529</v>
      </c>
    </row>
    <row r="34" spans="1:2">
      <c r="A34" s="18">
        <v>1932</v>
      </c>
      <c r="B34" s="42">
        <v>13.743532058492683</v>
      </c>
    </row>
    <row r="35" spans="1:2">
      <c r="A35" s="18">
        <v>1933</v>
      </c>
      <c r="B35" s="42">
        <v>13.039595050618667</v>
      </c>
    </row>
    <row r="36" spans="1:2">
      <c r="A36" s="18">
        <v>1934</v>
      </c>
      <c r="B36" s="42">
        <v>13.475365579302583</v>
      </c>
    </row>
    <row r="37" spans="1:2">
      <c r="A37" s="18">
        <v>1935</v>
      </c>
      <c r="B37" s="42">
        <v>13.81057367829021</v>
      </c>
    </row>
    <row r="38" spans="1:2">
      <c r="A38" s="18">
        <v>1936</v>
      </c>
      <c r="B38" s="42">
        <v>13.978177727784024</v>
      </c>
    </row>
    <row r="39" spans="1:2">
      <c r="A39" s="18">
        <v>1937</v>
      </c>
      <c r="B39" s="42">
        <v>14.480989876265463</v>
      </c>
    </row>
    <row r="40" spans="1:2">
      <c r="A40" s="18">
        <v>1938</v>
      </c>
      <c r="B40" s="42">
        <v>14.179302587176597</v>
      </c>
    </row>
    <row r="41" spans="1:2">
      <c r="A41" s="18">
        <v>1939</v>
      </c>
      <c r="B41" s="42">
        <v>14.011698537682785</v>
      </c>
    </row>
    <row r="42" spans="1:2">
      <c r="A42" s="18">
        <v>1940</v>
      </c>
      <c r="B42" s="42">
        <v>14.112260967379074</v>
      </c>
    </row>
    <row r="43" spans="1:2">
      <c r="A43" s="18">
        <v>1941</v>
      </c>
      <c r="B43" s="42">
        <v>14.81619797525309</v>
      </c>
    </row>
    <row r="44" spans="1:2">
      <c r="A44" s="18">
        <v>1942</v>
      </c>
      <c r="B44" s="42">
        <v>16.458717660292457</v>
      </c>
    </row>
    <row r="45" spans="1:2">
      <c r="A45" s="18">
        <v>1943</v>
      </c>
      <c r="B45" s="42">
        <v>17.430821147356575</v>
      </c>
    </row>
    <row r="46" spans="1:2">
      <c r="A46" s="18">
        <v>1944</v>
      </c>
      <c r="B46" s="42">
        <v>17.732508436445439</v>
      </c>
    </row>
    <row r="47" spans="1:2">
      <c r="A47" s="18">
        <v>1945</v>
      </c>
      <c r="B47" s="42">
        <v>18.134758155230593</v>
      </c>
    </row>
    <row r="48" spans="1:2">
      <c r="A48" s="18">
        <v>1946</v>
      </c>
      <c r="B48" s="42">
        <v>19.643194600674914</v>
      </c>
    </row>
    <row r="49" spans="1:2">
      <c r="A49" s="18">
        <v>1947</v>
      </c>
      <c r="B49" s="42">
        <v>22.492463442069738</v>
      </c>
    </row>
    <row r="50" spans="1:2">
      <c r="A50" s="18">
        <v>1948</v>
      </c>
      <c r="B50" s="42">
        <v>24.202024746906634</v>
      </c>
    </row>
    <row r="51" spans="1:2">
      <c r="A51" s="18">
        <v>1949</v>
      </c>
      <c r="B51" s="42">
        <v>23.967379077615295</v>
      </c>
    </row>
    <row r="52" spans="1:2">
      <c r="A52" s="18">
        <v>1950</v>
      </c>
      <c r="B52" s="42">
        <v>24.235545556805395</v>
      </c>
    </row>
    <row r="53" spans="1:2">
      <c r="A53" s="18">
        <v>1951</v>
      </c>
      <c r="B53" s="42">
        <v>26.146231721034869</v>
      </c>
    </row>
    <row r="54" spans="1:2">
      <c r="A54" s="18">
        <v>1952</v>
      </c>
      <c r="B54" s="42">
        <v>26.749606299212594</v>
      </c>
    </row>
    <row r="55" spans="1:2">
      <c r="A55" s="18">
        <v>1953</v>
      </c>
      <c r="B55" s="42">
        <v>26.950731158605173</v>
      </c>
    </row>
    <row r="56" spans="1:2">
      <c r="A56" s="18">
        <v>1954</v>
      </c>
      <c r="B56" s="42">
        <v>27.051293588301462</v>
      </c>
    </row>
    <row r="57" spans="1:2">
      <c r="A57" s="18">
        <v>1955</v>
      </c>
      <c r="B57" s="42">
        <v>26.984251968503937</v>
      </c>
    </row>
    <row r="58" spans="1:2">
      <c r="A58" s="18">
        <v>1956</v>
      </c>
      <c r="B58" s="42">
        <v>27.386501687289091</v>
      </c>
    </row>
    <row r="59" spans="1:2">
      <c r="A59" s="18">
        <v>1957</v>
      </c>
      <c r="B59" s="42">
        <v>28.291563554555683</v>
      </c>
    </row>
    <row r="60" spans="1:2">
      <c r="A60" s="18">
        <v>1958</v>
      </c>
      <c r="B60" s="42">
        <v>29.062542182227222</v>
      </c>
    </row>
    <row r="61" spans="1:2">
      <c r="A61" s="18">
        <v>1959</v>
      </c>
      <c r="B61" s="42">
        <v>29.364229471316083</v>
      </c>
    </row>
    <row r="62" spans="1:2">
      <c r="A62" s="18">
        <v>1960</v>
      </c>
      <c r="B62" s="17">
        <v>29.8</v>
      </c>
    </row>
    <row r="63" spans="1:2">
      <c r="A63" s="18">
        <v>1961</v>
      </c>
      <c r="B63" s="17">
        <v>30</v>
      </c>
    </row>
    <row r="64" spans="1:2">
      <c r="A64" s="18">
        <v>1962</v>
      </c>
      <c r="B64" s="17">
        <v>30.4</v>
      </c>
    </row>
    <row r="65" spans="1:2">
      <c r="A65" s="18">
        <v>1963</v>
      </c>
      <c r="B65" s="17">
        <v>30.9</v>
      </c>
    </row>
    <row r="66" spans="1:2">
      <c r="A66" s="18">
        <v>1964</v>
      </c>
      <c r="B66" s="17">
        <v>31.2</v>
      </c>
    </row>
    <row r="67" spans="1:2">
      <c r="A67" s="18">
        <v>1965</v>
      </c>
      <c r="B67" s="17">
        <v>31.8</v>
      </c>
    </row>
    <row r="68" spans="1:2">
      <c r="A68" s="18">
        <v>1966</v>
      </c>
      <c r="B68" s="17">
        <v>32.9</v>
      </c>
    </row>
    <row r="69" spans="1:2">
      <c r="A69" s="18">
        <v>1967</v>
      </c>
      <c r="B69" s="17">
        <v>33.9</v>
      </c>
    </row>
    <row r="70" spans="1:2">
      <c r="A70" s="18">
        <v>1968</v>
      </c>
      <c r="B70" s="17">
        <v>35.5</v>
      </c>
    </row>
    <row r="71" spans="1:2">
      <c r="A71" s="18">
        <v>1969</v>
      </c>
      <c r="B71" s="17">
        <v>37.700000000000003</v>
      </c>
    </row>
    <row r="72" spans="1:2">
      <c r="A72" s="18">
        <v>1970</v>
      </c>
      <c r="B72" s="17">
        <v>39.799999999999997</v>
      </c>
    </row>
    <row r="73" spans="1:2">
      <c r="A73" s="18">
        <v>1971</v>
      </c>
      <c r="B73" s="17">
        <v>41.1</v>
      </c>
    </row>
    <row r="74" spans="1:2">
      <c r="A74" s="18">
        <v>1972</v>
      </c>
      <c r="B74" s="17">
        <v>42.5</v>
      </c>
    </row>
    <row r="75" spans="1:2">
      <c r="A75" s="18">
        <v>1973</v>
      </c>
      <c r="B75" s="17">
        <v>46.2</v>
      </c>
    </row>
    <row r="76" spans="1:2">
      <c r="A76" s="18">
        <v>1974</v>
      </c>
      <c r="B76" s="17">
        <v>51.9</v>
      </c>
    </row>
    <row r="77" spans="1:2">
      <c r="A77" s="18">
        <v>1975</v>
      </c>
      <c r="B77" s="17">
        <v>55.5</v>
      </c>
    </row>
    <row r="78" spans="1:2">
      <c r="A78" s="18">
        <v>1976</v>
      </c>
      <c r="B78" s="17">
        <v>58.2</v>
      </c>
    </row>
    <row r="79" spans="1:2">
      <c r="A79" s="18">
        <v>1977</v>
      </c>
      <c r="B79" s="17">
        <v>62.1</v>
      </c>
    </row>
    <row r="80" spans="1:2">
      <c r="A80" s="18">
        <v>1978</v>
      </c>
      <c r="B80" s="17">
        <v>67.7</v>
      </c>
    </row>
    <row r="81" spans="1:2">
      <c r="A81" s="18">
        <v>1979</v>
      </c>
      <c r="B81" s="17">
        <v>76.7</v>
      </c>
    </row>
    <row r="82" spans="1:2">
      <c r="A82" s="18">
        <v>1980</v>
      </c>
      <c r="B82" s="17">
        <v>86.3</v>
      </c>
    </row>
    <row r="83" spans="1:2">
      <c r="A83" s="18">
        <v>1981</v>
      </c>
      <c r="B83" s="17">
        <v>94</v>
      </c>
    </row>
    <row r="84" spans="1:2">
      <c r="A84" s="18">
        <v>1982</v>
      </c>
      <c r="B84" s="17">
        <v>97.6</v>
      </c>
    </row>
    <row r="85" spans="1:2">
      <c r="A85" s="18">
        <v>1983</v>
      </c>
      <c r="B85" s="17">
        <v>101.3</v>
      </c>
    </row>
    <row r="86" spans="1:2">
      <c r="A86" s="18">
        <v>1984</v>
      </c>
      <c r="B86" s="17">
        <v>105.3</v>
      </c>
    </row>
    <row r="87" spans="1:2">
      <c r="A87" s="18">
        <v>1985</v>
      </c>
      <c r="B87" s="17">
        <v>109.3</v>
      </c>
    </row>
    <row r="88" spans="1:2">
      <c r="A88" s="18">
        <v>1986</v>
      </c>
      <c r="B88" s="17">
        <v>110.5</v>
      </c>
    </row>
    <row r="89" spans="1:2">
      <c r="A89" s="18">
        <v>1987</v>
      </c>
      <c r="B89" s="17">
        <v>115.4</v>
      </c>
    </row>
    <row r="90" spans="1:2">
      <c r="A90" s="18">
        <v>1988</v>
      </c>
      <c r="B90" s="17">
        <v>120.5</v>
      </c>
    </row>
    <row r="91" spans="1:2">
      <c r="A91" s="18">
        <v>1989</v>
      </c>
      <c r="B91" s="17">
        <v>126.1</v>
      </c>
    </row>
    <row r="92" spans="1:2">
      <c r="A92" s="18">
        <v>1990</v>
      </c>
      <c r="B92" s="17">
        <v>133.80000000000001</v>
      </c>
    </row>
    <row r="93" spans="1:2">
      <c r="A93" s="18">
        <v>1991</v>
      </c>
      <c r="B93" s="17">
        <v>137.9</v>
      </c>
    </row>
    <row r="94" spans="1:2">
      <c r="A94" s="18">
        <v>1992</v>
      </c>
      <c r="B94" s="17">
        <v>141.9</v>
      </c>
    </row>
    <row r="95" spans="1:2">
      <c r="A95" s="18">
        <v>1993</v>
      </c>
      <c r="B95" s="17">
        <v>145.80000000000001</v>
      </c>
    </row>
    <row r="96" spans="1:2">
      <c r="A96" s="18">
        <v>1994</v>
      </c>
      <c r="B96" s="17">
        <v>149.69999999999999</v>
      </c>
    </row>
    <row r="97" spans="1:2">
      <c r="A97" s="18">
        <v>1995</v>
      </c>
      <c r="B97" s="17">
        <v>153.5</v>
      </c>
    </row>
    <row r="98" spans="1:2">
      <c r="A98" s="18">
        <v>1996</v>
      </c>
      <c r="B98" s="17">
        <v>158.6</v>
      </c>
    </row>
    <row r="99" spans="1:2">
      <c r="A99" s="18">
        <v>1997</v>
      </c>
      <c r="B99" s="17">
        <v>161.30000000000001</v>
      </c>
    </row>
    <row r="100" spans="1:2">
      <c r="A100" s="18">
        <v>1998</v>
      </c>
      <c r="B100" s="17">
        <v>163.9</v>
      </c>
    </row>
    <row r="101" spans="1:2">
      <c r="A101" s="18">
        <v>1999</v>
      </c>
      <c r="B101" s="17">
        <v>168.3</v>
      </c>
    </row>
    <row r="102" spans="1:2">
      <c r="A102" s="18">
        <v>2000</v>
      </c>
      <c r="B102" s="17">
        <v>174</v>
      </c>
    </row>
    <row r="103" spans="1:2">
      <c r="A103" s="18">
        <v>2001</v>
      </c>
      <c r="B103" s="17">
        <v>176.7</v>
      </c>
    </row>
    <row r="104" spans="1:2">
      <c r="A104" s="18">
        <v>2002</v>
      </c>
      <c r="B104" s="17">
        <v>180.9</v>
      </c>
    </row>
    <row r="105" spans="1:2">
      <c r="A105" s="18">
        <v>2003</v>
      </c>
      <c r="B105" s="17">
        <v>184.3</v>
      </c>
    </row>
    <row r="106" spans="1:2">
      <c r="A106" s="18">
        <v>2004</v>
      </c>
      <c r="B106" s="17">
        <v>190.3</v>
      </c>
    </row>
    <row r="107" spans="1:2">
      <c r="A107" s="18">
        <v>2005</v>
      </c>
      <c r="B107" s="17">
        <v>196.8</v>
      </c>
    </row>
    <row r="108" spans="1:2">
      <c r="A108" s="18">
        <v>2006</v>
      </c>
      <c r="B108" s="17">
        <v>201.8</v>
      </c>
    </row>
    <row r="109" spans="1:2">
      <c r="A109" s="18">
        <v>2007</v>
      </c>
      <c r="B109" s="17">
        <v>210</v>
      </c>
    </row>
    <row r="110" spans="1:2">
      <c r="A110" s="18">
        <v>2008</v>
      </c>
      <c r="B110" s="17">
        <v>210.22800000000001</v>
      </c>
    </row>
    <row r="111" spans="1:2">
      <c r="A111" s="18">
        <v>2009</v>
      </c>
      <c r="B111" s="17">
        <v>215.94900000000001</v>
      </c>
    </row>
    <row r="112" spans="1:2">
      <c r="A112" s="18">
        <v>2010</v>
      </c>
      <c r="B112" s="17">
        <v>219.179</v>
      </c>
    </row>
    <row r="113" spans="1:7">
      <c r="A113" s="18">
        <v>2011</v>
      </c>
      <c r="B113" s="17">
        <v>225.672</v>
      </c>
    </row>
    <row r="114" spans="1:7">
      <c r="A114" s="18">
        <v>2012</v>
      </c>
      <c r="B114" s="17">
        <v>229.601</v>
      </c>
    </row>
    <row r="115" spans="1:7">
      <c r="A115" s="18">
        <v>2013</v>
      </c>
      <c r="B115" s="17">
        <v>233.04900000000001</v>
      </c>
    </row>
    <row r="116" spans="1:7">
      <c r="A116" s="18">
        <v>2014</v>
      </c>
      <c r="B116" s="17">
        <v>234.81200000000001</v>
      </c>
    </row>
    <row r="117" spans="1:7">
      <c r="A117" s="18">
        <v>2015</v>
      </c>
      <c r="B117" s="17">
        <v>236.99299999999999</v>
      </c>
    </row>
    <row r="118" spans="1:7">
      <c r="A118" s="18">
        <v>2016</v>
      </c>
      <c r="B118" s="17">
        <v>240.06</v>
      </c>
      <c r="C118" s="25"/>
    </row>
    <row r="119" spans="1:7">
      <c r="A119" s="18">
        <v>2017</v>
      </c>
      <c r="B119" s="17">
        <v>245.13900000000001</v>
      </c>
      <c r="C119" s="25"/>
    </row>
    <row r="120" spans="1:7">
      <c r="A120" s="18">
        <v>2018</v>
      </c>
      <c r="B120" s="17">
        <f>B119*(1+C120)</f>
        <v>250.04178000000002</v>
      </c>
      <c r="C120" s="25">
        <v>0.02</v>
      </c>
    </row>
    <row r="121" spans="1:7">
      <c r="A121" s="18">
        <v>2019</v>
      </c>
      <c r="B121" s="17">
        <f>B120*(1+C121)</f>
        <v>255.04261560000003</v>
      </c>
      <c r="C121" s="25">
        <v>0.02</v>
      </c>
    </row>
    <row r="122" spans="1:7">
      <c r="A122" s="18">
        <v>2020</v>
      </c>
      <c r="B122" s="17">
        <f t="shared" ref="B122:B142" si="0">B121*(1+C122)</f>
        <v>260.14346791200006</v>
      </c>
      <c r="C122" s="25">
        <v>0.02</v>
      </c>
    </row>
    <row r="123" spans="1:7">
      <c r="A123" s="18">
        <v>2021</v>
      </c>
      <c r="B123" s="17">
        <f t="shared" si="0"/>
        <v>265.34633727024004</v>
      </c>
      <c r="C123" s="25">
        <v>0.02</v>
      </c>
    </row>
    <row r="124" spans="1:7">
      <c r="A124" s="18">
        <v>2022</v>
      </c>
      <c r="B124" s="17">
        <f t="shared" si="0"/>
        <v>270.65326401564482</v>
      </c>
      <c r="C124" s="25">
        <v>0.02</v>
      </c>
    </row>
    <row r="125" spans="1:7">
      <c r="A125" s="18">
        <v>2023</v>
      </c>
      <c r="B125" s="17">
        <f t="shared" si="0"/>
        <v>276.0663292959577</v>
      </c>
      <c r="C125" s="25">
        <v>0.02</v>
      </c>
    </row>
    <row r="126" spans="1:7">
      <c r="A126" s="18">
        <v>2024</v>
      </c>
      <c r="B126" s="17">
        <f t="shared" si="0"/>
        <v>281.58765588187686</v>
      </c>
      <c r="C126" s="25">
        <v>0.02</v>
      </c>
    </row>
    <row r="127" spans="1:7">
      <c r="A127" s="18">
        <v>2025</v>
      </c>
      <c r="B127" s="17">
        <f t="shared" si="0"/>
        <v>287.21940899951437</v>
      </c>
      <c r="C127" s="25">
        <v>0.02</v>
      </c>
      <c r="G127">
        <f>70*B111/B119</f>
        <v>61.664728990491106</v>
      </c>
    </row>
    <row r="128" spans="1:7">
      <c r="A128" s="18">
        <v>2026</v>
      </c>
      <c r="B128" s="17">
        <f t="shared" si="0"/>
        <v>292.96379717950464</v>
      </c>
      <c r="C128" s="25">
        <v>0.02</v>
      </c>
    </row>
    <row r="129" spans="1:3">
      <c r="A129" s="18">
        <v>2027</v>
      </c>
      <c r="B129" s="17">
        <f t="shared" si="0"/>
        <v>298.82307312309473</v>
      </c>
      <c r="C129" s="25">
        <v>0.02</v>
      </c>
    </row>
    <row r="130" spans="1:3">
      <c r="A130" s="18">
        <v>2028</v>
      </c>
      <c r="B130" s="17">
        <f t="shared" si="0"/>
        <v>304.79953458555661</v>
      </c>
      <c r="C130" s="25">
        <v>0.02</v>
      </c>
    </row>
    <row r="131" spans="1:3">
      <c r="A131" s="18">
        <v>2029</v>
      </c>
      <c r="B131" s="17">
        <f t="shared" si="0"/>
        <v>310.89552527726778</v>
      </c>
      <c r="C131" s="25">
        <v>0.02</v>
      </c>
    </row>
    <row r="132" spans="1:3">
      <c r="A132" s="18">
        <v>2030</v>
      </c>
      <c r="B132" s="17">
        <f t="shared" si="0"/>
        <v>317.11343578281316</v>
      </c>
      <c r="C132" s="25">
        <v>0.02</v>
      </c>
    </row>
    <row r="133" spans="1:3">
      <c r="A133" s="18">
        <v>2031</v>
      </c>
      <c r="B133" s="17">
        <f t="shared" si="0"/>
        <v>323.4557044984694</v>
      </c>
      <c r="C133" s="25">
        <v>0.02</v>
      </c>
    </row>
    <row r="134" spans="1:3">
      <c r="A134" s="18">
        <v>2032</v>
      </c>
      <c r="B134" s="17">
        <f t="shared" si="0"/>
        <v>329.92481858843877</v>
      </c>
      <c r="C134" s="25">
        <v>0.02</v>
      </c>
    </row>
    <row r="135" spans="1:3">
      <c r="A135" s="18">
        <v>2033</v>
      </c>
      <c r="B135" s="17">
        <f t="shared" si="0"/>
        <v>336.52331496020753</v>
      </c>
      <c r="C135" s="25">
        <v>0.02</v>
      </c>
    </row>
    <row r="136" spans="1:3">
      <c r="A136" s="18">
        <v>2034</v>
      </c>
      <c r="B136" s="17">
        <f t="shared" si="0"/>
        <v>343.25378125941171</v>
      </c>
      <c r="C136" s="25">
        <v>0.02</v>
      </c>
    </row>
    <row r="137" spans="1:3">
      <c r="A137" s="18">
        <v>2035</v>
      </c>
      <c r="B137" s="17">
        <f t="shared" si="0"/>
        <v>350.11885688459995</v>
      </c>
      <c r="C137" s="25">
        <v>0.02</v>
      </c>
    </row>
    <row r="138" spans="1:3">
      <c r="A138" s="18">
        <v>2036</v>
      </c>
      <c r="B138" s="17">
        <f t="shared" si="0"/>
        <v>357.12123402229196</v>
      </c>
      <c r="C138" s="25">
        <v>0.02</v>
      </c>
    </row>
    <row r="139" spans="1:3">
      <c r="A139" s="18">
        <v>2037</v>
      </c>
      <c r="B139" s="17">
        <f t="shared" si="0"/>
        <v>364.26365870273781</v>
      </c>
      <c r="C139" s="25">
        <v>0.02</v>
      </c>
    </row>
    <row r="140" spans="1:3">
      <c r="A140" s="18">
        <v>2038</v>
      </c>
      <c r="B140" s="17">
        <f t="shared" si="0"/>
        <v>371.54893187679255</v>
      </c>
      <c r="C140" s="25">
        <v>0.02</v>
      </c>
    </row>
    <row r="141" spans="1:3">
      <c r="A141" s="18">
        <v>2039</v>
      </c>
      <c r="B141" s="17">
        <f t="shared" si="0"/>
        <v>378.97991051432842</v>
      </c>
      <c r="C141" s="25">
        <v>0.02</v>
      </c>
    </row>
    <row r="142" spans="1:3">
      <c r="A142" s="18">
        <v>2040</v>
      </c>
      <c r="B142" s="17">
        <f t="shared" si="0"/>
        <v>386.559508724615</v>
      </c>
      <c r="C142" s="25">
        <v>0.02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J418"/>
  <sheetViews>
    <sheetView tabSelected="1" zoomScale="85" zoomScaleNormal="85" workbookViewId="0">
      <pane xSplit="4" ySplit="2" topLeftCell="T3" activePane="bottomRight" state="frozen"/>
      <selection pane="topRight" activeCell="E1" sqref="E1"/>
      <selection pane="bottomLeft" activeCell="A3" sqref="A3"/>
      <selection pane="bottomRight" activeCell="AJ29" sqref="AJ29"/>
    </sheetView>
  </sheetViews>
  <sheetFormatPr defaultRowHeight="13.5" customHeight="1" outlineLevelCol="1"/>
  <cols>
    <col min="1" max="1" width="2.7109375" customWidth="1"/>
    <col min="2" max="3" width="5.7109375" customWidth="1"/>
    <col min="4" max="4" width="31" bestFit="1" customWidth="1"/>
    <col min="5" max="5" width="31" customWidth="1"/>
    <col min="6" max="6" width="11.7109375" bestFit="1" customWidth="1"/>
    <col min="7" max="7" width="14.7109375" customWidth="1"/>
    <col min="8" max="8" width="25.28515625" bestFit="1" customWidth="1"/>
    <col min="9" max="9" width="8.7109375" customWidth="1"/>
    <col min="10" max="10" width="10.7109375" customWidth="1" outlineLevel="1"/>
    <col min="11" max="11" width="9.140625" customWidth="1" outlineLevel="1"/>
    <col min="12" max="12" width="8.7109375" customWidth="1" outlineLevel="1"/>
    <col min="13" max="14" width="9.7109375" customWidth="1" outlineLevel="1"/>
    <col min="15" max="15" width="12" customWidth="1" outlineLevel="1"/>
    <col min="16" max="16" width="9.7109375" customWidth="1" outlineLevel="1"/>
    <col min="17" max="17" width="8.7109375" customWidth="1" outlineLevel="1"/>
    <col min="18" max="19" width="12.7109375" customWidth="1" outlineLevel="1"/>
    <col min="20" max="20" width="25.28515625" customWidth="1" outlineLevel="1"/>
    <col min="21" max="21" width="15.5703125" customWidth="1" outlineLevel="1"/>
    <col min="22" max="22" width="8.7109375" customWidth="1" outlineLevel="1"/>
    <col min="23" max="28" width="8.7109375" customWidth="1"/>
    <col min="31" max="31" width="12.7109375" customWidth="1"/>
    <col min="32" max="32" width="20.7109375" customWidth="1"/>
    <col min="33" max="33" width="15.7109375" customWidth="1"/>
    <col min="34" max="36" width="10.7109375" customWidth="1"/>
  </cols>
  <sheetData>
    <row r="1" spans="2:36" ht="13.5" customHeight="1">
      <c r="B1" s="69"/>
      <c r="C1" s="69"/>
      <c r="D1" s="127"/>
      <c r="E1" s="127"/>
      <c r="F1" s="231"/>
      <c r="G1" s="231"/>
      <c r="H1" s="231"/>
      <c r="I1" s="127"/>
      <c r="J1" s="127"/>
      <c r="K1" s="248">
        <v>2018</v>
      </c>
      <c r="L1" s="127"/>
      <c r="M1" s="264"/>
      <c r="N1" s="264"/>
      <c r="O1" s="264"/>
      <c r="P1" s="264"/>
      <c r="Q1" s="264"/>
      <c r="R1" s="264"/>
      <c r="S1" s="264"/>
      <c r="T1" s="127"/>
      <c r="U1" s="127"/>
      <c r="V1" s="127"/>
      <c r="W1" s="285" t="s">
        <v>1085</v>
      </c>
      <c r="X1" s="285"/>
      <c r="Y1" s="285"/>
      <c r="Z1" s="285"/>
      <c r="AA1" s="285"/>
      <c r="AB1" s="285"/>
      <c r="AC1" s="127"/>
      <c r="AE1" s="276"/>
      <c r="AF1" s="119"/>
      <c r="AG1" s="119"/>
      <c r="AH1" s="277"/>
      <c r="AI1" s="277"/>
      <c r="AJ1" s="277"/>
    </row>
    <row r="2" spans="2:36" ht="30" customHeight="1">
      <c r="B2" s="242"/>
      <c r="C2" s="242">
        <f>COUNT(B:B)</f>
        <v>415</v>
      </c>
      <c r="D2" s="241" t="s">
        <v>0</v>
      </c>
      <c r="E2" s="241" t="s">
        <v>1488</v>
      </c>
      <c r="F2" s="242" t="s">
        <v>437</v>
      </c>
      <c r="G2" s="242" t="s">
        <v>408</v>
      </c>
      <c r="H2" s="242" t="s">
        <v>1</v>
      </c>
      <c r="I2" s="259" t="s">
        <v>1040</v>
      </c>
      <c r="J2" s="259" t="s">
        <v>1041</v>
      </c>
      <c r="K2" s="247" t="s">
        <v>227</v>
      </c>
      <c r="L2" s="242" t="s">
        <v>837</v>
      </c>
      <c r="M2" s="243" t="s">
        <v>748</v>
      </c>
      <c r="N2" s="244" t="s">
        <v>749</v>
      </c>
      <c r="O2" s="244" t="s">
        <v>211</v>
      </c>
      <c r="P2" s="244" t="s">
        <v>407</v>
      </c>
      <c r="Q2" s="244" t="s">
        <v>206</v>
      </c>
      <c r="R2" s="244" t="s">
        <v>216</v>
      </c>
      <c r="S2" s="244" t="s">
        <v>907</v>
      </c>
      <c r="T2" s="242" t="s">
        <v>203</v>
      </c>
      <c r="U2" s="242" t="s">
        <v>217</v>
      </c>
      <c r="V2" s="242" t="s">
        <v>1062</v>
      </c>
      <c r="W2" s="245" t="s">
        <v>751</v>
      </c>
      <c r="X2" s="246" t="s">
        <v>839</v>
      </c>
      <c r="Y2" s="246" t="s">
        <v>838</v>
      </c>
      <c r="Z2" s="246" t="s">
        <v>752</v>
      </c>
      <c r="AA2" s="246" t="s">
        <v>189</v>
      </c>
      <c r="AB2" s="246" t="s">
        <v>190</v>
      </c>
      <c r="AC2" s="247" t="s">
        <v>750</v>
      </c>
      <c r="AE2" s="276" t="s">
        <v>1065</v>
      </c>
      <c r="AF2" s="119" t="s">
        <v>1066</v>
      </c>
      <c r="AG2" s="119" t="s">
        <v>1071</v>
      </c>
      <c r="AH2" s="277" t="s">
        <v>1067</v>
      </c>
      <c r="AI2" s="277" t="s">
        <v>1068</v>
      </c>
      <c r="AJ2" s="277" t="s">
        <v>1069</v>
      </c>
    </row>
    <row r="3" spans="2:36" ht="13.5" customHeight="1">
      <c r="B3" s="69">
        <v>1</v>
      </c>
      <c r="C3" s="69">
        <v>1</v>
      </c>
      <c r="D3" s="233" t="s">
        <v>74</v>
      </c>
      <c r="E3" s="233" t="s">
        <v>1091</v>
      </c>
      <c r="F3" s="232" t="s">
        <v>93</v>
      </c>
      <c r="G3" s="232" t="s">
        <v>200</v>
      </c>
      <c r="H3" s="232" t="s">
        <v>71</v>
      </c>
      <c r="I3" s="232">
        <v>1990</v>
      </c>
      <c r="J3" s="232"/>
      <c r="K3" s="134">
        <f>K$1-I3+1</f>
        <v>29</v>
      </c>
      <c r="L3" s="232">
        <v>2016</v>
      </c>
      <c r="M3" s="234">
        <v>70367</v>
      </c>
      <c r="N3" s="235">
        <v>855</v>
      </c>
      <c r="O3" s="235">
        <v>29</v>
      </c>
      <c r="P3" s="235">
        <v>2056</v>
      </c>
      <c r="Q3" s="235">
        <v>250</v>
      </c>
      <c r="R3" s="235">
        <f t="shared" ref="R3:R34" si="0">Q3/P3*1000</f>
        <v>121.59533073929961</v>
      </c>
      <c r="S3" s="235">
        <f>ROUND(R3*CPI!$B$120/VLOOKUP($I3,CPI!$A$1:$B$122,2,FALSE)/1000,2)*1000</f>
        <v>230</v>
      </c>
      <c r="T3" s="232" t="s">
        <v>224</v>
      </c>
      <c r="U3" s="232" t="s">
        <v>208</v>
      </c>
      <c r="V3" s="232"/>
      <c r="W3" s="256" t="e">
        <f t="shared" ref="W3:W27" si="1">SUM(((X3/SUM(X3:AB3))*5),((Y3/SUM(X3:AB3))*4),((Z3/SUM(X3:AB3))*3),((AA3/SUM(X3:AB3))*2),((AB3/SUM(X3:AB3)*1)))</f>
        <v>#DIV/0!</v>
      </c>
      <c r="X3" s="257"/>
      <c r="Y3" s="257"/>
      <c r="Z3" s="257"/>
      <c r="AA3" s="257"/>
      <c r="AB3" s="257"/>
      <c r="AC3" s="232">
        <f>I3</f>
        <v>1990</v>
      </c>
      <c r="AE3" s="276"/>
      <c r="AF3" s="119"/>
      <c r="AG3" s="119"/>
      <c r="AH3" s="277"/>
      <c r="AI3" s="277"/>
      <c r="AJ3" s="277"/>
    </row>
    <row r="4" spans="2:36" ht="13.5" customHeight="1">
      <c r="B4" s="69">
        <v>1</v>
      </c>
      <c r="C4" s="69">
        <v>2</v>
      </c>
      <c r="D4" s="233" t="s">
        <v>72</v>
      </c>
      <c r="E4" s="233" t="s">
        <v>1092</v>
      </c>
      <c r="F4" s="232" t="s">
        <v>93</v>
      </c>
      <c r="G4" s="232" t="s">
        <v>200</v>
      </c>
      <c r="H4" s="232" t="s">
        <v>71</v>
      </c>
      <c r="I4" s="232">
        <v>1991</v>
      </c>
      <c r="J4" s="232"/>
      <c r="K4" s="134">
        <f>K$1-I4+1</f>
        <v>28</v>
      </c>
      <c r="L4" s="232">
        <v>2017</v>
      </c>
      <c r="M4" s="234">
        <v>70526</v>
      </c>
      <c r="N4" s="235">
        <v>855</v>
      </c>
      <c r="O4" s="235">
        <v>29</v>
      </c>
      <c r="P4" s="235">
        <v>2056</v>
      </c>
      <c r="Q4" s="235">
        <v>320</v>
      </c>
      <c r="R4" s="235">
        <f t="shared" si="0"/>
        <v>155.64202334630352</v>
      </c>
      <c r="S4" s="235">
        <f>ROUND(R4*CPI!$B$120/VLOOKUP($I4,CPI!$A$1:$B$122,2,FALSE)/1000,2)*1000</f>
        <v>280</v>
      </c>
      <c r="T4" s="232" t="s">
        <v>224</v>
      </c>
      <c r="U4" s="232" t="s">
        <v>208</v>
      </c>
      <c r="V4" s="232"/>
      <c r="W4" s="256" t="e">
        <f t="shared" si="1"/>
        <v>#DIV/0!</v>
      </c>
      <c r="X4" s="257"/>
      <c r="Y4" s="257"/>
      <c r="Z4" s="257"/>
      <c r="AA4" s="257"/>
      <c r="AB4" s="257"/>
      <c r="AC4" s="232">
        <f>I4</f>
        <v>1991</v>
      </c>
      <c r="AE4" s="276"/>
      <c r="AF4" s="119"/>
      <c r="AG4" s="119"/>
      <c r="AH4" s="277"/>
      <c r="AI4" s="277"/>
      <c r="AJ4" s="277"/>
    </row>
    <row r="5" spans="2:36" ht="13.5" customHeight="1">
      <c r="B5" s="69">
        <v>1</v>
      </c>
      <c r="C5" s="69">
        <v>3</v>
      </c>
      <c r="D5" s="233" t="s">
        <v>87</v>
      </c>
      <c r="E5" s="233" t="s">
        <v>1093</v>
      </c>
      <c r="F5" s="232" t="s">
        <v>93</v>
      </c>
      <c r="G5" s="232" t="s">
        <v>200</v>
      </c>
      <c r="H5" s="232" t="s">
        <v>71</v>
      </c>
      <c r="I5" s="232">
        <v>1993</v>
      </c>
      <c r="J5" s="232"/>
      <c r="K5" s="134">
        <f t="shared" ref="K5:K68" si="2">IF(ISNUMBER(AC5),$K$1-AC5+1,"")</f>
        <v>26</v>
      </c>
      <c r="L5" s="232">
        <v>2017</v>
      </c>
      <c r="M5" s="234">
        <v>70538</v>
      </c>
      <c r="N5" s="235">
        <v>855</v>
      </c>
      <c r="O5" s="235">
        <v>29</v>
      </c>
      <c r="P5" s="235">
        <v>2056</v>
      </c>
      <c r="Q5" s="235">
        <v>250</v>
      </c>
      <c r="R5" s="235">
        <f t="shared" si="0"/>
        <v>121.59533073929961</v>
      </c>
      <c r="S5" s="235">
        <f>ROUND(R5*CPI!$B$120/VLOOKUP($I5,CPI!$A$1:$B$122,2,FALSE)/1000,2)*1000</f>
        <v>210</v>
      </c>
      <c r="T5" s="232" t="s">
        <v>212</v>
      </c>
      <c r="U5" s="232" t="s">
        <v>208</v>
      </c>
      <c r="V5" s="232"/>
      <c r="W5" s="256" t="e">
        <f t="shared" si="1"/>
        <v>#DIV/0!</v>
      </c>
      <c r="X5" s="257"/>
      <c r="Y5" s="257"/>
      <c r="Z5" s="257"/>
      <c r="AA5" s="257"/>
      <c r="AB5" s="257"/>
      <c r="AC5" s="250">
        <f t="shared" ref="AC5:AC68" si="3">IF(I5&lt;=$K$1,I5,"")</f>
        <v>1993</v>
      </c>
      <c r="AE5" s="276"/>
      <c r="AF5" s="119"/>
      <c r="AG5" s="119"/>
      <c r="AH5" s="277"/>
      <c r="AI5" s="277"/>
      <c r="AJ5" s="277"/>
    </row>
    <row r="6" spans="2:36" ht="13.5" customHeight="1">
      <c r="B6" s="69">
        <v>1</v>
      </c>
      <c r="C6" s="69">
        <v>4</v>
      </c>
      <c r="D6" s="233" t="s">
        <v>75</v>
      </c>
      <c r="E6" s="233" t="s">
        <v>1094</v>
      </c>
      <c r="F6" s="232" t="s">
        <v>93</v>
      </c>
      <c r="G6" s="232" t="s">
        <v>200</v>
      </c>
      <c r="H6" s="232" t="s">
        <v>71</v>
      </c>
      <c r="I6" s="232">
        <v>1994</v>
      </c>
      <c r="J6" s="232"/>
      <c r="K6" s="134">
        <f t="shared" si="2"/>
        <v>25</v>
      </c>
      <c r="L6" s="232">
        <v>2015</v>
      </c>
      <c r="M6" s="234">
        <v>70538</v>
      </c>
      <c r="N6" s="235">
        <v>855</v>
      </c>
      <c r="O6" s="235">
        <v>29</v>
      </c>
      <c r="P6" s="235">
        <v>2056</v>
      </c>
      <c r="Q6" s="235">
        <v>250</v>
      </c>
      <c r="R6" s="235">
        <f t="shared" si="0"/>
        <v>121.59533073929961</v>
      </c>
      <c r="S6" s="235">
        <f>ROUND(R6*CPI!$B$120/VLOOKUP($I6,CPI!$A$1:$B$122,2,FALSE)/1000,2)*1000</f>
        <v>200</v>
      </c>
      <c r="T6" s="232" t="s">
        <v>224</v>
      </c>
      <c r="U6" s="232" t="s">
        <v>208</v>
      </c>
      <c r="V6" s="232"/>
      <c r="W6" s="256" t="e">
        <f t="shared" si="1"/>
        <v>#DIV/0!</v>
      </c>
      <c r="X6" s="257"/>
      <c r="Y6" s="257"/>
      <c r="Z6" s="257"/>
      <c r="AA6" s="257"/>
      <c r="AB6" s="257"/>
      <c r="AC6" s="250">
        <f t="shared" si="3"/>
        <v>1994</v>
      </c>
      <c r="AE6" s="276"/>
      <c r="AF6" s="119"/>
      <c r="AG6" s="119"/>
      <c r="AH6" s="277"/>
      <c r="AI6" s="277"/>
      <c r="AJ6" s="277"/>
    </row>
    <row r="7" spans="2:36" ht="13.5" customHeight="1">
      <c r="B7" s="69">
        <v>1</v>
      </c>
      <c r="C7" s="69">
        <v>5</v>
      </c>
      <c r="D7" s="233" t="s">
        <v>79</v>
      </c>
      <c r="E7" s="233" t="s">
        <v>1095</v>
      </c>
      <c r="F7" s="232" t="s">
        <v>93</v>
      </c>
      <c r="G7" s="232" t="s">
        <v>200</v>
      </c>
      <c r="H7" s="232" t="s">
        <v>71</v>
      </c>
      <c r="I7" s="232">
        <v>1995</v>
      </c>
      <c r="J7" s="232"/>
      <c r="K7" s="134">
        <f t="shared" si="2"/>
        <v>24</v>
      </c>
      <c r="L7" s="232">
        <v>2016</v>
      </c>
      <c r="M7" s="234">
        <v>70367</v>
      </c>
      <c r="N7" s="235">
        <v>855</v>
      </c>
      <c r="O7" s="235">
        <v>29</v>
      </c>
      <c r="P7" s="235">
        <v>2056</v>
      </c>
      <c r="Q7" s="235">
        <v>300</v>
      </c>
      <c r="R7" s="235">
        <f t="shared" si="0"/>
        <v>145.91439688715954</v>
      </c>
      <c r="S7" s="235">
        <f>ROUND(R7*CPI!$B$120/VLOOKUP($I7,CPI!$A$1:$B$122,2,FALSE)/1000,2)*1000</f>
        <v>240</v>
      </c>
      <c r="T7" s="232" t="s">
        <v>224</v>
      </c>
      <c r="U7" s="232" t="s">
        <v>208</v>
      </c>
      <c r="V7" s="232"/>
      <c r="W7" s="256" t="e">
        <f t="shared" si="1"/>
        <v>#DIV/0!</v>
      </c>
      <c r="X7" s="257"/>
      <c r="Y7" s="257"/>
      <c r="Z7" s="257"/>
      <c r="AA7" s="257"/>
      <c r="AB7" s="257"/>
      <c r="AC7" s="250">
        <f t="shared" si="3"/>
        <v>1995</v>
      </c>
      <c r="AE7" s="276"/>
      <c r="AF7" s="119"/>
      <c r="AG7" s="119"/>
      <c r="AH7" s="277"/>
      <c r="AI7" s="277"/>
      <c r="AJ7" s="277"/>
    </row>
    <row r="8" spans="2:36" ht="13.5" customHeight="1">
      <c r="B8" s="69">
        <v>1</v>
      </c>
      <c r="C8" s="69">
        <v>6</v>
      </c>
      <c r="D8" s="233" t="s">
        <v>80</v>
      </c>
      <c r="E8" s="233" t="s">
        <v>1096</v>
      </c>
      <c r="F8" s="232" t="s">
        <v>93</v>
      </c>
      <c r="G8" s="232" t="s">
        <v>200</v>
      </c>
      <c r="H8" s="232" t="s">
        <v>71</v>
      </c>
      <c r="I8" s="232">
        <v>1996</v>
      </c>
      <c r="J8" s="232"/>
      <c r="K8" s="134">
        <f t="shared" si="2"/>
        <v>23</v>
      </c>
      <c r="L8" s="232">
        <v>2016</v>
      </c>
      <c r="M8" s="234">
        <v>70367</v>
      </c>
      <c r="N8" s="235">
        <v>855</v>
      </c>
      <c r="O8" s="235">
        <v>29</v>
      </c>
      <c r="P8" s="235">
        <v>2052</v>
      </c>
      <c r="Q8" s="235">
        <v>270</v>
      </c>
      <c r="R8" s="235">
        <f t="shared" si="0"/>
        <v>131.57894736842104</v>
      </c>
      <c r="S8" s="235">
        <f>ROUND(R8*CPI!$B$120/VLOOKUP($I8,CPI!$A$1:$B$122,2,FALSE)/1000,2)*1000</f>
        <v>210</v>
      </c>
      <c r="T8" s="232" t="s">
        <v>224</v>
      </c>
      <c r="U8" s="232" t="s">
        <v>208</v>
      </c>
      <c r="V8" s="232"/>
      <c r="W8" s="256" t="e">
        <f t="shared" si="1"/>
        <v>#DIV/0!</v>
      </c>
      <c r="X8" s="257"/>
      <c r="Y8" s="257"/>
      <c r="Z8" s="257"/>
      <c r="AA8" s="257"/>
      <c r="AB8" s="257"/>
      <c r="AC8" s="250">
        <f t="shared" si="3"/>
        <v>1996</v>
      </c>
      <c r="AE8" s="276"/>
      <c r="AF8" s="119"/>
      <c r="AG8" s="119"/>
      <c r="AH8" s="277"/>
      <c r="AI8" s="277"/>
      <c r="AJ8" s="277"/>
    </row>
    <row r="9" spans="2:36" ht="13.5" customHeight="1">
      <c r="B9" s="69">
        <v>1</v>
      </c>
      <c r="C9" s="69">
        <v>7</v>
      </c>
      <c r="D9" s="233" t="s">
        <v>89</v>
      </c>
      <c r="E9" s="233" t="s">
        <v>1097</v>
      </c>
      <c r="F9" s="232" t="s">
        <v>93</v>
      </c>
      <c r="G9" s="232" t="s">
        <v>200</v>
      </c>
      <c r="H9" s="232" t="s">
        <v>71</v>
      </c>
      <c r="I9" s="232">
        <v>1996</v>
      </c>
      <c r="J9" s="232"/>
      <c r="K9" s="134">
        <f t="shared" si="2"/>
        <v>23</v>
      </c>
      <c r="L9" s="232">
        <v>2016</v>
      </c>
      <c r="M9" s="234">
        <v>103881</v>
      </c>
      <c r="N9" s="235">
        <v>892</v>
      </c>
      <c r="O9" s="235">
        <v>27</v>
      </c>
      <c r="P9" s="235">
        <v>3002</v>
      </c>
      <c r="Q9" s="235">
        <v>410</v>
      </c>
      <c r="R9" s="235">
        <f t="shared" si="0"/>
        <v>136.57561625582946</v>
      </c>
      <c r="S9" s="235">
        <f>ROUND(R9*CPI!$B$120/VLOOKUP($I9,CPI!$A$1:$B$122,2,FALSE)/1000,2)*1000</f>
        <v>220</v>
      </c>
      <c r="T9" s="232" t="s">
        <v>212</v>
      </c>
      <c r="U9" s="232" t="s">
        <v>226</v>
      </c>
      <c r="V9" s="232"/>
      <c r="W9" s="256" t="e">
        <f t="shared" si="1"/>
        <v>#DIV/0!</v>
      </c>
      <c r="X9" s="257"/>
      <c r="Y9" s="257"/>
      <c r="Z9" s="257"/>
      <c r="AA9" s="257"/>
      <c r="AB9" s="257"/>
      <c r="AC9" s="250">
        <f t="shared" si="3"/>
        <v>1996</v>
      </c>
      <c r="AE9" s="276"/>
      <c r="AF9" s="119"/>
      <c r="AG9" s="119"/>
      <c r="AH9" s="277"/>
      <c r="AI9" s="277"/>
      <c r="AJ9" s="277"/>
    </row>
    <row r="10" spans="2:36" ht="13.5" customHeight="1">
      <c r="B10" s="69">
        <v>1</v>
      </c>
      <c r="C10" s="69">
        <v>8</v>
      </c>
      <c r="D10" s="233" t="s">
        <v>73</v>
      </c>
      <c r="E10" s="233" t="s">
        <v>1098</v>
      </c>
      <c r="F10" s="232" t="s">
        <v>93</v>
      </c>
      <c r="G10" s="232" t="s">
        <v>200</v>
      </c>
      <c r="H10" s="232" t="s">
        <v>71</v>
      </c>
      <c r="I10" s="232">
        <v>1998</v>
      </c>
      <c r="J10" s="232"/>
      <c r="K10" s="134">
        <f t="shared" si="2"/>
        <v>21</v>
      </c>
      <c r="L10" s="232">
        <v>2017</v>
      </c>
      <c r="M10" s="234">
        <v>70390</v>
      </c>
      <c r="N10" s="235">
        <v>855</v>
      </c>
      <c r="O10" s="235">
        <v>29</v>
      </c>
      <c r="P10" s="235">
        <v>2056</v>
      </c>
      <c r="Q10" s="235">
        <v>250</v>
      </c>
      <c r="R10" s="235">
        <f t="shared" si="0"/>
        <v>121.59533073929961</v>
      </c>
      <c r="S10" s="235">
        <f>ROUND(R10*CPI!$B$120/VLOOKUP($I10,CPI!$A$1:$B$122,2,FALSE)/1000,2)*1000</f>
        <v>190</v>
      </c>
      <c r="T10" s="232" t="s">
        <v>224</v>
      </c>
      <c r="U10" s="232" t="s">
        <v>208</v>
      </c>
      <c r="V10" s="232"/>
      <c r="W10" s="256" t="e">
        <f t="shared" si="1"/>
        <v>#DIV/0!</v>
      </c>
      <c r="X10" s="257"/>
      <c r="Y10" s="257"/>
      <c r="Z10" s="257"/>
      <c r="AA10" s="257"/>
      <c r="AB10" s="257"/>
      <c r="AC10" s="250">
        <f t="shared" si="3"/>
        <v>1998</v>
      </c>
      <c r="AE10" s="276"/>
      <c r="AF10" s="119"/>
      <c r="AG10" s="119"/>
      <c r="AH10" s="277"/>
      <c r="AI10" s="277"/>
      <c r="AJ10" s="277"/>
    </row>
    <row r="11" spans="2:36" ht="13.5" customHeight="1">
      <c r="B11" s="69">
        <v>1</v>
      </c>
      <c r="C11" s="69">
        <v>9</v>
      </c>
      <c r="D11" s="233" t="s">
        <v>85</v>
      </c>
      <c r="E11" s="233" t="s">
        <v>1099</v>
      </c>
      <c r="F11" s="232" t="s">
        <v>93</v>
      </c>
      <c r="G11" s="232" t="s">
        <v>200</v>
      </c>
      <c r="H11" s="232" t="s">
        <v>71</v>
      </c>
      <c r="I11" s="232">
        <v>1998</v>
      </c>
      <c r="J11" s="232"/>
      <c r="K11" s="134">
        <f t="shared" si="2"/>
        <v>21</v>
      </c>
      <c r="L11" s="232">
        <v>2015</v>
      </c>
      <c r="M11" s="234">
        <v>70390</v>
      </c>
      <c r="N11" s="235">
        <v>855</v>
      </c>
      <c r="O11" s="235">
        <v>29</v>
      </c>
      <c r="P11" s="235">
        <v>2056</v>
      </c>
      <c r="Q11" s="235">
        <v>300</v>
      </c>
      <c r="R11" s="235">
        <f t="shared" si="0"/>
        <v>145.91439688715954</v>
      </c>
      <c r="S11" s="235">
        <f>ROUND(R11*CPI!$B$120/VLOOKUP($I11,CPI!$A$1:$B$122,2,FALSE)/1000,2)*1000</f>
        <v>220</v>
      </c>
      <c r="T11" s="232" t="s">
        <v>224</v>
      </c>
      <c r="U11" s="232" t="s">
        <v>208</v>
      </c>
      <c r="V11" s="232"/>
      <c r="W11" s="256" t="e">
        <f t="shared" si="1"/>
        <v>#DIV/0!</v>
      </c>
      <c r="X11" s="257"/>
      <c r="Y11" s="257"/>
      <c r="Z11" s="257"/>
      <c r="AA11" s="257"/>
      <c r="AB11" s="257"/>
      <c r="AC11" s="250">
        <f t="shared" si="3"/>
        <v>1998</v>
      </c>
      <c r="AE11" s="276"/>
      <c r="AF11" s="119"/>
      <c r="AG11" s="119"/>
      <c r="AH11" s="277"/>
      <c r="AI11" s="277"/>
      <c r="AJ11" s="277"/>
    </row>
    <row r="12" spans="2:36" ht="13.5" customHeight="1">
      <c r="B12" s="69">
        <v>1</v>
      </c>
      <c r="C12" s="69">
        <v>10</v>
      </c>
      <c r="D12" s="233" t="s">
        <v>207</v>
      </c>
      <c r="E12" s="233" t="s">
        <v>1100</v>
      </c>
      <c r="F12" s="232" t="s">
        <v>93</v>
      </c>
      <c r="G12" s="232" t="s">
        <v>200</v>
      </c>
      <c r="H12" s="232" t="s">
        <v>71</v>
      </c>
      <c r="I12" s="232">
        <v>1999</v>
      </c>
      <c r="J12" s="232"/>
      <c r="K12" s="134">
        <f t="shared" si="2"/>
        <v>20</v>
      </c>
      <c r="L12" s="232">
        <v>2016</v>
      </c>
      <c r="M12" s="234">
        <v>101509</v>
      </c>
      <c r="N12" s="235">
        <v>893</v>
      </c>
      <c r="O12" s="235">
        <v>31</v>
      </c>
      <c r="P12" s="235">
        <v>2754</v>
      </c>
      <c r="Q12" s="235">
        <v>420</v>
      </c>
      <c r="R12" s="235">
        <f t="shared" si="0"/>
        <v>152.50544662309369</v>
      </c>
      <c r="S12" s="235">
        <f>ROUND(R12*CPI!$B$120/VLOOKUP($I12,CPI!$A$1:$B$122,2,FALSE)/1000,2)*1000</f>
        <v>230</v>
      </c>
      <c r="T12" s="232" t="s">
        <v>212</v>
      </c>
      <c r="U12" s="232" t="s">
        <v>226</v>
      </c>
      <c r="V12" s="232"/>
      <c r="W12" s="256" t="e">
        <f t="shared" si="1"/>
        <v>#DIV/0!</v>
      </c>
      <c r="X12" s="257"/>
      <c r="Y12" s="257"/>
      <c r="Z12" s="257"/>
      <c r="AA12" s="257"/>
      <c r="AB12" s="257"/>
      <c r="AC12" s="250">
        <f t="shared" si="3"/>
        <v>1999</v>
      </c>
      <c r="AE12" s="276"/>
      <c r="AF12" s="119"/>
      <c r="AG12" s="119"/>
      <c r="AH12" s="277"/>
      <c r="AI12" s="277"/>
      <c r="AJ12" s="277"/>
    </row>
    <row r="13" spans="2:36" ht="13.5" customHeight="1">
      <c r="B13" s="69">
        <v>1</v>
      </c>
      <c r="C13" s="69">
        <v>11</v>
      </c>
      <c r="D13" s="233" t="s">
        <v>91</v>
      </c>
      <c r="E13" s="233" t="s">
        <v>1101</v>
      </c>
      <c r="F13" s="232" t="s">
        <v>93</v>
      </c>
      <c r="G13" s="232" t="s">
        <v>200</v>
      </c>
      <c r="H13" s="232" t="s">
        <v>71</v>
      </c>
      <c r="I13" s="232">
        <v>2000</v>
      </c>
      <c r="J13" s="232"/>
      <c r="K13" s="134">
        <f t="shared" si="2"/>
        <v>19</v>
      </c>
      <c r="L13" s="232">
        <v>2015</v>
      </c>
      <c r="M13" s="234">
        <v>101509</v>
      </c>
      <c r="N13" s="235">
        <v>893</v>
      </c>
      <c r="O13" s="235">
        <v>31</v>
      </c>
      <c r="P13" s="235">
        <v>2754</v>
      </c>
      <c r="Q13" s="235">
        <v>420</v>
      </c>
      <c r="R13" s="235">
        <f t="shared" si="0"/>
        <v>152.50544662309369</v>
      </c>
      <c r="S13" s="235">
        <f>ROUND(R13*CPI!$B$120/VLOOKUP($I13,CPI!$A$1:$B$122,2,FALSE)/1000,2)*1000</f>
        <v>220</v>
      </c>
      <c r="T13" s="232" t="s">
        <v>212</v>
      </c>
      <c r="U13" s="232" t="s">
        <v>226</v>
      </c>
      <c r="V13" s="232"/>
      <c r="W13" s="256" t="e">
        <f t="shared" si="1"/>
        <v>#DIV/0!</v>
      </c>
      <c r="X13" s="257"/>
      <c r="Y13" s="257"/>
      <c r="Z13" s="257"/>
      <c r="AA13" s="257"/>
      <c r="AB13" s="257"/>
      <c r="AC13" s="250">
        <f t="shared" si="3"/>
        <v>2000</v>
      </c>
      <c r="AE13" s="276"/>
      <c r="AF13" s="119"/>
      <c r="AG13" s="119"/>
      <c r="AH13" s="277"/>
      <c r="AI13" s="277"/>
      <c r="AJ13" s="277"/>
    </row>
    <row r="14" spans="2:36" ht="13.5" customHeight="1">
      <c r="B14" s="69">
        <v>1</v>
      </c>
      <c r="C14" s="69">
        <v>12</v>
      </c>
      <c r="D14" s="233" t="s">
        <v>86</v>
      </c>
      <c r="E14" s="233" t="s">
        <v>1102</v>
      </c>
      <c r="F14" s="232" t="s">
        <v>93</v>
      </c>
      <c r="G14" s="232" t="s">
        <v>200</v>
      </c>
      <c r="H14" s="232" t="s">
        <v>71</v>
      </c>
      <c r="I14" s="232">
        <v>2001</v>
      </c>
      <c r="J14" s="232"/>
      <c r="K14" s="134">
        <f t="shared" si="2"/>
        <v>18</v>
      </c>
      <c r="L14" s="232">
        <v>2014</v>
      </c>
      <c r="M14" s="234">
        <v>85920</v>
      </c>
      <c r="N14" s="235">
        <v>963</v>
      </c>
      <c r="O14" s="235">
        <v>34</v>
      </c>
      <c r="P14" s="235">
        <v>2124</v>
      </c>
      <c r="Q14" s="235">
        <v>380</v>
      </c>
      <c r="R14" s="235">
        <f t="shared" si="0"/>
        <v>178.90772128060266</v>
      </c>
      <c r="S14" s="235">
        <f>ROUND(R14*CPI!$B$120/VLOOKUP($I14,CPI!$A$1:$B$122,2,FALSE)/1000,2)*1000</f>
        <v>250</v>
      </c>
      <c r="T14" s="232" t="s">
        <v>224</v>
      </c>
      <c r="U14" s="232" t="s">
        <v>222</v>
      </c>
      <c r="V14" s="232"/>
      <c r="W14" s="256" t="e">
        <f t="shared" si="1"/>
        <v>#DIV/0!</v>
      </c>
      <c r="X14" s="257"/>
      <c r="Y14" s="257"/>
      <c r="Z14" s="257"/>
      <c r="AA14" s="257"/>
      <c r="AB14" s="257"/>
      <c r="AC14" s="250">
        <f t="shared" si="3"/>
        <v>2001</v>
      </c>
      <c r="AE14" s="276"/>
      <c r="AF14" s="119"/>
      <c r="AG14" s="119"/>
      <c r="AH14" s="277"/>
      <c r="AI14" s="277"/>
      <c r="AJ14" s="277"/>
    </row>
    <row r="15" spans="2:36" ht="13.5" customHeight="1">
      <c r="B15" s="69">
        <v>1</v>
      </c>
      <c r="C15" s="69">
        <v>13</v>
      </c>
      <c r="D15" s="233" t="s">
        <v>209</v>
      </c>
      <c r="E15" s="233" t="s">
        <v>1103</v>
      </c>
      <c r="F15" s="232" t="s">
        <v>93</v>
      </c>
      <c r="G15" s="232" t="s">
        <v>200</v>
      </c>
      <c r="H15" s="232" t="s">
        <v>71</v>
      </c>
      <c r="I15" s="232">
        <v>2001</v>
      </c>
      <c r="J15" s="232"/>
      <c r="K15" s="134">
        <f t="shared" si="2"/>
        <v>18</v>
      </c>
      <c r="L15" s="232">
        <v>2015</v>
      </c>
      <c r="M15" s="234">
        <v>85920</v>
      </c>
      <c r="N15" s="235">
        <v>963</v>
      </c>
      <c r="O15" s="235">
        <v>34</v>
      </c>
      <c r="P15" s="235">
        <v>2124</v>
      </c>
      <c r="Q15" s="235">
        <v>375</v>
      </c>
      <c r="R15" s="235">
        <f t="shared" si="0"/>
        <v>176.55367231638419</v>
      </c>
      <c r="S15" s="235">
        <f>ROUND(R15*CPI!$B$120/VLOOKUP($I15,CPI!$A$1:$B$122,2,FALSE)/1000,2)*1000</f>
        <v>250</v>
      </c>
      <c r="T15" s="232" t="s">
        <v>224</v>
      </c>
      <c r="U15" s="232" t="s">
        <v>222</v>
      </c>
      <c r="V15" s="232"/>
      <c r="W15" s="256" t="e">
        <f t="shared" si="1"/>
        <v>#DIV/0!</v>
      </c>
      <c r="X15" s="257"/>
      <c r="Y15" s="257"/>
      <c r="Z15" s="257"/>
      <c r="AA15" s="257"/>
      <c r="AB15" s="257"/>
      <c r="AC15" s="250">
        <f t="shared" si="3"/>
        <v>2001</v>
      </c>
      <c r="AE15" s="276"/>
      <c r="AF15" s="119"/>
      <c r="AG15" s="119"/>
      <c r="AH15" s="277"/>
      <c r="AI15" s="277"/>
      <c r="AJ15" s="277"/>
    </row>
    <row r="16" spans="2:36" ht="13.5" customHeight="1">
      <c r="B16" s="69">
        <v>1</v>
      </c>
      <c r="C16" s="69">
        <v>14</v>
      </c>
      <c r="D16" s="233" t="s">
        <v>69</v>
      </c>
      <c r="E16" s="233" t="s">
        <v>1104</v>
      </c>
      <c r="F16" s="232" t="s">
        <v>93</v>
      </c>
      <c r="G16" s="232" t="s">
        <v>200</v>
      </c>
      <c r="H16" s="232" t="s">
        <v>71</v>
      </c>
      <c r="I16" s="232">
        <v>2002</v>
      </c>
      <c r="J16" s="232"/>
      <c r="K16" s="134">
        <f t="shared" si="2"/>
        <v>17</v>
      </c>
      <c r="L16" s="232">
        <v>2017</v>
      </c>
      <c r="M16" s="234">
        <v>110239</v>
      </c>
      <c r="N16" s="235">
        <v>953</v>
      </c>
      <c r="O16" s="235">
        <v>31</v>
      </c>
      <c r="P16" s="235">
        <v>2984</v>
      </c>
      <c r="Q16" s="235">
        <v>500</v>
      </c>
      <c r="R16" s="235">
        <f t="shared" si="0"/>
        <v>167.56032171581771</v>
      </c>
      <c r="S16" s="235">
        <f>ROUND(R16*CPI!$B$120/VLOOKUP($I16,CPI!$A$1:$B$122,2,FALSE)/1000,2)*1000</f>
        <v>230</v>
      </c>
      <c r="T16" s="232" t="s">
        <v>212</v>
      </c>
      <c r="U16" s="232" t="s">
        <v>220</v>
      </c>
      <c r="V16" s="232"/>
      <c r="W16" s="256" t="e">
        <f t="shared" si="1"/>
        <v>#DIV/0!</v>
      </c>
      <c r="X16" s="257"/>
      <c r="Y16" s="257"/>
      <c r="Z16" s="257"/>
      <c r="AA16" s="257"/>
      <c r="AB16" s="257"/>
      <c r="AC16" s="250">
        <f t="shared" si="3"/>
        <v>2002</v>
      </c>
      <c r="AE16" s="276"/>
      <c r="AF16" s="119"/>
      <c r="AG16" s="119"/>
      <c r="AH16" s="277"/>
      <c r="AI16" s="277"/>
      <c r="AJ16" s="277"/>
    </row>
    <row r="17" spans="2:36" ht="13.5" customHeight="1">
      <c r="B17" s="69">
        <v>1</v>
      </c>
      <c r="C17" s="69">
        <v>15</v>
      </c>
      <c r="D17" s="233" t="s">
        <v>81</v>
      </c>
      <c r="E17" s="233" t="s">
        <v>1105</v>
      </c>
      <c r="F17" s="232" t="s">
        <v>93</v>
      </c>
      <c r="G17" s="232" t="s">
        <v>200</v>
      </c>
      <c r="H17" s="232" t="s">
        <v>71</v>
      </c>
      <c r="I17" s="232">
        <v>2002</v>
      </c>
      <c r="J17" s="232"/>
      <c r="K17" s="134">
        <f t="shared" si="2"/>
        <v>17</v>
      </c>
      <c r="L17" s="232">
        <v>2014</v>
      </c>
      <c r="M17" s="234">
        <v>85942</v>
      </c>
      <c r="N17" s="235">
        <v>963</v>
      </c>
      <c r="O17" s="235">
        <v>34</v>
      </c>
      <c r="P17" s="235">
        <v>2124</v>
      </c>
      <c r="Q17" s="235">
        <v>380</v>
      </c>
      <c r="R17" s="235">
        <f t="shared" si="0"/>
        <v>178.90772128060266</v>
      </c>
      <c r="S17" s="235">
        <f>ROUND(R17*CPI!$B$120/VLOOKUP($I17,CPI!$A$1:$B$122,2,FALSE)/1000,2)*1000</f>
        <v>250</v>
      </c>
      <c r="T17" s="232" t="s">
        <v>224</v>
      </c>
      <c r="U17" s="232" t="s">
        <v>222</v>
      </c>
      <c r="V17" s="232"/>
      <c r="W17" s="256" t="e">
        <f t="shared" si="1"/>
        <v>#DIV/0!</v>
      </c>
      <c r="X17" s="257"/>
      <c r="Y17" s="257"/>
      <c r="Z17" s="257"/>
      <c r="AA17" s="257"/>
      <c r="AB17" s="257"/>
      <c r="AC17" s="250">
        <f t="shared" si="3"/>
        <v>2002</v>
      </c>
      <c r="AE17" s="276"/>
      <c r="AF17" s="119"/>
      <c r="AG17" s="119"/>
      <c r="AH17" s="277"/>
      <c r="AI17" s="277"/>
      <c r="AJ17" s="277"/>
    </row>
    <row r="18" spans="2:36" ht="13.5" customHeight="1">
      <c r="B18" s="69">
        <v>1</v>
      </c>
      <c r="C18" s="69">
        <v>16</v>
      </c>
      <c r="D18" s="233" t="s">
        <v>77</v>
      </c>
      <c r="E18" s="233" t="s">
        <v>1106</v>
      </c>
      <c r="F18" s="232" t="s">
        <v>93</v>
      </c>
      <c r="G18" s="232" t="s">
        <v>200</v>
      </c>
      <c r="H18" s="232" t="s">
        <v>71</v>
      </c>
      <c r="I18" s="232">
        <v>2003</v>
      </c>
      <c r="J18" s="232"/>
      <c r="K18" s="134">
        <f t="shared" si="2"/>
        <v>16</v>
      </c>
      <c r="L18" s="232">
        <v>2017</v>
      </c>
      <c r="M18" s="234">
        <v>110239</v>
      </c>
      <c r="N18" s="235">
        <v>952</v>
      </c>
      <c r="O18" s="235">
        <v>31</v>
      </c>
      <c r="P18" s="235">
        <v>2974</v>
      </c>
      <c r="Q18" s="235">
        <v>500</v>
      </c>
      <c r="R18" s="235">
        <f t="shared" si="0"/>
        <v>168.12373907195698</v>
      </c>
      <c r="S18" s="235">
        <f>ROUND(R18*CPI!$B$120/VLOOKUP($I18,CPI!$A$1:$B$122,2,FALSE)/1000,2)*1000</f>
        <v>230</v>
      </c>
      <c r="T18" s="232" t="s">
        <v>212</v>
      </c>
      <c r="U18" s="232" t="s">
        <v>220</v>
      </c>
      <c r="V18" s="232"/>
      <c r="W18" s="256" t="e">
        <f t="shared" si="1"/>
        <v>#DIV/0!</v>
      </c>
      <c r="X18" s="257"/>
      <c r="Y18" s="257"/>
      <c r="Z18" s="257"/>
      <c r="AA18" s="257"/>
      <c r="AB18" s="257"/>
      <c r="AC18" s="250">
        <f t="shared" si="3"/>
        <v>2003</v>
      </c>
      <c r="AE18" s="276"/>
      <c r="AF18" s="119"/>
      <c r="AG18" s="119"/>
      <c r="AH18" s="277"/>
      <c r="AI18" s="277"/>
      <c r="AJ18" s="277"/>
    </row>
    <row r="19" spans="2:36" ht="13.5" customHeight="1">
      <c r="B19" s="69">
        <v>1</v>
      </c>
      <c r="C19" s="69">
        <v>17</v>
      </c>
      <c r="D19" s="233" t="s">
        <v>84</v>
      </c>
      <c r="E19" s="233" t="s">
        <v>1107</v>
      </c>
      <c r="F19" s="232" t="s">
        <v>93</v>
      </c>
      <c r="G19" s="232" t="s">
        <v>200</v>
      </c>
      <c r="H19" s="232" t="s">
        <v>71</v>
      </c>
      <c r="I19" s="232">
        <v>2004</v>
      </c>
      <c r="J19" s="232"/>
      <c r="K19" s="134">
        <f t="shared" si="2"/>
        <v>15</v>
      </c>
      <c r="L19" s="232">
        <v>2015</v>
      </c>
      <c r="M19" s="234">
        <v>88942</v>
      </c>
      <c r="N19" s="235">
        <v>963</v>
      </c>
      <c r="O19" s="235">
        <v>34</v>
      </c>
      <c r="P19" s="235">
        <v>2124</v>
      </c>
      <c r="Q19" s="235">
        <v>380</v>
      </c>
      <c r="R19" s="235">
        <f t="shared" si="0"/>
        <v>178.90772128060266</v>
      </c>
      <c r="S19" s="235">
        <f>ROUND(R19*CPI!$B$120/VLOOKUP($I19,CPI!$A$1:$B$122,2,FALSE)/1000,2)*1000</f>
        <v>240</v>
      </c>
      <c r="T19" s="232" t="s">
        <v>224</v>
      </c>
      <c r="U19" s="232" t="s">
        <v>222</v>
      </c>
      <c r="V19" s="232"/>
      <c r="W19" s="256" t="e">
        <f t="shared" si="1"/>
        <v>#DIV/0!</v>
      </c>
      <c r="X19" s="257"/>
      <c r="Y19" s="257"/>
      <c r="Z19" s="257"/>
      <c r="AA19" s="257"/>
      <c r="AB19" s="257"/>
      <c r="AC19" s="250">
        <f t="shared" si="3"/>
        <v>2004</v>
      </c>
      <c r="AE19" s="276"/>
      <c r="AF19" s="119"/>
      <c r="AG19" s="119"/>
      <c r="AH19" s="277"/>
      <c r="AI19" s="277"/>
      <c r="AJ19" s="277"/>
    </row>
    <row r="20" spans="2:36" ht="13.5" customHeight="1">
      <c r="B20" s="69">
        <v>1</v>
      </c>
      <c r="C20" s="69">
        <v>18</v>
      </c>
      <c r="D20" s="233" t="s">
        <v>90</v>
      </c>
      <c r="E20" s="233" t="s">
        <v>1108</v>
      </c>
      <c r="F20" s="232" t="s">
        <v>93</v>
      </c>
      <c r="G20" s="232" t="s">
        <v>200</v>
      </c>
      <c r="H20" s="232" t="s">
        <v>71</v>
      </c>
      <c r="I20" s="232">
        <v>2004</v>
      </c>
      <c r="J20" s="232"/>
      <c r="K20" s="134">
        <f t="shared" si="2"/>
        <v>15</v>
      </c>
      <c r="L20" s="232">
        <v>2016</v>
      </c>
      <c r="M20" s="234">
        <v>110239</v>
      </c>
      <c r="N20" s="235">
        <v>953</v>
      </c>
      <c r="O20" s="235">
        <v>31</v>
      </c>
      <c r="P20" s="235">
        <v>2974</v>
      </c>
      <c r="Q20" s="235">
        <v>500</v>
      </c>
      <c r="R20" s="235">
        <f t="shared" si="0"/>
        <v>168.12373907195698</v>
      </c>
      <c r="S20" s="235">
        <f>ROUND(R20*CPI!$B$120/VLOOKUP($I20,CPI!$A$1:$B$122,2,FALSE)/1000,2)*1000</f>
        <v>220</v>
      </c>
      <c r="T20" s="232" t="s">
        <v>212</v>
      </c>
      <c r="U20" s="232" t="s">
        <v>220</v>
      </c>
      <c r="V20" s="232"/>
      <c r="W20" s="256" t="e">
        <f t="shared" si="1"/>
        <v>#DIV/0!</v>
      </c>
      <c r="X20" s="257"/>
      <c r="Y20" s="257"/>
      <c r="Z20" s="257"/>
      <c r="AA20" s="257"/>
      <c r="AB20" s="257"/>
      <c r="AC20" s="250">
        <f t="shared" si="3"/>
        <v>2004</v>
      </c>
      <c r="AE20" s="276"/>
      <c r="AF20" s="119"/>
      <c r="AG20" s="119"/>
      <c r="AH20" s="277"/>
      <c r="AI20" s="277"/>
      <c r="AJ20" s="277"/>
    </row>
    <row r="21" spans="2:36" ht="13.5" customHeight="1">
      <c r="B21" s="69">
        <v>1</v>
      </c>
      <c r="C21" s="69">
        <v>19</v>
      </c>
      <c r="D21" s="233" t="s">
        <v>82</v>
      </c>
      <c r="E21" s="233" t="s">
        <v>1109</v>
      </c>
      <c r="F21" s="232" t="s">
        <v>93</v>
      </c>
      <c r="G21" s="232" t="s">
        <v>200</v>
      </c>
      <c r="H21" s="232" t="s">
        <v>71</v>
      </c>
      <c r="I21" s="232">
        <v>2005</v>
      </c>
      <c r="J21" s="232"/>
      <c r="K21" s="134">
        <f t="shared" si="2"/>
        <v>14</v>
      </c>
      <c r="L21" s="232">
        <v>2016</v>
      </c>
      <c r="M21" s="234">
        <v>110320</v>
      </c>
      <c r="N21" s="235">
        <v>952</v>
      </c>
      <c r="O21" s="235">
        <v>31</v>
      </c>
      <c r="P21" s="235">
        <v>2974</v>
      </c>
      <c r="Q21" s="235">
        <v>500</v>
      </c>
      <c r="R21" s="235">
        <f t="shared" si="0"/>
        <v>168.12373907195698</v>
      </c>
      <c r="S21" s="235">
        <f>ROUND(R21*CPI!$B$120/VLOOKUP($I21,CPI!$A$1:$B$122,2,FALSE)/1000,2)*1000</f>
        <v>210</v>
      </c>
      <c r="T21" s="232" t="s">
        <v>212</v>
      </c>
      <c r="U21" s="232" t="s">
        <v>220</v>
      </c>
      <c r="V21" s="232"/>
      <c r="W21" s="256" t="e">
        <f t="shared" si="1"/>
        <v>#DIV/0!</v>
      </c>
      <c r="X21" s="257"/>
      <c r="Y21" s="257"/>
      <c r="Z21" s="257"/>
      <c r="AA21" s="257"/>
      <c r="AB21" s="257"/>
      <c r="AC21" s="250">
        <f t="shared" si="3"/>
        <v>2005</v>
      </c>
      <c r="AE21" s="276"/>
      <c r="AF21" s="119"/>
      <c r="AG21" s="119"/>
      <c r="AH21" s="277"/>
      <c r="AI21" s="277"/>
      <c r="AJ21" s="277"/>
    </row>
    <row r="22" spans="2:36" ht="13.5" customHeight="1">
      <c r="B22" s="69">
        <v>1</v>
      </c>
      <c r="C22" s="69">
        <v>20</v>
      </c>
      <c r="D22" s="233" t="s">
        <v>76</v>
      </c>
      <c r="E22" s="233" t="s">
        <v>1110</v>
      </c>
      <c r="F22" s="232" t="s">
        <v>93</v>
      </c>
      <c r="G22" s="232" t="s">
        <v>200</v>
      </c>
      <c r="H22" s="232" t="s">
        <v>71</v>
      </c>
      <c r="I22" s="232">
        <v>2007</v>
      </c>
      <c r="J22" s="232"/>
      <c r="K22" s="134">
        <f t="shared" si="2"/>
        <v>12</v>
      </c>
      <c r="L22" s="232">
        <v>2014</v>
      </c>
      <c r="M22" s="234">
        <v>110320</v>
      </c>
      <c r="N22" s="235">
        <v>952</v>
      </c>
      <c r="O22" s="235">
        <v>31</v>
      </c>
      <c r="P22" s="235">
        <v>2974</v>
      </c>
      <c r="Q22" s="235">
        <v>500</v>
      </c>
      <c r="R22" s="235">
        <f t="shared" si="0"/>
        <v>168.12373907195698</v>
      </c>
      <c r="S22" s="235">
        <f>ROUND(R22*CPI!$B$120/VLOOKUP($I22,CPI!$A$1:$B$122,2,FALSE)/1000,2)*1000</f>
        <v>200</v>
      </c>
      <c r="T22" s="232" t="s">
        <v>212</v>
      </c>
      <c r="U22" s="232" t="s">
        <v>220</v>
      </c>
      <c r="V22" s="232"/>
      <c r="W22" s="256" t="e">
        <f t="shared" si="1"/>
        <v>#DIV/0!</v>
      </c>
      <c r="X22" s="257"/>
      <c r="Y22" s="257"/>
      <c r="Z22" s="257"/>
      <c r="AA22" s="257"/>
      <c r="AB22" s="257"/>
      <c r="AC22" s="250">
        <f t="shared" si="3"/>
        <v>2007</v>
      </c>
      <c r="AE22" s="276"/>
      <c r="AF22" s="119"/>
      <c r="AG22" s="119"/>
      <c r="AH22" s="277"/>
      <c r="AI22" s="277"/>
      <c r="AJ22" s="277"/>
    </row>
    <row r="23" spans="2:36" ht="13.5" customHeight="1">
      <c r="B23" s="69">
        <v>1</v>
      </c>
      <c r="C23" s="69">
        <v>21</v>
      </c>
      <c r="D23" s="233" t="s">
        <v>88</v>
      </c>
      <c r="E23" s="233" t="s">
        <v>1111</v>
      </c>
      <c r="F23" s="232" t="s">
        <v>93</v>
      </c>
      <c r="G23" s="232" t="s">
        <v>200</v>
      </c>
      <c r="H23" s="232" t="s">
        <v>71</v>
      </c>
      <c r="I23" s="232">
        <v>2008</v>
      </c>
      <c r="J23" s="232"/>
      <c r="K23" s="134">
        <f t="shared" si="2"/>
        <v>11</v>
      </c>
      <c r="L23" s="232">
        <v>2016</v>
      </c>
      <c r="M23" s="234">
        <v>113323</v>
      </c>
      <c r="N23" s="235">
        <v>952</v>
      </c>
      <c r="O23" s="235">
        <v>31</v>
      </c>
      <c r="P23" s="235">
        <v>3012</v>
      </c>
      <c r="Q23" s="235">
        <v>700</v>
      </c>
      <c r="R23" s="235">
        <f t="shared" si="0"/>
        <v>232.40371845949534</v>
      </c>
      <c r="S23" s="235">
        <f>ROUND(R23*CPI!$B$120/VLOOKUP($I23,CPI!$A$1:$B$122,2,FALSE)/1000,2)*1000</f>
        <v>280</v>
      </c>
      <c r="T23" s="232" t="s">
        <v>212</v>
      </c>
      <c r="U23" s="232" t="s">
        <v>225</v>
      </c>
      <c r="V23" s="232"/>
      <c r="W23" s="256" t="e">
        <f t="shared" si="1"/>
        <v>#DIV/0!</v>
      </c>
      <c r="X23" s="257"/>
      <c r="Y23" s="257"/>
      <c r="Z23" s="257"/>
      <c r="AA23" s="257"/>
      <c r="AB23" s="257"/>
      <c r="AC23" s="250">
        <f t="shared" si="3"/>
        <v>2008</v>
      </c>
      <c r="AE23" s="276"/>
      <c r="AF23" s="119"/>
      <c r="AG23" s="119"/>
      <c r="AH23" s="277"/>
      <c r="AI23" s="277"/>
      <c r="AJ23" s="277"/>
    </row>
    <row r="24" spans="2:36" ht="13.5" customHeight="1">
      <c r="B24" s="69">
        <v>1</v>
      </c>
      <c r="C24" s="69">
        <v>22</v>
      </c>
      <c r="D24" s="233" t="s">
        <v>70</v>
      </c>
      <c r="E24" s="233" t="s">
        <v>1112</v>
      </c>
      <c r="F24" s="232" t="s">
        <v>93</v>
      </c>
      <c r="G24" s="232" t="s">
        <v>200</v>
      </c>
      <c r="H24" s="232" t="s">
        <v>71</v>
      </c>
      <c r="I24" s="232">
        <v>2009</v>
      </c>
      <c r="J24" s="232"/>
      <c r="K24" s="134">
        <f t="shared" si="2"/>
        <v>10</v>
      </c>
      <c r="L24" s="232">
        <v>2017</v>
      </c>
      <c r="M24" s="234">
        <v>128251</v>
      </c>
      <c r="N24" s="235">
        <v>1004</v>
      </c>
      <c r="O24" s="235">
        <v>29</v>
      </c>
      <c r="P24" s="235">
        <v>3626</v>
      </c>
      <c r="Q24" s="235">
        <v>740</v>
      </c>
      <c r="R24" s="235">
        <f t="shared" si="0"/>
        <v>204.08163265306123</v>
      </c>
      <c r="S24" s="235">
        <f>ROUND(R24*CPI!$B$120/VLOOKUP($I24,CPI!$A$1:$B$122,2,FALSE)/1000,2)*1000</f>
        <v>240</v>
      </c>
      <c r="T24" s="232" t="s">
        <v>212</v>
      </c>
      <c r="U24" s="232" t="s">
        <v>218</v>
      </c>
      <c r="V24" s="232"/>
      <c r="W24" s="256" t="e">
        <f t="shared" si="1"/>
        <v>#DIV/0!</v>
      </c>
      <c r="X24" s="257"/>
      <c r="Y24" s="257"/>
      <c r="Z24" s="257"/>
      <c r="AA24" s="257"/>
      <c r="AB24" s="257"/>
      <c r="AC24" s="250">
        <f t="shared" si="3"/>
        <v>2009</v>
      </c>
      <c r="AE24" s="276"/>
      <c r="AF24" s="119"/>
      <c r="AG24" s="119"/>
      <c r="AH24" s="277"/>
      <c r="AI24" s="277"/>
      <c r="AJ24" s="277"/>
    </row>
    <row r="25" spans="2:36" ht="13.5" customHeight="1">
      <c r="B25" s="69">
        <v>1</v>
      </c>
      <c r="C25" s="69">
        <v>23</v>
      </c>
      <c r="D25" s="233" t="s">
        <v>83</v>
      </c>
      <c r="E25" s="233" t="s">
        <v>1113</v>
      </c>
      <c r="F25" s="232" t="s">
        <v>93</v>
      </c>
      <c r="G25" s="232" t="s">
        <v>200</v>
      </c>
      <c r="H25" s="232" t="s">
        <v>71</v>
      </c>
      <c r="I25" s="232">
        <v>2011</v>
      </c>
      <c r="J25" s="232"/>
      <c r="K25" s="134">
        <f t="shared" si="2"/>
        <v>8</v>
      </c>
      <c r="L25" s="232">
        <v>2016</v>
      </c>
      <c r="M25" s="234">
        <v>128048</v>
      </c>
      <c r="N25" s="235">
        <v>1004</v>
      </c>
      <c r="O25" s="235">
        <v>29</v>
      </c>
      <c r="P25" s="235">
        <v>3690</v>
      </c>
      <c r="Q25" s="235">
        <v>740</v>
      </c>
      <c r="R25" s="235">
        <f t="shared" si="0"/>
        <v>200.54200542005421</v>
      </c>
      <c r="S25" s="235">
        <f>ROUND(R25*CPI!$B$120/VLOOKUP($I25,CPI!$A$1:$B$122,2,FALSE)/1000,2)*1000</f>
        <v>220</v>
      </c>
      <c r="T25" s="232" t="s">
        <v>212</v>
      </c>
      <c r="U25" s="232" t="s">
        <v>218</v>
      </c>
      <c r="V25" s="232"/>
      <c r="W25" s="256" t="e">
        <f t="shared" si="1"/>
        <v>#DIV/0!</v>
      </c>
      <c r="X25" s="257"/>
      <c r="Y25" s="257"/>
      <c r="Z25" s="257"/>
      <c r="AA25" s="257"/>
      <c r="AB25" s="257"/>
      <c r="AC25" s="250">
        <f t="shared" si="3"/>
        <v>2011</v>
      </c>
      <c r="AE25" s="276"/>
      <c r="AF25" s="119"/>
      <c r="AG25" s="119"/>
      <c r="AH25" s="277"/>
      <c r="AI25" s="277"/>
      <c r="AJ25" s="277"/>
    </row>
    <row r="26" spans="2:36" ht="13.5" customHeight="1">
      <c r="B26" s="69">
        <v>1</v>
      </c>
      <c r="C26" s="69">
        <v>24</v>
      </c>
      <c r="D26" s="233" t="s">
        <v>67</v>
      </c>
      <c r="E26" s="233" t="s">
        <v>1114</v>
      </c>
      <c r="F26" s="232" t="s">
        <v>93</v>
      </c>
      <c r="G26" s="232" t="s">
        <v>200</v>
      </c>
      <c r="H26" s="232" t="s">
        <v>71</v>
      </c>
      <c r="I26" s="232">
        <v>2012</v>
      </c>
      <c r="J26" s="232"/>
      <c r="K26" s="134">
        <f t="shared" si="2"/>
        <v>7</v>
      </c>
      <c r="L26" s="232">
        <v>2017</v>
      </c>
      <c r="M26" s="234">
        <v>128052</v>
      </c>
      <c r="N26" s="235">
        <v>1004</v>
      </c>
      <c r="O26" s="235">
        <v>29</v>
      </c>
      <c r="P26" s="235">
        <v>3690</v>
      </c>
      <c r="Q26" s="235">
        <v>740</v>
      </c>
      <c r="R26" s="235">
        <f t="shared" si="0"/>
        <v>200.54200542005421</v>
      </c>
      <c r="S26" s="235">
        <f>ROUND(R26*CPI!$B$120/VLOOKUP($I26,CPI!$A$1:$B$122,2,FALSE)/1000,2)*1000</f>
        <v>220</v>
      </c>
      <c r="T26" s="232" t="s">
        <v>212</v>
      </c>
      <c r="U26" s="232" t="s">
        <v>218</v>
      </c>
      <c r="V26" s="232"/>
      <c r="W26" s="256" t="e">
        <f t="shared" si="1"/>
        <v>#DIV/0!</v>
      </c>
      <c r="X26" s="257"/>
      <c r="Y26" s="257"/>
      <c r="Z26" s="257"/>
      <c r="AA26" s="257"/>
      <c r="AB26" s="257"/>
      <c r="AC26" s="250">
        <f t="shared" si="3"/>
        <v>2012</v>
      </c>
      <c r="AE26" s="276"/>
      <c r="AF26" s="119"/>
      <c r="AG26" s="119"/>
      <c r="AH26" s="277"/>
      <c r="AI26" s="277"/>
      <c r="AJ26" s="277"/>
    </row>
    <row r="27" spans="2:36" ht="13.5" customHeight="1">
      <c r="B27" s="69">
        <v>1</v>
      </c>
      <c r="C27" s="69">
        <v>25</v>
      </c>
      <c r="D27" s="233" t="s">
        <v>92</v>
      </c>
      <c r="E27" s="233" t="s">
        <v>1115</v>
      </c>
      <c r="F27" s="232" t="s">
        <v>93</v>
      </c>
      <c r="G27" s="232" t="s">
        <v>200</v>
      </c>
      <c r="H27" s="232" t="s">
        <v>71</v>
      </c>
      <c r="I27" s="232">
        <v>2016</v>
      </c>
      <c r="J27" s="232"/>
      <c r="K27" s="134">
        <f t="shared" si="2"/>
        <v>3</v>
      </c>
      <c r="L27" s="232"/>
      <c r="M27" s="234">
        <v>133500</v>
      </c>
      <c r="N27" s="235">
        <v>1062</v>
      </c>
      <c r="O27" s="235">
        <v>28</v>
      </c>
      <c r="P27" s="235">
        <v>3936</v>
      </c>
      <c r="Q27" s="235">
        <v>800</v>
      </c>
      <c r="R27" s="235">
        <f t="shared" si="0"/>
        <v>203.2520325203252</v>
      </c>
      <c r="S27" s="235">
        <f>ROUND(R27*CPI!$B$120/VLOOKUP($I27,CPI!$A$1:$B$122,2,FALSE)/1000,2)*1000</f>
        <v>210</v>
      </c>
      <c r="T27" s="232" t="s">
        <v>212</v>
      </c>
      <c r="U27" s="232" t="s">
        <v>223</v>
      </c>
      <c r="V27" s="232"/>
      <c r="W27" s="256" t="e">
        <f t="shared" si="1"/>
        <v>#DIV/0!</v>
      </c>
      <c r="X27" s="257"/>
      <c r="Y27" s="257"/>
      <c r="Z27" s="257"/>
      <c r="AA27" s="257"/>
      <c r="AB27" s="257"/>
      <c r="AC27" s="250">
        <f t="shared" si="3"/>
        <v>2016</v>
      </c>
      <c r="AE27" s="276"/>
      <c r="AF27" s="119"/>
      <c r="AG27" s="119"/>
      <c r="AH27" s="277"/>
      <c r="AI27" s="277"/>
      <c r="AJ27" s="277"/>
    </row>
    <row r="28" spans="2:36" ht="13.5" customHeight="1">
      <c r="B28" s="69">
        <v>1</v>
      </c>
      <c r="C28" s="69">
        <v>26</v>
      </c>
      <c r="D28" s="233" t="s">
        <v>78</v>
      </c>
      <c r="E28" s="233" t="s">
        <v>1116</v>
      </c>
      <c r="F28" s="232" t="s">
        <v>93</v>
      </c>
      <c r="G28" s="232" t="s">
        <v>200</v>
      </c>
      <c r="H28" s="232" t="s">
        <v>71</v>
      </c>
      <c r="I28" s="232">
        <v>2018</v>
      </c>
      <c r="J28" s="232" t="s">
        <v>1042</v>
      </c>
      <c r="K28" s="134">
        <f t="shared" si="2"/>
        <v>1</v>
      </c>
      <c r="L28" s="232"/>
      <c r="M28" s="234">
        <v>133500</v>
      </c>
      <c r="N28" s="235">
        <v>1056</v>
      </c>
      <c r="O28" s="235">
        <v>28</v>
      </c>
      <c r="P28" s="235">
        <v>3954</v>
      </c>
      <c r="Q28" s="235">
        <v>780</v>
      </c>
      <c r="R28" s="235">
        <f t="shared" si="0"/>
        <v>197.26858877086494</v>
      </c>
      <c r="S28" s="235">
        <f>ROUND(R28*CPI!$B$120/VLOOKUP($I28,CPI!$A$1:$B$140,2,FALSE)/1000,2)*1000</f>
        <v>200</v>
      </c>
      <c r="T28" s="232" t="s">
        <v>212</v>
      </c>
      <c r="U28" s="232" t="s">
        <v>223</v>
      </c>
      <c r="V28" s="232"/>
      <c r="W28" s="256"/>
      <c r="X28" s="257"/>
      <c r="Y28" s="257"/>
      <c r="Z28" s="257"/>
      <c r="AA28" s="257"/>
      <c r="AB28" s="257"/>
      <c r="AC28" s="250">
        <f t="shared" si="3"/>
        <v>2018</v>
      </c>
      <c r="AE28" s="276"/>
      <c r="AF28" s="119"/>
      <c r="AG28" s="119"/>
      <c r="AH28" s="277"/>
      <c r="AI28" s="277"/>
      <c r="AJ28" s="277"/>
    </row>
    <row r="29" spans="2:36" ht="13.5" customHeight="1">
      <c r="B29" s="69">
        <v>1</v>
      </c>
      <c r="C29" s="69">
        <v>27</v>
      </c>
      <c r="D29" s="249" t="s">
        <v>906</v>
      </c>
      <c r="E29" s="249" t="s">
        <v>1117</v>
      </c>
      <c r="F29" s="250" t="s">
        <v>93</v>
      </c>
      <c r="G29" s="250" t="s">
        <v>200</v>
      </c>
      <c r="H29" s="250" t="s">
        <v>71</v>
      </c>
      <c r="I29" s="250">
        <v>2019</v>
      </c>
      <c r="J29" s="250" t="s">
        <v>1051</v>
      </c>
      <c r="K29" s="134" t="str">
        <f t="shared" si="2"/>
        <v/>
      </c>
      <c r="L29" s="250"/>
      <c r="M29" s="251">
        <v>133500</v>
      </c>
      <c r="N29" s="252">
        <v>1056</v>
      </c>
      <c r="O29" s="252">
        <v>28</v>
      </c>
      <c r="P29" s="252">
        <v>4200</v>
      </c>
      <c r="Q29" s="252">
        <v>780</v>
      </c>
      <c r="R29" s="252">
        <f t="shared" si="0"/>
        <v>185.71428571428572</v>
      </c>
      <c r="S29" s="252">
        <f>ROUND(R29*CPI!$B$120/VLOOKUP($I29,CPI!$A$1:$B$140,2,FALSE)/1000,2)*1000</f>
        <v>180</v>
      </c>
      <c r="T29" s="250" t="s">
        <v>212</v>
      </c>
      <c r="U29" s="250" t="s">
        <v>223</v>
      </c>
      <c r="V29" s="250"/>
      <c r="W29" s="256"/>
      <c r="X29" s="257"/>
      <c r="Y29" s="257"/>
      <c r="Z29" s="257"/>
      <c r="AA29" s="257"/>
      <c r="AB29" s="257"/>
      <c r="AC29" s="250" t="str">
        <f t="shared" si="3"/>
        <v/>
      </c>
      <c r="AE29" s="276">
        <v>43810</v>
      </c>
      <c r="AF29" s="119" t="s">
        <v>1064</v>
      </c>
      <c r="AG29" s="119" t="s">
        <v>219</v>
      </c>
      <c r="AH29" s="277">
        <v>329</v>
      </c>
      <c r="AI29" s="277">
        <v>3</v>
      </c>
      <c r="AJ29" s="277">
        <f>AH29/AI29</f>
        <v>109.66666666666667</v>
      </c>
    </row>
    <row r="30" spans="2:36" ht="13.5" customHeight="1">
      <c r="B30" s="69">
        <v>1</v>
      </c>
      <c r="C30" s="69">
        <v>28</v>
      </c>
      <c r="D30" s="249" t="s">
        <v>753</v>
      </c>
      <c r="E30" s="249" t="s">
        <v>1118</v>
      </c>
      <c r="F30" s="250" t="s">
        <v>93</v>
      </c>
      <c r="G30" s="250" t="s">
        <v>200</v>
      </c>
      <c r="H30" s="250" t="s">
        <v>71</v>
      </c>
      <c r="I30" s="250">
        <v>2020</v>
      </c>
      <c r="J30" s="250" t="s">
        <v>1049</v>
      </c>
      <c r="K30" s="134" t="str">
        <f t="shared" si="2"/>
        <v/>
      </c>
      <c r="L30" s="250"/>
      <c r="M30" s="251">
        <v>183900</v>
      </c>
      <c r="N30" s="252"/>
      <c r="O30" s="252">
        <f>M30/P30</f>
        <v>36.78</v>
      </c>
      <c r="P30" s="252">
        <v>5000</v>
      </c>
      <c r="Q30" s="252">
        <v>950</v>
      </c>
      <c r="R30" s="252">
        <f t="shared" si="0"/>
        <v>190</v>
      </c>
      <c r="S30" s="252">
        <f>ROUND(R30*CPI!$B$120/VLOOKUP($I30,CPI!$A$1:$B$140,2,FALSE)/1000,2)*1000</f>
        <v>180</v>
      </c>
      <c r="T30" s="250" t="s">
        <v>746</v>
      </c>
      <c r="U30" s="250" t="s">
        <v>755</v>
      </c>
      <c r="V30" s="250"/>
      <c r="W30" s="256"/>
      <c r="X30" s="257"/>
      <c r="Y30" s="257"/>
      <c r="Z30" s="257"/>
      <c r="AA30" s="257"/>
      <c r="AB30" s="257"/>
      <c r="AC30" s="250" t="str">
        <f t="shared" si="3"/>
        <v/>
      </c>
      <c r="AE30" s="276"/>
      <c r="AF30" s="119"/>
      <c r="AG30" s="119"/>
      <c r="AH30" s="277"/>
      <c r="AI30" s="277"/>
      <c r="AJ30" s="277"/>
    </row>
    <row r="31" spans="2:36" ht="13.5" customHeight="1">
      <c r="B31" s="69">
        <v>1</v>
      </c>
      <c r="C31" s="69">
        <v>29</v>
      </c>
      <c r="D31" s="249" t="s">
        <v>754</v>
      </c>
      <c r="E31" s="249" t="s">
        <v>1119</v>
      </c>
      <c r="F31" s="250" t="s">
        <v>93</v>
      </c>
      <c r="G31" s="250" t="s">
        <v>200</v>
      </c>
      <c r="H31" s="250" t="s">
        <v>71</v>
      </c>
      <c r="I31" s="250">
        <v>2022</v>
      </c>
      <c r="J31" s="250" t="s">
        <v>1051</v>
      </c>
      <c r="K31" s="134" t="str">
        <f t="shared" si="2"/>
        <v/>
      </c>
      <c r="L31" s="250"/>
      <c r="M31" s="251">
        <v>183900</v>
      </c>
      <c r="N31" s="252"/>
      <c r="O31" s="252">
        <f>M31/P31</f>
        <v>36.78</v>
      </c>
      <c r="P31" s="252">
        <v>5000</v>
      </c>
      <c r="Q31" s="252">
        <v>950</v>
      </c>
      <c r="R31" s="252">
        <f t="shared" si="0"/>
        <v>190</v>
      </c>
      <c r="S31" s="252">
        <f>ROUND(R31*CPI!$B$120/VLOOKUP($I31,CPI!$A$1:$B$140,2,FALSE)/1000,2)*1000</f>
        <v>180</v>
      </c>
      <c r="T31" s="250" t="s">
        <v>746</v>
      </c>
      <c r="U31" s="250" t="s">
        <v>755</v>
      </c>
      <c r="V31" s="250"/>
      <c r="W31" s="256"/>
      <c r="X31" s="257"/>
      <c r="Y31" s="257"/>
      <c r="Z31" s="257"/>
      <c r="AA31" s="257"/>
      <c r="AB31" s="257"/>
      <c r="AC31" s="250" t="str">
        <f t="shared" si="3"/>
        <v/>
      </c>
      <c r="AE31" s="276"/>
      <c r="AF31" s="119"/>
      <c r="AG31" s="119"/>
      <c r="AH31" s="277"/>
      <c r="AI31" s="277"/>
      <c r="AJ31" s="277"/>
    </row>
    <row r="32" spans="2:36" ht="13.5" customHeight="1">
      <c r="B32" s="69">
        <v>1</v>
      </c>
      <c r="C32" s="69">
        <v>30</v>
      </c>
      <c r="D32" s="255" t="s">
        <v>1014</v>
      </c>
      <c r="E32" s="255" t="s">
        <v>1120</v>
      </c>
      <c r="F32" s="250" t="s">
        <v>93</v>
      </c>
      <c r="G32" s="250" t="s">
        <v>200</v>
      </c>
      <c r="H32" s="250" t="s">
        <v>71</v>
      </c>
      <c r="I32" s="250">
        <v>2023</v>
      </c>
      <c r="J32" s="274" t="s">
        <v>1043</v>
      </c>
      <c r="K32" s="134" t="str">
        <f t="shared" si="2"/>
        <v/>
      </c>
      <c r="L32" s="250"/>
      <c r="M32" s="251">
        <v>135000</v>
      </c>
      <c r="N32" s="252"/>
      <c r="O32" s="252">
        <f>M32/P32</f>
        <v>27</v>
      </c>
      <c r="P32" s="252">
        <v>5000</v>
      </c>
      <c r="Q32" s="252">
        <v>750</v>
      </c>
      <c r="R32" s="252">
        <f t="shared" si="0"/>
        <v>150</v>
      </c>
      <c r="S32" s="252">
        <f>ROUND(R32*CPI!$B$120/VLOOKUP($I32,CPI!$A$1:$B$140,2,FALSE)/1000,2)*1000</f>
        <v>140</v>
      </c>
      <c r="T32" s="250" t="s">
        <v>926</v>
      </c>
      <c r="U32" s="250" t="s">
        <v>248</v>
      </c>
      <c r="V32" s="250"/>
      <c r="W32" s="256"/>
      <c r="X32" s="257"/>
      <c r="Y32" s="257"/>
      <c r="Z32" s="257"/>
      <c r="AA32" s="257"/>
      <c r="AB32" s="257"/>
      <c r="AC32" s="250" t="str">
        <f t="shared" si="3"/>
        <v/>
      </c>
      <c r="AE32" s="276"/>
      <c r="AF32" s="119"/>
      <c r="AG32" s="119"/>
      <c r="AH32" s="277"/>
      <c r="AI32" s="277"/>
      <c r="AJ32" s="277"/>
    </row>
    <row r="33" spans="2:36" ht="13.5" customHeight="1">
      <c r="B33" s="69">
        <v>1</v>
      </c>
      <c r="C33" s="69">
        <v>31</v>
      </c>
      <c r="D33" s="255" t="s">
        <v>1015</v>
      </c>
      <c r="E33" s="255" t="s">
        <v>1121</v>
      </c>
      <c r="F33" s="250" t="s">
        <v>93</v>
      </c>
      <c r="G33" s="250" t="s">
        <v>200</v>
      </c>
      <c r="H33" s="250" t="s">
        <v>71</v>
      </c>
      <c r="I33" s="250">
        <v>2024</v>
      </c>
      <c r="J33" s="274" t="s">
        <v>1043</v>
      </c>
      <c r="K33" s="134" t="str">
        <f t="shared" si="2"/>
        <v/>
      </c>
      <c r="L33" s="250"/>
      <c r="M33" s="251">
        <v>135000</v>
      </c>
      <c r="N33" s="252"/>
      <c r="O33" s="252">
        <f>M33/P33</f>
        <v>27</v>
      </c>
      <c r="P33" s="252">
        <v>5000</v>
      </c>
      <c r="Q33" s="252">
        <v>750</v>
      </c>
      <c r="R33" s="252">
        <f t="shared" si="0"/>
        <v>150</v>
      </c>
      <c r="S33" s="252">
        <f>ROUND(R33*CPI!$B$120/VLOOKUP($I33,CPI!$A$1:$B$140,2,FALSE)/1000,2)*1000</f>
        <v>130</v>
      </c>
      <c r="T33" s="250" t="s">
        <v>926</v>
      </c>
      <c r="U33" s="250" t="s">
        <v>248</v>
      </c>
      <c r="V33" s="250"/>
      <c r="W33" s="256"/>
      <c r="X33" s="257"/>
      <c r="Y33" s="257"/>
      <c r="Z33" s="257"/>
      <c r="AA33" s="257"/>
      <c r="AB33" s="257"/>
      <c r="AC33" s="250" t="str">
        <f t="shared" si="3"/>
        <v/>
      </c>
      <c r="AE33" s="276"/>
      <c r="AF33" s="119"/>
      <c r="AG33" s="119"/>
      <c r="AH33" s="277"/>
      <c r="AI33" s="277"/>
      <c r="AJ33" s="277"/>
    </row>
    <row r="34" spans="2:36" ht="13.5" customHeight="1">
      <c r="B34" s="69">
        <v>1</v>
      </c>
      <c r="C34" s="69">
        <v>32</v>
      </c>
      <c r="D34" s="233" t="s">
        <v>353</v>
      </c>
      <c r="E34" s="233" t="s">
        <v>1122</v>
      </c>
      <c r="F34" s="232" t="s">
        <v>93</v>
      </c>
      <c r="G34" s="232" t="s">
        <v>200</v>
      </c>
      <c r="H34" s="232" t="s">
        <v>132</v>
      </c>
      <c r="I34" s="232">
        <v>1993</v>
      </c>
      <c r="J34" s="232"/>
      <c r="K34" s="134">
        <f t="shared" si="2"/>
        <v>26</v>
      </c>
      <c r="L34" s="232">
        <v>2012</v>
      </c>
      <c r="M34" s="234">
        <v>56769</v>
      </c>
      <c r="N34" s="235">
        <f>220*3.28084</f>
        <v>721.78480000000002</v>
      </c>
      <c r="O34" s="235">
        <v>30</v>
      </c>
      <c r="P34" s="235">
        <v>1578</v>
      </c>
      <c r="Q34" s="235">
        <v>320</v>
      </c>
      <c r="R34" s="235">
        <f t="shared" si="0"/>
        <v>202.78833967046893</v>
      </c>
      <c r="S34" s="235">
        <f>ROUND(R34*CPI!$B$120/VLOOKUP($I34,CPI!$A$1:$B$122,2,FALSE)/1000,2)*1000</f>
        <v>350</v>
      </c>
      <c r="T34" s="232" t="s">
        <v>212</v>
      </c>
      <c r="U34" s="232" t="s">
        <v>256</v>
      </c>
      <c r="V34" s="232"/>
      <c r="W34" s="256" t="e">
        <f>SUM(((X34/SUM(X34:AB34))*5),((Y34/SUM(X34:AB34))*4),((Z34/SUM(X34:AB34))*3),((AA34/SUM(X34:AB34))*2),((AB34/SUM(X34:AB34)*1)))</f>
        <v>#DIV/0!</v>
      </c>
      <c r="X34" s="257"/>
      <c r="Y34" s="257"/>
      <c r="Z34" s="257"/>
      <c r="AA34" s="257"/>
      <c r="AB34" s="257"/>
      <c r="AC34" s="250">
        <f t="shared" si="3"/>
        <v>1993</v>
      </c>
      <c r="AE34" s="276"/>
      <c r="AF34" s="119"/>
      <c r="AG34" s="119"/>
      <c r="AH34" s="277"/>
      <c r="AI34" s="277"/>
      <c r="AJ34" s="277"/>
    </row>
    <row r="35" spans="2:36" ht="13.5" customHeight="1">
      <c r="B35" s="69">
        <v>1</v>
      </c>
      <c r="C35" s="69">
        <v>33</v>
      </c>
      <c r="D35" s="233" t="s">
        <v>131</v>
      </c>
      <c r="E35" s="233" t="s">
        <v>1123</v>
      </c>
      <c r="F35" s="232" t="s">
        <v>93</v>
      </c>
      <c r="G35" s="232" t="s">
        <v>200</v>
      </c>
      <c r="H35" s="232" t="s">
        <v>132</v>
      </c>
      <c r="I35" s="232">
        <v>1996</v>
      </c>
      <c r="J35" s="232"/>
      <c r="K35" s="134">
        <f t="shared" si="2"/>
        <v>23</v>
      </c>
      <c r="L35" s="232">
        <v>2013</v>
      </c>
      <c r="M35" s="234">
        <v>75166</v>
      </c>
      <c r="N35" s="235">
        <f>250*3.28084</f>
        <v>820.21</v>
      </c>
      <c r="O35" s="235">
        <v>32</v>
      </c>
      <c r="P35" s="235">
        <v>1928</v>
      </c>
      <c r="Q35" s="235">
        <v>390</v>
      </c>
      <c r="R35" s="235">
        <f t="shared" ref="R35:R66" si="4">Q35/P35*1000</f>
        <v>202.28215767634856</v>
      </c>
      <c r="S35" s="235">
        <f>ROUND(R35*CPI!$B$120/VLOOKUP($I35,CPI!$A$1:$B$122,2,FALSE)/1000,2)*1000</f>
        <v>320</v>
      </c>
      <c r="T35" s="232" t="s">
        <v>257</v>
      </c>
      <c r="U35" s="232" t="s">
        <v>233</v>
      </c>
      <c r="V35" s="232"/>
      <c r="W35" s="256" t="e">
        <f>SUM(((X35/SUM(X35:AB35))*5),((Y35/SUM(X35:AB35))*4),((Z35/SUM(X35:AB35))*3),((AA35/SUM(X35:AB35))*2),((AB35/SUM(X35:AB35)*1)))</f>
        <v>#DIV/0!</v>
      </c>
      <c r="X35" s="257"/>
      <c r="Y35" s="257"/>
      <c r="Z35" s="257"/>
      <c r="AA35" s="257"/>
      <c r="AB35" s="257"/>
      <c r="AC35" s="250">
        <f t="shared" si="3"/>
        <v>1996</v>
      </c>
      <c r="AE35" s="276"/>
      <c r="AF35" s="119"/>
      <c r="AG35" s="119"/>
      <c r="AH35" s="277"/>
      <c r="AI35" s="277"/>
      <c r="AJ35" s="277"/>
    </row>
    <row r="36" spans="2:36" ht="13.5" customHeight="1">
      <c r="B36" s="69">
        <v>1</v>
      </c>
      <c r="C36" s="69">
        <v>34</v>
      </c>
      <c r="D36" s="233" t="s">
        <v>130</v>
      </c>
      <c r="E36" s="233" t="s">
        <v>1124</v>
      </c>
      <c r="F36" s="232" t="s">
        <v>93</v>
      </c>
      <c r="G36" s="232" t="s">
        <v>200</v>
      </c>
      <c r="H36" s="232" t="s">
        <v>132</v>
      </c>
      <c r="I36" s="232">
        <v>1999</v>
      </c>
      <c r="J36" s="232"/>
      <c r="K36" s="134">
        <f t="shared" si="2"/>
        <v>20</v>
      </c>
      <c r="L36" s="232">
        <v>2013</v>
      </c>
      <c r="M36" s="234">
        <v>48200</v>
      </c>
      <c r="N36" s="235">
        <f>216*3.28084</f>
        <v>708.66143999999997</v>
      </c>
      <c r="O36" s="235">
        <v>32</v>
      </c>
      <c r="P36" s="235">
        <v>1248</v>
      </c>
      <c r="Q36" s="235">
        <v>240</v>
      </c>
      <c r="R36" s="235">
        <f t="shared" si="4"/>
        <v>192.30769230769232</v>
      </c>
      <c r="S36" s="235">
        <f>ROUND(R36*CPI!$B$120/VLOOKUP($I36,CPI!$A$1:$B$122,2,FALSE)/1000,2)*1000</f>
        <v>290</v>
      </c>
      <c r="T36" s="232" t="s">
        <v>241</v>
      </c>
      <c r="U36" s="232" t="s">
        <v>248</v>
      </c>
      <c r="V36" s="232"/>
      <c r="W36" s="256" t="e">
        <f>SUM(((X36/SUM(X36:AB36))*5),((Y36/SUM(X36:AB36))*4),((Z36/SUM(X36:AB36))*3),((AA36/SUM(X36:AB36))*2),((AB36/SUM(X36:AB36)*1)))</f>
        <v>#DIV/0!</v>
      </c>
      <c r="X36" s="257"/>
      <c r="Y36" s="257"/>
      <c r="Z36" s="257"/>
      <c r="AA36" s="257"/>
      <c r="AB36" s="257"/>
      <c r="AC36" s="250">
        <f t="shared" si="3"/>
        <v>1999</v>
      </c>
      <c r="AE36" s="276"/>
      <c r="AF36" s="119"/>
      <c r="AG36" s="119"/>
      <c r="AH36" s="277"/>
      <c r="AI36" s="277"/>
      <c r="AJ36" s="277"/>
    </row>
    <row r="37" spans="2:36" ht="13.5" customHeight="1">
      <c r="B37" s="69">
        <v>1</v>
      </c>
      <c r="C37" s="69">
        <v>35</v>
      </c>
      <c r="D37" s="233" t="s">
        <v>128</v>
      </c>
      <c r="E37" s="233" t="s">
        <v>1125</v>
      </c>
      <c r="F37" s="232" t="s">
        <v>93</v>
      </c>
      <c r="G37" s="232" t="s">
        <v>200</v>
      </c>
      <c r="H37" s="232" t="s">
        <v>132</v>
      </c>
      <c r="I37" s="232">
        <v>2000</v>
      </c>
      <c r="J37" s="232"/>
      <c r="K37" s="134">
        <f t="shared" si="2"/>
        <v>19</v>
      </c>
      <c r="L37" s="232">
        <v>2015</v>
      </c>
      <c r="M37" s="234">
        <v>85619</v>
      </c>
      <c r="N37" s="235">
        <f>292*3.28084</f>
        <v>958.00527999999997</v>
      </c>
      <c r="O37" s="235">
        <v>32</v>
      </c>
      <c r="P37" s="235">
        <v>2210</v>
      </c>
      <c r="Q37" s="235">
        <v>335</v>
      </c>
      <c r="R37" s="235">
        <f t="shared" si="4"/>
        <v>151.58371040723981</v>
      </c>
      <c r="S37" s="235">
        <f>ROUND(R37*CPI!$B$120/VLOOKUP($I37,CPI!$A$1:$B$122,2,FALSE)/1000,2)*1000</f>
        <v>220</v>
      </c>
      <c r="T37" s="232" t="s">
        <v>224</v>
      </c>
      <c r="U37" s="232" t="s">
        <v>222</v>
      </c>
      <c r="V37" s="232"/>
      <c r="W37" s="256"/>
      <c r="X37" s="257"/>
      <c r="Y37" s="257"/>
      <c r="Z37" s="257"/>
      <c r="AA37" s="257"/>
      <c r="AB37" s="257"/>
      <c r="AC37" s="250">
        <f t="shared" si="3"/>
        <v>2000</v>
      </c>
      <c r="AE37" s="276"/>
      <c r="AF37" s="119"/>
      <c r="AG37" s="119"/>
      <c r="AH37" s="277"/>
      <c r="AI37" s="277"/>
      <c r="AJ37" s="277"/>
    </row>
    <row r="38" spans="2:36" ht="13.5" customHeight="1">
      <c r="B38" s="69">
        <v>1</v>
      </c>
      <c r="C38" s="69">
        <v>36</v>
      </c>
      <c r="D38" s="233" t="s">
        <v>126</v>
      </c>
      <c r="E38" s="233" t="s">
        <v>1126</v>
      </c>
      <c r="F38" s="232" t="s">
        <v>93</v>
      </c>
      <c r="G38" s="232" t="s">
        <v>200</v>
      </c>
      <c r="H38" s="232" t="s">
        <v>132</v>
      </c>
      <c r="I38" s="232">
        <v>2003</v>
      </c>
      <c r="J38" s="232"/>
      <c r="K38" s="134">
        <f t="shared" si="2"/>
        <v>16</v>
      </c>
      <c r="L38" s="232"/>
      <c r="M38" s="234">
        <v>102587</v>
      </c>
      <c r="N38" s="235">
        <f>272*3.28084</f>
        <v>892.38847999999996</v>
      </c>
      <c r="O38" s="235">
        <v>31</v>
      </c>
      <c r="P38" s="235">
        <v>2698</v>
      </c>
      <c r="Q38" s="235">
        <v>450</v>
      </c>
      <c r="R38" s="235">
        <f t="shared" si="4"/>
        <v>166.79021497405486</v>
      </c>
      <c r="S38" s="235">
        <f>ROUND(R38*CPI!$B$120/VLOOKUP($I38,CPI!$A$1:$B$122,2,FALSE)/1000,2)*1000</f>
        <v>230</v>
      </c>
      <c r="T38" s="232" t="s">
        <v>212</v>
      </c>
      <c r="U38" s="232" t="s">
        <v>226</v>
      </c>
      <c r="V38" s="232"/>
      <c r="W38" s="256" t="e">
        <f t="shared" ref="W38:W47" si="5">SUM(((X38/SUM(X38:AB38))*5),((Y38/SUM(X38:AB38))*4),((Z38/SUM(X38:AB38))*3),((AA38/SUM(X38:AB38))*2),((AB38/SUM(X38:AB38)*1)))</f>
        <v>#DIV/0!</v>
      </c>
      <c r="X38" s="257"/>
      <c r="Y38" s="257"/>
      <c r="Z38" s="257"/>
      <c r="AA38" s="257"/>
      <c r="AB38" s="257"/>
      <c r="AC38" s="250">
        <f t="shared" si="3"/>
        <v>2003</v>
      </c>
      <c r="AE38" s="276"/>
      <c r="AF38" s="119"/>
      <c r="AG38" s="119"/>
      <c r="AH38" s="277"/>
      <c r="AI38" s="277"/>
      <c r="AJ38" s="277"/>
    </row>
    <row r="39" spans="2:36" ht="13.5" customHeight="1">
      <c r="B39" s="69">
        <v>1</v>
      </c>
      <c r="C39" s="69">
        <v>37</v>
      </c>
      <c r="D39" s="233" t="s">
        <v>127</v>
      </c>
      <c r="E39" s="233" t="s">
        <v>1127</v>
      </c>
      <c r="F39" s="232" t="s">
        <v>93</v>
      </c>
      <c r="G39" s="232" t="s">
        <v>200</v>
      </c>
      <c r="H39" s="232" t="s">
        <v>132</v>
      </c>
      <c r="I39" s="232">
        <v>2003</v>
      </c>
      <c r="J39" s="232"/>
      <c r="K39" s="134">
        <f t="shared" si="2"/>
        <v>16</v>
      </c>
      <c r="L39" s="232">
        <v>2013</v>
      </c>
      <c r="M39" s="234">
        <v>85619</v>
      </c>
      <c r="N39" s="235">
        <f>292*3.28084</f>
        <v>958.00527999999997</v>
      </c>
      <c r="O39" s="235">
        <v>34</v>
      </c>
      <c r="P39" s="235">
        <v>2114</v>
      </c>
      <c r="Q39" s="235">
        <v>510</v>
      </c>
      <c r="R39" s="235">
        <f t="shared" si="4"/>
        <v>241.2488174077578</v>
      </c>
      <c r="S39" s="235">
        <f>ROUND(R39*CPI!$B$120/VLOOKUP($I39,CPI!$A$1:$B$122,2,FALSE)/1000,2)*1000</f>
        <v>330</v>
      </c>
      <c r="T39" s="232" t="s">
        <v>212</v>
      </c>
      <c r="U39" s="232" t="s">
        <v>222</v>
      </c>
      <c r="V39" s="232"/>
      <c r="W39" s="256" t="e">
        <f t="shared" si="5"/>
        <v>#DIV/0!</v>
      </c>
      <c r="X39" s="257"/>
      <c r="Y39" s="257"/>
      <c r="Z39" s="257"/>
      <c r="AA39" s="257"/>
      <c r="AB39" s="257"/>
      <c r="AC39" s="250">
        <f t="shared" si="3"/>
        <v>2003</v>
      </c>
      <c r="AE39" s="276"/>
      <c r="AF39" s="119"/>
      <c r="AG39" s="119"/>
      <c r="AH39" s="277"/>
      <c r="AI39" s="277"/>
      <c r="AJ39" s="277"/>
    </row>
    <row r="40" spans="2:36" ht="13.5" customHeight="1">
      <c r="B40" s="69">
        <v>1</v>
      </c>
      <c r="C40" s="69">
        <v>38</v>
      </c>
      <c r="D40" s="233" t="s">
        <v>129</v>
      </c>
      <c r="E40" s="233" t="s">
        <v>1128</v>
      </c>
      <c r="F40" s="232" t="s">
        <v>93</v>
      </c>
      <c r="G40" s="232" t="s">
        <v>200</v>
      </c>
      <c r="H40" s="232" t="s">
        <v>132</v>
      </c>
      <c r="I40" s="232">
        <v>2004</v>
      </c>
      <c r="J40" s="232"/>
      <c r="K40" s="134">
        <f t="shared" si="2"/>
        <v>15</v>
      </c>
      <c r="L40" s="232">
        <v>2009</v>
      </c>
      <c r="M40" s="234">
        <v>102587</v>
      </c>
      <c r="N40" s="235">
        <f>272*3.28084</f>
        <v>892.38847999999996</v>
      </c>
      <c r="O40" s="235">
        <v>32</v>
      </c>
      <c r="P40" s="235">
        <v>2698</v>
      </c>
      <c r="Q40" s="235">
        <v>450</v>
      </c>
      <c r="R40" s="235">
        <f t="shared" si="4"/>
        <v>166.79021497405486</v>
      </c>
      <c r="S40" s="235">
        <f>ROUND(R40*CPI!$B$120/VLOOKUP($I40,CPI!$A$1:$B$122,2,FALSE)/1000,2)*1000</f>
        <v>220</v>
      </c>
      <c r="T40" s="232" t="s">
        <v>212</v>
      </c>
      <c r="U40" s="232" t="s">
        <v>226</v>
      </c>
      <c r="V40" s="232"/>
      <c r="W40" s="256" t="e">
        <f t="shared" si="5"/>
        <v>#DIV/0!</v>
      </c>
      <c r="X40" s="257"/>
      <c r="Y40" s="257"/>
      <c r="Z40" s="257"/>
      <c r="AA40" s="257"/>
      <c r="AB40" s="257"/>
      <c r="AC40" s="250">
        <f t="shared" si="3"/>
        <v>2004</v>
      </c>
      <c r="AE40" s="276"/>
      <c r="AF40" s="119"/>
      <c r="AG40" s="119"/>
      <c r="AH40" s="277"/>
      <c r="AI40" s="277"/>
      <c r="AJ40" s="277"/>
    </row>
    <row r="41" spans="2:36" ht="13.5" customHeight="1">
      <c r="B41" s="69">
        <v>1</v>
      </c>
      <c r="C41" s="69">
        <v>39</v>
      </c>
      <c r="D41" s="233" t="s">
        <v>125</v>
      </c>
      <c r="E41" s="233" t="s">
        <v>1129</v>
      </c>
      <c r="F41" s="232" t="s">
        <v>93</v>
      </c>
      <c r="G41" s="232" t="s">
        <v>200</v>
      </c>
      <c r="H41" s="232" t="s">
        <v>132</v>
      </c>
      <c r="I41" s="232">
        <v>2007</v>
      </c>
      <c r="J41" s="232"/>
      <c r="K41" s="134">
        <f t="shared" si="2"/>
        <v>12</v>
      </c>
      <c r="L41" s="232"/>
      <c r="M41" s="234">
        <v>114147</v>
      </c>
      <c r="N41" s="235">
        <f>289*3.28084</f>
        <v>948.16276000000005</v>
      </c>
      <c r="O41" s="235">
        <v>32</v>
      </c>
      <c r="P41" s="235">
        <v>3014</v>
      </c>
      <c r="Q41" s="235">
        <v>510</v>
      </c>
      <c r="R41" s="235">
        <f t="shared" si="4"/>
        <v>169.21035169210353</v>
      </c>
      <c r="S41" s="235">
        <f>ROUND(R41*CPI!$B$120/VLOOKUP($I41,CPI!$A$1:$B$122,2,FALSE)/1000,2)*1000</f>
        <v>200</v>
      </c>
      <c r="T41" s="232" t="s">
        <v>212</v>
      </c>
      <c r="U41" s="232" t="s">
        <v>225</v>
      </c>
      <c r="V41" s="232"/>
      <c r="W41" s="256" t="e">
        <f t="shared" si="5"/>
        <v>#DIV/0!</v>
      </c>
      <c r="X41" s="257"/>
      <c r="Y41" s="257"/>
      <c r="Z41" s="257"/>
      <c r="AA41" s="257"/>
      <c r="AB41" s="257"/>
      <c r="AC41" s="250">
        <f t="shared" si="3"/>
        <v>2007</v>
      </c>
      <c r="AE41" s="276"/>
      <c r="AF41" s="119"/>
      <c r="AG41" s="119"/>
      <c r="AH41" s="277"/>
      <c r="AI41" s="277"/>
      <c r="AJ41" s="277"/>
    </row>
    <row r="42" spans="2:36" ht="13.5" customHeight="1">
      <c r="B42" s="69">
        <v>1</v>
      </c>
      <c r="C42" s="69">
        <v>40</v>
      </c>
      <c r="D42" s="233" t="s">
        <v>124</v>
      </c>
      <c r="E42" s="233" t="s">
        <v>1130</v>
      </c>
      <c r="F42" s="232" t="s">
        <v>93</v>
      </c>
      <c r="G42" s="232" t="s">
        <v>200</v>
      </c>
      <c r="H42" s="232" t="s">
        <v>132</v>
      </c>
      <c r="I42" s="232">
        <v>2009</v>
      </c>
      <c r="J42" s="232"/>
      <c r="K42" s="134">
        <f t="shared" si="2"/>
        <v>10</v>
      </c>
      <c r="L42" s="232"/>
      <c r="M42" s="234">
        <v>92720</v>
      </c>
      <c r="N42" s="235">
        <f>294*3.28084</f>
        <v>964.56695999999999</v>
      </c>
      <c r="O42" s="235">
        <v>34</v>
      </c>
      <c r="P42" s="235">
        <v>2260</v>
      </c>
      <c r="Q42" s="235">
        <v>550</v>
      </c>
      <c r="R42" s="235">
        <f t="shared" si="4"/>
        <v>243.36283185840708</v>
      </c>
      <c r="S42" s="235">
        <f>ROUND(R42*CPI!$B$120/VLOOKUP($I42,CPI!$A$1:$B$122,2,FALSE)/1000,2)*1000</f>
        <v>280</v>
      </c>
      <c r="T42" s="232" t="s">
        <v>212</v>
      </c>
      <c r="U42" s="232" t="s">
        <v>255</v>
      </c>
      <c r="V42" s="232"/>
      <c r="W42" s="256" t="e">
        <f t="shared" si="5"/>
        <v>#DIV/0!</v>
      </c>
      <c r="X42" s="257"/>
      <c r="Y42" s="257"/>
      <c r="Z42" s="257"/>
      <c r="AA42" s="257"/>
      <c r="AB42" s="257"/>
      <c r="AC42" s="250">
        <f t="shared" si="3"/>
        <v>2009</v>
      </c>
      <c r="AE42" s="276"/>
      <c r="AF42" s="119"/>
      <c r="AG42" s="119"/>
      <c r="AH42" s="277"/>
      <c r="AI42" s="277"/>
      <c r="AJ42" s="277"/>
    </row>
    <row r="43" spans="2:36" ht="13.5" customHeight="1">
      <c r="B43" s="69">
        <v>1</v>
      </c>
      <c r="C43" s="69">
        <v>41</v>
      </c>
      <c r="D43" s="233" t="s">
        <v>123</v>
      </c>
      <c r="E43" s="233" t="s">
        <v>1131</v>
      </c>
      <c r="F43" s="232" t="s">
        <v>93</v>
      </c>
      <c r="G43" s="232" t="s">
        <v>200</v>
      </c>
      <c r="H43" s="232" t="s">
        <v>132</v>
      </c>
      <c r="I43" s="232">
        <v>2009</v>
      </c>
      <c r="J43" s="232"/>
      <c r="K43" s="134">
        <f t="shared" si="2"/>
        <v>10</v>
      </c>
      <c r="L43" s="232"/>
      <c r="M43" s="234">
        <v>114288</v>
      </c>
      <c r="N43" s="235">
        <f>289*3.28084</f>
        <v>948.16276000000005</v>
      </c>
      <c r="O43" s="235">
        <v>32</v>
      </c>
      <c r="P43" s="235">
        <v>3014</v>
      </c>
      <c r="Q43" s="235">
        <v>510</v>
      </c>
      <c r="R43" s="235">
        <f t="shared" si="4"/>
        <v>169.21035169210353</v>
      </c>
      <c r="S43" s="235">
        <f>ROUND(R43*CPI!$B$120/VLOOKUP($I43,CPI!$A$1:$B$122,2,FALSE)/1000,2)*1000</f>
        <v>200</v>
      </c>
      <c r="T43" s="232" t="s">
        <v>212</v>
      </c>
      <c r="U43" s="232" t="s">
        <v>225</v>
      </c>
      <c r="V43" s="232"/>
      <c r="W43" s="256" t="e">
        <f t="shared" si="5"/>
        <v>#DIV/0!</v>
      </c>
      <c r="X43" s="257"/>
      <c r="Y43" s="257"/>
      <c r="Z43" s="257"/>
      <c r="AA43" s="257"/>
      <c r="AB43" s="257"/>
      <c r="AC43" s="250">
        <f t="shared" si="3"/>
        <v>2009</v>
      </c>
      <c r="AE43" s="276"/>
      <c r="AF43" s="119"/>
      <c r="AG43" s="119"/>
      <c r="AH43" s="277"/>
      <c r="AI43" s="277"/>
      <c r="AJ43" s="277"/>
    </row>
    <row r="44" spans="2:36" ht="13.5" customHeight="1">
      <c r="B44" s="69">
        <v>1</v>
      </c>
      <c r="C44" s="69">
        <v>42</v>
      </c>
      <c r="D44" s="233" t="s">
        <v>122</v>
      </c>
      <c r="E44" s="233" t="s">
        <v>1132</v>
      </c>
      <c r="F44" s="232" t="s">
        <v>93</v>
      </c>
      <c r="G44" s="232" t="s">
        <v>200</v>
      </c>
      <c r="H44" s="232" t="s">
        <v>132</v>
      </c>
      <c r="I44" s="232">
        <v>2010</v>
      </c>
      <c r="J44" s="232"/>
      <c r="K44" s="134">
        <f t="shared" si="2"/>
        <v>9</v>
      </c>
      <c r="L44" s="232"/>
      <c r="M44" s="234">
        <v>92720</v>
      </c>
      <c r="N44" s="235">
        <f>294*3.28084</f>
        <v>964.56695999999999</v>
      </c>
      <c r="O44" s="235">
        <v>34</v>
      </c>
      <c r="P44" s="235">
        <v>2260</v>
      </c>
      <c r="Q44" s="235">
        <v>670</v>
      </c>
      <c r="R44" s="235">
        <f t="shared" si="4"/>
        <v>296.46017699115043</v>
      </c>
      <c r="S44" s="235">
        <f>ROUND(R44*CPI!$B$120/VLOOKUP($I44,CPI!$A$1:$B$122,2,FALSE)/1000,2)*1000</f>
        <v>340</v>
      </c>
      <c r="T44" s="232" t="s">
        <v>212</v>
      </c>
      <c r="U44" s="232" t="s">
        <v>255</v>
      </c>
      <c r="V44" s="232"/>
      <c r="W44" s="256" t="e">
        <f t="shared" si="5"/>
        <v>#DIV/0!</v>
      </c>
      <c r="X44" s="257"/>
      <c r="Y44" s="257"/>
      <c r="Z44" s="257"/>
      <c r="AA44" s="257"/>
      <c r="AB44" s="257"/>
      <c r="AC44" s="250">
        <f t="shared" si="3"/>
        <v>2010</v>
      </c>
      <c r="AE44" s="276"/>
      <c r="AF44" s="119"/>
      <c r="AG44" s="119"/>
      <c r="AH44" s="277"/>
      <c r="AI44" s="277"/>
      <c r="AJ44" s="277"/>
    </row>
    <row r="45" spans="2:36" ht="13.5" customHeight="1">
      <c r="B45" s="69">
        <v>1</v>
      </c>
      <c r="C45" s="69">
        <v>43</v>
      </c>
      <c r="D45" s="233" t="s">
        <v>121</v>
      </c>
      <c r="E45" s="233" t="s">
        <v>1133</v>
      </c>
      <c r="F45" s="232" t="s">
        <v>93</v>
      </c>
      <c r="G45" s="232" t="s">
        <v>200</v>
      </c>
      <c r="H45" s="232" t="s">
        <v>132</v>
      </c>
      <c r="I45" s="232">
        <v>2011</v>
      </c>
      <c r="J45" s="232"/>
      <c r="K45" s="134">
        <f t="shared" si="2"/>
        <v>8</v>
      </c>
      <c r="L45" s="232"/>
      <c r="M45" s="234">
        <v>113216</v>
      </c>
      <c r="N45" s="235">
        <v>948</v>
      </c>
      <c r="O45" s="235">
        <v>32</v>
      </c>
      <c r="P45" s="235">
        <v>3020</v>
      </c>
      <c r="Q45" s="235">
        <v>600</v>
      </c>
      <c r="R45" s="235">
        <f t="shared" si="4"/>
        <v>198.6754966887417</v>
      </c>
      <c r="S45" s="235">
        <f>ROUND(R45*CPI!$B$120/VLOOKUP($I45,CPI!$A$1:$B$122,2,FALSE)/1000,2)*1000</f>
        <v>220</v>
      </c>
      <c r="T45" s="232" t="s">
        <v>212</v>
      </c>
      <c r="U45" s="232" t="s">
        <v>225</v>
      </c>
      <c r="V45" s="232"/>
      <c r="W45" s="256" t="e">
        <f t="shared" si="5"/>
        <v>#DIV/0!</v>
      </c>
      <c r="X45" s="257"/>
      <c r="Y45" s="257"/>
      <c r="Z45" s="257"/>
      <c r="AA45" s="257"/>
      <c r="AB45" s="257"/>
      <c r="AC45" s="250">
        <f t="shared" si="3"/>
        <v>2011</v>
      </c>
      <c r="AE45" s="276"/>
      <c r="AF45" s="119"/>
      <c r="AG45" s="119"/>
      <c r="AH45" s="277"/>
      <c r="AI45" s="277"/>
      <c r="AJ45" s="277"/>
    </row>
    <row r="46" spans="2:36" ht="13.5" customHeight="1">
      <c r="B46" s="69">
        <v>1</v>
      </c>
      <c r="C46" s="69">
        <v>44</v>
      </c>
      <c r="D46" s="233" t="s">
        <v>120</v>
      </c>
      <c r="E46" s="233" t="s">
        <v>1134</v>
      </c>
      <c r="F46" s="232" t="s">
        <v>93</v>
      </c>
      <c r="G46" s="232" t="s">
        <v>200</v>
      </c>
      <c r="H46" s="232" t="s">
        <v>132</v>
      </c>
      <c r="I46" s="232">
        <v>2012</v>
      </c>
      <c r="J46" s="232"/>
      <c r="K46" s="134">
        <f t="shared" si="2"/>
        <v>7</v>
      </c>
      <c r="L46" s="232"/>
      <c r="M46" s="234">
        <v>113216</v>
      </c>
      <c r="N46" s="235">
        <f>289*3.28084</f>
        <v>948.16276000000005</v>
      </c>
      <c r="O46" s="235">
        <v>32</v>
      </c>
      <c r="P46" s="235">
        <v>3014</v>
      </c>
      <c r="Q46" s="235">
        <v>600</v>
      </c>
      <c r="R46" s="235">
        <f t="shared" si="4"/>
        <v>199.07100199071002</v>
      </c>
      <c r="S46" s="235">
        <f>ROUND(R46*CPI!$B$120/VLOOKUP($I46,CPI!$A$1:$B$122,2,FALSE)/1000,2)*1000</f>
        <v>220</v>
      </c>
      <c r="T46" s="232" t="s">
        <v>212</v>
      </c>
      <c r="U46" s="232" t="s">
        <v>225</v>
      </c>
      <c r="V46" s="232"/>
      <c r="W46" s="256" t="e">
        <f t="shared" si="5"/>
        <v>#DIV/0!</v>
      </c>
      <c r="X46" s="257"/>
      <c r="Y46" s="257"/>
      <c r="Z46" s="257"/>
      <c r="AA46" s="257"/>
      <c r="AB46" s="257"/>
      <c r="AC46" s="250">
        <f t="shared" si="3"/>
        <v>2012</v>
      </c>
      <c r="AE46" s="276"/>
      <c r="AF46" s="119"/>
      <c r="AG46" s="119"/>
      <c r="AH46" s="277"/>
      <c r="AI46" s="277"/>
      <c r="AJ46" s="277"/>
    </row>
    <row r="47" spans="2:36" ht="13.5" customHeight="1">
      <c r="B47" s="69">
        <v>1</v>
      </c>
      <c r="C47" s="69">
        <v>45</v>
      </c>
      <c r="D47" s="233" t="s">
        <v>119</v>
      </c>
      <c r="E47" s="233" t="s">
        <v>1135</v>
      </c>
      <c r="F47" s="232" t="s">
        <v>93</v>
      </c>
      <c r="G47" s="232" t="s">
        <v>200</v>
      </c>
      <c r="H47" s="232" t="s">
        <v>132</v>
      </c>
      <c r="I47" s="232">
        <v>2014</v>
      </c>
      <c r="J47" s="232"/>
      <c r="K47" s="134">
        <f t="shared" si="2"/>
        <v>5</v>
      </c>
      <c r="L47" s="232"/>
      <c r="M47" s="234">
        <v>132500</v>
      </c>
      <c r="N47" s="235">
        <f>306*3.28084</f>
        <v>1003.93704</v>
      </c>
      <c r="O47" s="235">
        <v>29</v>
      </c>
      <c r="P47" s="235">
        <v>3772</v>
      </c>
      <c r="Q47" s="235">
        <v>735</v>
      </c>
      <c r="R47" s="235">
        <f t="shared" si="4"/>
        <v>194.85683987274655</v>
      </c>
      <c r="S47" s="235">
        <f>ROUND(R47*CPI!$B$120/VLOOKUP($I47,CPI!$A$1:$B$122,2,FALSE)/1000,2)*1000</f>
        <v>210</v>
      </c>
      <c r="T47" s="232" t="s">
        <v>212</v>
      </c>
      <c r="U47" s="232" t="s">
        <v>218</v>
      </c>
      <c r="V47" s="232"/>
      <c r="W47" s="256" t="e">
        <f t="shared" si="5"/>
        <v>#DIV/0!</v>
      </c>
      <c r="X47" s="257"/>
      <c r="Y47" s="257"/>
      <c r="Z47" s="257"/>
      <c r="AA47" s="257"/>
      <c r="AB47" s="257"/>
      <c r="AC47" s="250">
        <f t="shared" si="3"/>
        <v>2014</v>
      </c>
      <c r="AE47" s="276"/>
      <c r="AF47" s="119"/>
      <c r="AG47" s="119"/>
      <c r="AH47" s="277"/>
      <c r="AI47" s="277"/>
      <c r="AJ47" s="277"/>
    </row>
    <row r="48" spans="2:36" ht="13.5" customHeight="1">
      <c r="B48" s="69">
        <v>1</v>
      </c>
      <c r="C48" s="69">
        <v>46</v>
      </c>
      <c r="D48" s="249" t="s">
        <v>910</v>
      </c>
      <c r="E48" s="249" t="s">
        <v>1136</v>
      </c>
      <c r="F48" s="250" t="s">
        <v>93</v>
      </c>
      <c r="G48" s="250" t="s">
        <v>200</v>
      </c>
      <c r="H48" s="250" t="s">
        <v>132</v>
      </c>
      <c r="I48" s="250">
        <v>2019</v>
      </c>
      <c r="J48" s="250" t="s">
        <v>1052</v>
      </c>
      <c r="K48" s="134" t="str">
        <f t="shared" si="2"/>
        <v/>
      </c>
      <c r="L48" s="250"/>
      <c r="M48" s="251">
        <v>135500</v>
      </c>
      <c r="N48" s="252"/>
      <c r="O48" s="252">
        <f>M48/P48</f>
        <v>32.017958412098295</v>
      </c>
      <c r="P48" s="252">
        <v>4232</v>
      </c>
      <c r="Q48" s="252">
        <v>780</v>
      </c>
      <c r="R48" s="252">
        <f t="shared" si="4"/>
        <v>184.3100189035917</v>
      </c>
      <c r="S48" s="252">
        <f>ROUND(R48*CPI!$B$120/VLOOKUP($I48,CPI!$A$1:$B$140,2,FALSE)/1000,2)*1000</f>
        <v>180</v>
      </c>
      <c r="T48" s="250" t="s">
        <v>212</v>
      </c>
      <c r="U48" s="250" t="s">
        <v>755</v>
      </c>
      <c r="V48" s="250"/>
      <c r="W48" s="256"/>
      <c r="X48" s="257"/>
      <c r="Y48" s="257"/>
      <c r="Z48" s="257"/>
      <c r="AA48" s="257"/>
      <c r="AB48" s="257"/>
      <c r="AC48" s="250" t="str">
        <f t="shared" si="3"/>
        <v/>
      </c>
      <c r="AE48" s="276"/>
      <c r="AF48" s="119"/>
      <c r="AG48" s="119"/>
      <c r="AH48" s="277"/>
      <c r="AI48" s="277"/>
      <c r="AJ48" s="277"/>
    </row>
    <row r="49" spans="2:36" ht="13.5" customHeight="1">
      <c r="B49" s="69">
        <v>1</v>
      </c>
      <c r="C49" s="69">
        <v>47</v>
      </c>
      <c r="D49" s="249" t="s">
        <v>913</v>
      </c>
      <c r="E49" s="249" t="s">
        <v>1137</v>
      </c>
      <c r="F49" s="250" t="s">
        <v>93</v>
      </c>
      <c r="G49" s="250" t="s">
        <v>200</v>
      </c>
      <c r="H49" s="250" t="s">
        <v>132</v>
      </c>
      <c r="I49" s="250">
        <v>2019</v>
      </c>
      <c r="J49" s="250" t="s">
        <v>1051</v>
      </c>
      <c r="K49" s="134" t="str">
        <f t="shared" si="2"/>
        <v/>
      </c>
      <c r="L49" s="250"/>
      <c r="M49" s="251">
        <v>183900</v>
      </c>
      <c r="N49" s="252"/>
      <c r="O49" s="252">
        <f>M49/P49</f>
        <v>36.78</v>
      </c>
      <c r="P49" s="252">
        <v>5000</v>
      </c>
      <c r="Q49" s="252">
        <v>950</v>
      </c>
      <c r="R49" s="252">
        <f t="shared" si="4"/>
        <v>190</v>
      </c>
      <c r="S49" s="252">
        <f>ROUND(R49*CPI!$B$120/VLOOKUP($I49,CPI!$A$1:$B$140,2,FALSE)/1000,2)*1000</f>
        <v>190</v>
      </c>
      <c r="T49" s="250" t="s">
        <v>746</v>
      </c>
      <c r="U49" s="250" t="s">
        <v>755</v>
      </c>
      <c r="V49" s="250"/>
      <c r="W49" s="256"/>
      <c r="X49" s="257"/>
      <c r="Y49" s="257"/>
      <c r="Z49" s="257"/>
      <c r="AA49" s="257"/>
      <c r="AB49" s="257"/>
      <c r="AC49" s="250" t="str">
        <f t="shared" si="3"/>
        <v/>
      </c>
      <c r="AE49" s="276"/>
      <c r="AF49" s="119"/>
      <c r="AG49" s="119"/>
      <c r="AH49" s="277"/>
      <c r="AI49" s="277"/>
      <c r="AJ49" s="277"/>
    </row>
    <row r="50" spans="2:36" ht="13.5" customHeight="1">
      <c r="B50" s="69">
        <v>1</v>
      </c>
      <c r="C50" s="69">
        <v>48</v>
      </c>
      <c r="D50" s="249" t="s">
        <v>849</v>
      </c>
      <c r="E50" s="249" t="s">
        <v>1138</v>
      </c>
      <c r="F50" s="250" t="s">
        <v>93</v>
      </c>
      <c r="G50" s="250" t="s">
        <v>200</v>
      </c>
      <c r="H50" s="250" t="s">
        <v>132</v>
      </c>
      <c r="I50" s="250">
        <v>2020</v>
      </c>
      <c r="J50" s="250" t="s">
        <v>1050</v>
      </c>
      <c r="K50" s="134" t="str">
        <f t="shared" si="2"/>
        <v/>
      </c>
      <c r="L50" s="250"/>
      <c r="M50" s="251">
        <v>135500</v>
      </c>
      <c r="N50" s="252"/>
      <c r="O50" s="252">
        <f>M50/P50</f>
        <v>32.017958412098295</v>
      </c>
      <c r="P50" s="252">
        <v>4232</v>
      </c>
      <c r="Q50" s="252">
        <v>780</v>
      </c>
      <c r="R50" s="252">
        <f t="shared" si="4"/>
        <v>184.3100189035917</v>
      </c>
      <c r="S50" s="252">
        <f>ROUND(R50*CPI!$B$120/VLOOKUP($I50,CPI!$A$1:$B$140,2,FALSE)/1000,2)*1000</f>
        <v>180</v>
      </c>
      <c r="T50" s="250" t="s">
        <v>212</v>
      </c>
      <c r="U50" s="250" t="s">
        <v>755</v>
      </c>
      <c r="V50" s="250"/>
      <c r="W50" s="256"/>
      <c r="X50" s="257"/>
      <c r="Y50" s="257"/>
      <c r="Z50" s="257"/>
      <c r="AA50" s="257"/>
      <c r="AB50" s="257"/>
      <c r="AC50" s="250" t="str">
        <f t="shared" si="3"/>
        <v/>
      </c>
      <c r="AE50" s="276"/>
      <c r="AF50" s="119"/>
      <c r="AG50" s="119"/>
      <c r="AH50" s="277"/>
      <c r="AI50" s="277"/>
      <c r="AJ50" s="277"/>
    </row>
    <row r="51" spans="2:36" ht="13.5" customHeight="1">
      <c r="B51" s="69">
        <v>1</v>
      </c>
      <c r="C51" s="69">
        <v>49</v>
      </c>
      <c r="D51" s="249" t="s">
        <v>756</v>
      </c>
      <c r="E51" s="249" t="s">
        <v>1139</v>
      </c>
      <c r="F51" s="250" t="s">
        <v>93</v>
      </c>
      <c r="G51" s="250" t="s">
        <v>200</v>
      </c>
      <c r="H51" s="250" t="s">
        <v>132</v>
      </c>
      <c r="I51" s="250">
        <v>2021</v>
      </c>
      <c r="J51" s="250" t="s">
        <v>1046</v>
      </c>
      <c r="K51" s="134" t="str">
        <f t="shared" si="2"/>
        <v/>
      </c>
      <c r="L51" s="250"/>
      <c r="M51" s="251">
        <v>183900</v>
      </c>
      <c r="N51" s="252"/>
      <c r="O51" s="252">
        <f>M51/P51</f>
        <v>36.78</v>
      </c>
      <c r="P51" s="252">
        <v>5000</v>
      </c>
      <c r="Q51" s="252">
        <v>950</v>
      </c>
      <c r="R51" s="252">
        <f t="shared" si="4"/>
        <v>190</v>
      </c>
      <c r="S51" s="252">
        <f>ROUND(R51*CPI!$B$120/VLOOKUP($I51,CPI!$A$1:$B$140,2,FALSE)/1000,2)*1000</f>
        <v>180</v>
      </c>
      <c r="T51" s="250" t="s">
        <v>746</v>
      </c>
      <c r="U51" s="250" t="s">
        <v>755</v>
      </c>
      <c r="V51" s="250"/>
      <c r="W51" s="256"/>
      <c r="X51" s="257"/>
      <c r="Y51" s="257"/>
      <c r="Z51" s="257"/>
      <c r="AA51" s="257"/>
      <c r="AB51" s="257"/>
      <c r="AC51" s="250" t="str">
        <f t="shared" si="3"/>
        <v/>
      </c>
      <c r="AE51" s="276"/>
      <c r="AF51" s="119"/>
      <c r="AG51" s="119"/>
      <c r="AH51" s="277"/>
      <c r="AI51" s="277"/>
      <c r="AJ51" s="277"/>
    </row>
    <row r="52" spans="2:36" ht="13.5" customHeight="1">
      <c r="B52" s="69">
        <v>1</v>
      </c>
      <c r="C52" s="69">
        <v>50</v>
      </c>
      <c r="D52" s="233" t="s">
        <v>133</v>
      </c>
      <c r="E52" s="233" t="s">
        <v>1140</v>
      </c>
      <c r="F52" s="232" t="s">
        <v>93</v>
      </c>
      <c r="G52" s="232" t="s">
        <v>200</v>
      </c>
      <c r="H52" s="232" t="s">
        <v>143</v>
      </c>
      <c r="I52" s="232">
        <v>1996</v>
      </c>
      <c r="J52" s="232"/>
      <c r="K52" s="134">
        <f t="shared" si="2"/>
        <v>23</v>
      </c>
      <c r="L52" s="232">
        <v>2013</v>
      </c>
      <c r="M52" s="234">
        <v>38557</v>
      </c>
      <c r="N52" s="235">
        <f>193*3.28084</f>
        <v>633.20212000000004</v>
      </c>
      <c r="O52" s="235">
        <v>33</v>
      </c>
      <c r="P52" s="235">
        <v>1180</v>
      </c>
      <c r="Q52" s="235">
        <v>190</v>
      </c>
      <c r="R52" s="235">
        <f t="shared" si="4"/>
        <v>161.01694915254237</v>
      </c>
      <c r="S52" s="235">
        <f>ROUND(R52*CPI!$B$120/VLOOKUP($I52,CPI!$A$1:$B$122,2,FALSE)/1000,2)*1000</f>
        <v>250</v>
      </c>
      <c r="T52" s="232" t="s">
        <v>260</v>
      </c>
      <c r="U52" s="232" t="s">
        <v>248</v>
      </c>
      <c r="V52" s="232"/>
      <c r="W52" s="256"/>
      <c r="X52" s="257"/>
      <c r="Y52" s="257"/>
      <c r="Z52" s="257"/>
      <c r="AA52" s="257"/>
      <c r="AB52" s="257"/>
      <c r="AC52" s="250">
        <f t="shared" si="3"/>
        <v>1996</v>
      </c>
      <c r="AE52" s="276"/>
      <c r="AF52" s="119"/>
      <c r="AG52" s="119"/>
      <c r="AH52" s="277"/>
      <c r="AI52" s="277"/>
      <c r="AJ52" s="277"/>
    </row>
    <row r="53" spans="2:36" ht="13.5" customHeight="1">
      <c r="B53" s="69">
        <v>1</v>
      </c>
      <c r="C53" s="69">
        <v>51</v>
      </c>
      <c r="D53" s="233" t="s">
        <v>134</v>
      </c>
      <c r="E53" s="233" t="s">
        <v>1141</v>
      </c>
      <c r="F53" s="232" t="s">
        <v>93</v>
      </c>
      <c r="G53" s="232" t="s">
        <v>200</v>
      </c>
      <c r="H53" s="232" t="s">
        <v>143</v>
      </c>
      <c r="I53" s="232">
        <v>2002</v>
      </c>
      <c r="J53" s="232"/>
      <c r="K53" s="134">
        <f t="shared" si="2"/>
        <v>17</v>
      </c>
      <c r="L53" s="232">
        <v>2014</v>
      </c>
      <c r="M53" s="234">
        <v>42289</v>
      </c>
      <c r="N53" s="235">
        <f>202*3.28084</f>
        <v>662.72968000000003</v>
      </c>
      <c r="O53" s="235">
        <v>33</v>
      </c>
      <c r="P53" s="235">
        <v>1266</v>
      </c>
      <c r="Q53" s="235">
        <v>350</v>
      </c>
      <c r="R53" s="235">
        <f t="shared" si="4"/>
        <v>276.46129541864138</v>
      </c>
      <c r="S53" s="235">
        <f>ROUND(R53*CPI!$B$120/VLOOKUP($I53,CPI!$A$1:$B$122,2,FALSE)/1000,2)*1000</f>
        <v>380</v>
      </c>
      <c r="T53" s="232" t="s">
        <v>258</v>
      </c>
      <c r="U53" s="232" t="s">
        <v>248</v>
      </c>
      <c r="V53" s="232"/>
      <c r="W53" s="256"/>
      <c r="X53" s="257"/>
      <c r="Y53" s="257"/>
      <c r="Z53" s="257"/>
      <c r="AA53" s="257"/>
      <c r="AB53" s="257"/>
      <c r="AC53" s="250">
        <f t="shared" si="3"/>
        <v>2002</v>
      </c>
      <c r="AE53" s="276"/>
      <c r="AF53" s="119"/>
      <c r="AG53" s="119"/>
      <c r="AH53" s="277"/>
      <c r="AI53" s="277"/>
      <c r="AJ53" s="277"/>
    </row>
    <row r="54" spans="2:36" ht="13.5" customHeight="1">
      <c r="B54" s="69">
        <v>1</v>
      </c>
      <c r="C54" s="69">
        <v>52</v>
      </c>
      <c r="D54" s="233" t="s">
        <v>135</v>
      </c>
      <c r="E54" s="233" t="s">
        <v>1142</v>
      </c>
      <c r="F54" s="232" t="s">
        <v>93</v>
      </c>
      <c r="G54" s="232" t="s">
        <v>200</v>
      </c>
      <c r="H54" s="232" t="s">
        <v>143</v>
      </c>
      <c r="I54" s="232">
        <v>2003</v>
      </c>
      <c r="J54" s="232"/>
      <c r="K54" s="134">
        <f t="shared" si="2"/>
        <v>16</v>
      </c>
      <c r="L54" s="232">
        <v>2013</v>
      </c>
      <c r="M54" s="234">
        <v>42289</v>
      </c>
      <c r="N54" s="235">
        <f>202*3.28084</f>
        <v>662.72968000000003</v>
      </c>
      <c r="O54" s="235">
        <v>33</v>
      </c>
      <c r="P54" s="235">
        <v>1266</v>
      </c>
      <c r="Q54" s="235">
        <v>350</v>
      </c>
      <c r="R54" s="235">
        <f t="shared" si="4"/>
        <v>276.46129541864138</v>
      </c>
      <c r="S54" s="235">
        <f>ROUND(R54*CPI!$B$120/VLOOKUP($I54,CPI!$A$1:$B$122,2,FALSE)/1000,2)*1000</f>
        <v>380</v>
      </c>
      <c r="T54" s="232" t="s">
        <v>258</v>
      </c>
      <c r="U54" s="232" t="s">
        <v>248</v>
      </c>
      <c r="V54" s="232"/>
      <c r="W54" s="256"/>
      <c r="X54" s="257"/>
      <c r="Y54" s="257"/>
      <c r="Z54" s="257"/>
      <c r="AA54" s="257"/>
      <c r="AB54" s="257"/>
      <c r="AC54" s="250">
        <f t="shared" si="3"/>
        <v>2003</v>
      </c>
      <c r="AE54" s="276"/>
      <c r="AF54" s="119"/>
      <c r="AG54" s="119"/>
      <c r="AH54" s="277"/>
      <c r="AI54" s="277"/>
      <c r="AJ54" s="277"/>
    </row>
    <row r="55" spans="2:36" ht="13.5" customHeight="1">
      <c r="B55" s="69">
        <v>1</v>
      </c>
      <c r="C55" s="69">
        <v>53</v>
      </c>
      <c r="D55" s="233" t="s">
        <v>136</v>
      </c>
      <c r="E55" s="233" t="s">
        <v>1143</v>
      </c>
      <c r="F55" s="232" t="s">
        <v>93</v>
      </c>
      <c r="G55" s="232" t="s">
        <v>200</v>
      </c>
      <c r="H55" s="232" t="s">
        <v>143</v>
      </c>
      <c r="I55" s="232">
        <v>2007</v>
      </c>
      <c r="J55" s="232"/>
      <c r="K55" s="134">
        <f t="shared" si="2"/>
        <v>12</v>
      </c>
      <c r="L55" s="232"/>
      <c r="M55" s="234">
        <v>69203</v>
      </c>
      <c r="N55" s="235">
        <f>251*3.28084</f>
        <v>823.49084000000005</v>
      </c>
      <c r="O55" s="235">
        <v>34</v>
      </c>
      <c r="P55" s="235">
        <v>2050</v>
      </c>
      <c r="Q55" s="235">
        <v>390</v>
      </c>
      <c r="R55" s="235">
        <f t="shared" si="4"/>
        <v>190.2439024390244</v>
      </c>
      <c r="S55" s="235">
        <f>ROUND(R55*CPI!$B$120/VLOOKUP($I55,CPI!$A$1:$B$122,2,FALSE)/1000,2)*1000</f>
        <v>230</v>
      </c>
      <c r="T55" s="232" t="s">
        <v>228</v>
      </c>
      <c r="U55" s="232" t="s">
        <v>259</v>
      </c>
      <c r="V55" s="232"/>
      <c r="W55" s="256"/>
      <c r="X55" s="257"/>
      <c r="Y55" s="257"/>
      <c r="Z55" s="257"/>
      <c r="AA55" s="257"/>
      <c r="AB55" s="257"/>
      <c r="AC55" s="250">
        <f t="shared" si="3"/>
        <v>2007</v>
      </c>
      <c r="AE55" s="276"/>
      <c r="AF55" s="119"/>
      <c r="AG55" s="119"/>
      <c r="AH55" s="277"/>
      <c r="AI55" s="277"/>
      <c r="AJ55" s="277"/>
    </row>
    <row r="56" spans="2:36" ht="13.5" customHeight="1">
      <c r="B56" s="69">
        <v>1</v>
      </c>
      <c r="C56" s="69">
        <v>54</v>
      </c>
      <c r="D56" s="233" t="s">
        <v>137</v>
      </c>
      <c r="E56" s="233" t="s">
        <v>1144</v>
      </c>
      <c r="F56" s="232" t="s">
        <v>93</v>
      </c>
      <c r="G56" s="232" t="s">
        <v>200</v>
      </c>
      <c r="H56" s="232" t="s">
        <v>143</v>
      </c>
      <c r="I56" s="232">
        <v>2008</v>
      </c>
      <c r="J56" s="232"/>
      <c r="K56" s="134">
        <f t="shared" si="2"/>
        <v>11</v>
      </c>
      <c r="L56" s="232"/>
      <c r="M56" s="234">
        <v>69203</v>
      </c>
      <c r="N56" s="235">
        <f>251*3.28084</f>
        <v>823.49084000000005</v>
      </c>
      <c r="O56" s="235">
        <v>34</v>
      </c>
      <c r="P56" s="235">
        <v>2050</v>
      </c>
      <c r="Q56" s="235">
        <v>390</v>
      </c>
      <c r="R56" s="235">
        <f t="shared" si="4"/>
        <v>190.2439024390244</v>
      </c>
      <c r="S56" s="235">
        <f>ROUND(R56*CPI!$B$120/VLOOKUP($I56,CPI!$A$1:$B$122,2,FALSE)/1000,2)*1000</f>
        <v>230</v>
      </c>
      <c r="T56" s="232" t="s">
        <v>228</v>
      </c>
      <c r="U56" s="232" t="s">
        <v>259</v>
      </c>
      <c r="V56" s="232"/>
      <c r="W56" s="256"/>
      <c r="X56" s="257"/>
      <c r="Y56" s="257"/>
      <c r="Z56" s="257"/>
      <c r="AA56" s="257"/>
      <c r="AB56" s="257"/>
      <c r="AC56" s="250">
        <f t="shared" si="3"/>
        <v>2008</v>
      </c>
      <c r="AE56" s="276"/>
      <c r="AF56" s="119"/>
      <c r="AG56" s="119"/>
      <c r="AH56" s="277"/>
      <c r="AI56" s="277"/>
      <c r="AJ56" s="277"/>
    </row>
    <row r="57" spans="2:36" ht="13.5" customHeight="1">
      <c r="B57" s="69">
        <v>1</v>
      </c>
      <c r="C57" s="69">
        <v>55</v>
      </c>
      <c r="D57" s="233" t="s">
        <v>138</v>
      </c>
      <c r="E57" s="233" t="s">
        <v>1145</v>
      </c>
      <c r="F57" s="232" t="s">
        <v>93</v>
      </c>
      <c r="G57" s="232" t="s">
        <v>200</v>
      </c>
      <c r="H57" s="232" t="s">
        <v>143</v>
      </c>
      <c r="I57" s="232">
        <v>2009</v>
      </c>
      <c r="J57" s="232"/>
      <c r="K57" s="134">
        <f t="shared" si="2"/>
        <v>10</v>
      </c>
      <c r="L57" s="232"/>
      <c r="M57" s="234">
        <v>69203</v>
      </c>
      <c r="N57" s="235">
        <f>251*3.28084</f>
        <v>823.49084000000005</v>
      </c>
      <c r="O57" s="235">
        <v>34</v>
      </c>
      <c r="P57" s="235">
        <v>2050</v>
      </c>
      <c r="Q57" s="235">
        <v>390</v>
      </c>
      <c r="R57" s="235">
        <f t="shared" si="4"/>
        <v>190.2439024390244</v>
      </c>
      <c r="S57" s="235">
        <f>ROUND(R57*CPI!$B$120/VLOOKUP($I57,CPI!$A$1:$B$122,2,FALSE)/1000,2)*1000</f>
        <v>220</v>
      </c>
      <c r="T57" s="232" t="s">
        <v>228</v>
      </c>
      <c r="U57" s="232" t="s">
        <v>259</v>
      </c>
      <c r="V57" s="232"/>
      <c r="W57" s="256"/>
      <c r="X57" s="257"/>
      <c r="Y57" s="257"/>
      <c r="Z57" s="257"/>
      <c r="AA57" s="257"/>
      <c r="AB57" s="257"/>
      <c r="AC57" s="250">
        <f t="shared" si="3"/>
        <v>2009</v>
      </c>
      <c r="AE57" s="276"/>
      <c r="AF57" s="119"/>
      <c r="AG57" s="119"/>
      <c r="AH57" s="277"/>
      <c r="AI57" s="277"/>
      <c r="AJ57" s="277"/>
    </row>
    <row r="58" spans="2:36" ht="13.5" customHeight="1">
      <c r="B58" s="69">
        <v>1</v>
      </c>
      <c r="C58" s="69">
        <v>56</v>
      </c>
      <c r="D58" s="233" t="s">
        <v>139</v>
      </c>
      <c r="E58" s="233" t="s">
        <v>1146</v>
      </c>
      <c r="F58" s="232" t="s">
        <v>93</v>
      </c>
      <c r="G58" s="232" t="s">
        <v>200</v>
      </c>
      <c r="H58" s="232" t="s">
        <v>143</v>
      </c>
      <c r="I58" s="232">
        <v>2010</v>
      </c>
      <c r="J58" s="232"/>
      <c r="K58" s="134">
        <f t="shared" si="2"/>
        <v>9</v>
      </c>
      <c r="L58" s="232"/>
      <c r="M58" s="234">
        <v>71304</v>
      </c>
      <c r="N58" s="235">
        <f>253*3.28084</f>
        <v>830.05251999999996</v>
      </c>
      <c r="O58" s="235">
        <v>33</v>
      </c>
      <c r="P58" s="235">
        <v>2192</v>
      </c>
      <c r="Q58" s="235">
        <v>420</v>
      </c>
      <c r="R58" s="235">
        <f t="shared" si="4"/>
        <v>191.60583941605839</v>
      </c>
      <c r="S58" s="235">
        <f>ROUND(R58*CPI!$B$120/VLOOKUP($I58,CPI!$A$1:$B$122,2,FALSE)/1000,2)*1000</f>
        <v>220</v>
      </c>
      <c r="T58" s="232" t="s">
        <v>228</v>
      </c>
      <c r="U58" s="232" t="s">
        <v>259</v>
      </c>
      <c r="V58" s="232"/>
      <c r="W58" s="256"/>
      <c r="X58" s="257"/>
      <c r="Y58" s="257"/>
      <c r="Z58" s="257"/>
      <c r="AA58" s="257"/>
      <c r="AB58" s="257"/>
      <c r="AC58" s="250">
        <f t="shared" si="3"/>
        <v>2010</v>
      </c>
      <c r="AE58" s="276"/>
      <c r="AF58" s="119"/>
      <c r="AG58" s="119"/>
      <c r="AH58" s="277"/>
      <c r="AI58" s="277"/>
      <c r="AJ58" s="277"/>
    </row>
    <row r="59" spans="2:36" ht="13.5" customHeight="1">
      <c r="B59" s="69">
        <v>1</v>
      </c>
      <c r="C59" s="69">
        <v>57</v>
      </c>
      <c r="D59" s="233" t="s">
        <v>140</v>
      </c>
      <c r="E59" s="233" t="s">
        <v>1147</v>
      </c>
      <c r="F59" s="232" t="s">
        <v>93</v>
      </c>
      <c r="G59" s="232" t="s">
        <v>200</v>
      </c>
      <c r="H59" s="232" t="s">
        <v>143</v>
      </c>
      <c r="I59" s="232">
        <v>2011</v>
      </c>
      <c r="J59" s="232"/>
      <c r="K59" s="134">
        <f t="shared" si="2"/>
        <v>8</v>
      </c>
      <c r="L59" s="232"/>
      <c r="M59" s="234">
        <v>71304</v>
      </c>
      <c r="N59" s="235">
        <f>253*3.28084</f>
        <v>830.05251999999996</v>
      </c>
      <c r="O59" s="235">
        <v>33</v>
      </c>
      <c r="P59" s="235">
        <v>2194</v>
      </c>
      <c r="Q59" s="235">
        <v>420</v>
      </c>
      <c r="R59" s="235">
        <f t="shared" si="4"/>
        <v>191.43117593436645</v>
      </c>
      <c r="S59" s="235">
        <f>ROUND(R59*CPI!$B$120/VLOOKUP($I59,CPI!$A$1:$B$122,2,FALSE)/1000,2)*1000</f>
        <v>210</v>
      </c>
      <c r="T59" s="232" t="s">
        <v>228</v>
      </c>
      <c r="U59" s="232" t="s">
        <v>259</v>
      </c>
      <c r="V59" s="232"/>
      <c r="W59" s="256"/>
      <c r="X59" s="257"/>
      <c r="Y59" s="257"/>
      <c r="Z59" s="257"/>
      <c r="AA59" s="257"/>
      <c r="AB59" s="257"/>
      <c r="AC59" s="250">
        <f t="shared" si="3"/>
        <v>2011</v>
      </c>
      <c r="AE59" s="276"/>
      <c r="AF59" s="119"/>
      <c r="AG59" s="119"/>
      <c r="AH59" s="277"/>
      <c r="AI59" s="277"/>
      <c r="AJ59" s="277"/>
    </row>
    <row r="60" spans="2:36" ht="13.5" customHeight="1">
      <c r="B60" s="69">
        <v>1</v>
      </c>
      <c r="C60" s="69">
        <v>58</v>
      </c>
      <c r="D60" s="233" t="s">
        <v>141</v>
      </c>
      <c r="E60" s="233" t="s">
        <v>1148</v>
      </c>
      <c r="F60" s="232" t="s">
        <v>93</v>
      </c>
      <c r="G60" s="232" t="s">
        <v>200</v>
      </c>
      <c r="H60" s="232" t="s">
        <v>143</v>
      </c>
      <c r="I60" s="232">
        <v>2012</v>
      </c>
      <c r="J60" s="232"/>
      <c r="K60" s="134">
        <f t="shared" si="2"/>
        <v>7</v>
      </c>
      <c r="L60" s="232"/>
      <c r="M60" s="234">
        <v>71304</v>
      </c>
      <c r="N60" s="235">
        <f>253*3.28084</f>
        <v>830.05251999999996</v>
      </c>
      <c r="O60" s="235">
        <v>33</v>
      </c>
      <c r="P60" s="235">
        <v>2194</v>
      </c>
      <c r="Q60" s="235">
        <v>420</v>
      </c>
      <c r="R60" s="235">
        <f t="shared" si="4"/>
        <v>191.43117593436645</v>
      </c>
      <c r="S60" s="235">
        <f>ROUND(R60*CPI!$B$120/VLOOKUP($I60,CPI!$A$1:$B$122,2,FALSE)/1000,2)*1000</f>
        <v>210</v>
      </c>
      <c r="T60" s="232" t="s">
        <v>228</v>
      </c>
      <c r="U60" s="232" t="s">
        <v>259</v>
      </c>
      <c r="V60" s="232"/>
      <c r="W60" s="256"/>
      <c r="X60" s="257"/>
      <c r="Y60" s="257"/>
      <c r="Z60" s="257"/>
      <c r="AA60" s="257"/>
      <c r="AB60" s="257"/>
      <c r="AC60" s="250">
        <f t="shared" si="3"/>
        <v>2012</v>
      </c>
      <c r="AE60" s="276"/>
      <c r="AF60" s="119"/>
      <c r="AG60" s="119"/>
      <c r="AH60" s="277"/>
      <c r="AI60" s="277"/>
      <c r="AJ60" s="277"/>
    </row>
    <row r="61" spans="2:36" ht="13.5" customHeight="1">
      <c r="B61" s="69">
        <v>1</v>
      </c>
      <c r="C61" s="69">
        <v>59</v>
      </c>
      <c r="D61" s="233" t="s">
        <v>142</v>
      </c>
      <c r="E61" s="233" t="s">
        <v>1149</v>
      </c>
      <c r="F61" s="232" t="s">
        <v>93</v>
      </c>
      <c r="G61" s="232" t="s">
        <v>200</v>
      </c>
      <c r="H61" s="232" t="s">
        <v>143</v>
      </c>
      <c r="I61" s="232">
        <v>2013</v>
      </c>
      <c r="J61" s="232"/>
      <c r="K61" s="134">
        <f t="shared" si="2"/>
        <v>6</v>
      </c>
      <c r="L61" s="232"/>
      <c r="M61" s="234">
        <v>71304</v>
      </c>
      <c r="N61" s="235">
        <v>830</v>
      </c>
      <c r="O61" s="235">
        <v>33</v>
      </c>
      <c r="P61" s="235">
        <v>2194</v>
      </c>
      <c r="Q61" s="235">
        <v>420</v>
      </c>
      <c r="R61" s="235">
        <f t="shared" si="4"/>
        <v>191.43117593436645</v>
      </c>
      <c r="S61" s="235">
        <f>ROUND(R61*CPI!$B$120/VLOOKUP($I61,CPI!$A$1:$B$122,2,FALSE)/1000,2)*1000</f>
        <v>210</v>
      </c>
      <c r="T61" s="232" t="s">
        <v>228</v>
      </c>
      <c r="U61" s="232" t="s">
        <v>259</v>
      </c>
      <c r="V61" s="232"/>
      <c r="W61" s="256"/>
      <c r="X61" s="257"/>
      <c r="Y61" s="257"/>
      <c r="Z61" s="257"/>
      <c r="AA61" s="257"/>
      <c r="AB61" s="257"/>
      <c r="AC61" s="250">
        <f t="shared" si="3"/>
        <v>2013</v>
      </c>
      <c r="AE61" s="276"/>
      <c r="AF61" s="119"/>
      <c r="AG61" s="119"/>
      <c r="AH61" s="277"/>
      <c r="AI61" s="277"/>
      <c r="AJ61" s="277"/>
    </row>
    <row r="62" spans="2:36" ht="13.5" customHeight="1">
      <c r="B62" s="69">
        <v>1</v>
      </c>
      <c r="C62" s="69">
        <v>60</v>
      </c>
      <c r="D62" s="233" t="s">
        <v>695</v>
      </c>
      <c r="E62" s="233" t="s">
        <v>1150</v>
      </c>
      <c r="F62" s="232" t="s">
        <v>93</v>
      </c>
      <c r="G62" s="232" t="s">
        <v>200</v>
      </c>
      <c r="H62" s="232" t="s">
        <v>143</v>
      </c>
      <c r="I62" s="232">
        <v>2016</v>
      </c>
      <c r="J62" s="232"/>
      <c r="K62" s="134">
        <f t="shared" si="2"/>
        <v>3</v>
      </c>
      <c r="L62" s="232"/>
      <c r="M62" s="234">
        <v>124500</v>
      </c>
      <c r="N62" s="235">
        <f>300*3.28084</f>
        <v>984.25199999999995</v>
      </c>
      <c r="O62" s="235">
        <v>38</v>
      </c>
      <c r="P62" s="235">
        <v>3286</v>
      </c>
      <c r="Q62" s="235">
        <v>645</v>
      </c>
      <c r="R62" s="235">
        <f t="shared" si="4"/>
        <v>196.28727936701156</v>
      </c>
      <c r="S62" s="235">
        <f>ROUND(R62*CPI!$B$120/VLOOKUP($I62,CPI!$A$1:$B$122,2,FALSE)/1000,2)*1000</f>
        <v>200</v>
      </c>
      <c r="T62" s="232" t="s">
        <v>696</v>
      </c>
      <c r="U62" s="232" t="s">
        <v>248</v>
      </c>
      <c r="V62" s="232"/>
      <c r="W62" s="256" t="e">
        <f>SUM(((X62/SUM(X62:AB62))*5),((Y62/SUM(X62:AB62))*4),((Z62/SUM(X62:AB62))*3),((AA62/SUM(X62:AB62))*2),((AB62/SUM(X62:AB62)*1)))</f>
        <v>#DIV/0!</v>
      </c>
      <c r="X62" s="257"/>
      <c r="Y62" s="257"/>
      <c r="Z62" s="257"/>
      <c r="AA62" s="257"/>
      <c r="AB62" s="257"/>
      <c r="AC62" s="250">
        <f t="shared" si="3"/>
        <v>2016</v>
      </c>
      <c r="AE62" s="276"/>
      <c r="AF62" s="119"/>
      <c r="AG62" s="119"/>
      <c r="AH62" s="277"/>
      <c r="AI62" s="277"/>
      <c r="AJ62" s="277"/>
    </row>
    <row r="63" spans="2:36" ht="13.5" customHeight="1">
      <c r="B63" s="69">
        <v>1</v>
      </c>
      <c r="C63" s="69">
        <v>61</v>
      </c>
      <c r="D63" s="233" t="s">
        <v>444</v>
      </c>
      <c r="E63" s="233" t="s">
        <v>1151</v>
      </c>
      <c r="F63" s="232" t="s">
        <v>93</v>
      </c>
      <c r="G63" s="232" t="s">
        <v>200</v>
      </c>
      <c r="H63" s="232" t="s">
        <v>143</v>
      </c>
      <c r="I63" s="232">
        <v>2017</v>
      </c>
      <c r="J63" s="232"/>
      <c r="K63" s="134">
        <f t="shared" si="2"/>
        <v>2</v>
      </c>
      <c r="L63" s="232"/>
      <c r="M63" s="234">
        <v>125000</v>
      </c>
      <c r="N63" s="235">
        <v>984</v>
      </c>
      <c r="O63" s="235">
        <v>38</v>
      </c>
      <c r="P63" s="235">
        <v>3250</v>
      </c>
      <c r="Q63" s="235">
        <v>650</v>
      </c>
      <c r="R63" s="235">
        <f t="shared" si="4"/>
        <v>200</v>
      </c>
      <c r="S63" s="235">
        <f>ROUND(R63*CPI!$B$120/VLOOKUP($I63,CPI!$A$1:$B$140,2,FALSE)/1000,2)*1000</f>
        <v>200</v>
      </c>
      <c r="T63" s="232" t="s">
        <v>696</v>
      </c>
      <c r="U63" s="232" t="s">
        <v>248</v>
      </c>
      <c r="V63" s="232"/>
      <c r="W63" s="256" t="e">
        <f>SUM(((X63/SUM(X63:AB63))*5),((Y63/SUM(X63:AB63))*4),((Z63/SUM(X63:AB63))*3),((AA63/SUM(X63:AB63))*2),((AB63/SUM(X63:AB63)*1)))</f>
        <v>#DIV/0!</v>
      </c>
      <c r="X63" s="257"/>
      <c r="Y63" s="257"/>
      <c r="Z63" s="257"/>
      <c r="AA63" s="257"/>
      <c r="AB63" s="257"/>
      <c r="AC63" s="250">
        <f t="shared" si="3"/>
        <v>2017</v>
      </c>
      <c r="AE63" s="276"/>
      <c r="AF63" s="119"/>
      <c r="AG63" s="119"/>
      <c r="AH63" s="277"/>
      <c r="AI63" s="277"/>
      <c r="AJ63" s="277"/>
    </row>
    <row r="64" spans="2:36" ht="13.5" customHeight="1">
      <c r="B64" s="69">
        <v>1</v>
      </c>
      <c r="C64" s="69">
        <v>62</v>
      </c>
      <c r="D64" s="249" t="s">
        <v>808</v>
      </c>
      <c r="E64" s="249" t="s">
        <v>1152</v>
      </c>
      <c r="F64" s="250" t="s">
        <v>93</v>
      </c>
      <c r="G64" s="250" t="s">
        <v>200</v>
      </c>
      <c r="H64" s="250" t="s">
        <v>143</v>
      </c>
      <c r="I64" s="250">
        <v>2018</v>
      </c>
      <c r="J64" s="250" t="s">
        <v>1044</v>
      </c>
      <c r="K64" s="134">
        <f t="shared" si="2"/>
        <v>1</v>
      </c>
      <c r="L64" s="250"/>
      <c r="M64" s="251">
        <v>183900</v>
      </c>
      <c r="N64" s="252"/>
      <c r="O64" s="252">
        <f>M64/P64</f>
        <v>35.365384615384613</v>
      </c>
      <c r="P64" s="252">
        <v>5200</v>
      </c>
      <c r="Q64" s="252">
        <v>950</v>
      </c>
      <c r="R64" s="252">
        <f t="shared" si="4"/>
        <v>182.69230769230768</v>
      </c>
      <c r="S64" s="252">
        <f>ROUND(R64*CPI!$B$120/VLOOKUP($I64,CPI!$A$1:$B$140,2,FALSE)/1000,2)*1000</f>
        <v>180</v>
      </c>
      <c r="T64" s="250" t="s">
        <v>228</v>
      </c>
      <c r="U64" s="250" t="s">
        <v>248</v>
      </c>
      <c r="V64" s="250"/>
      <c r="W64" s="256"/>
      <c r="X64" s="257"/>
      <c r="Y64" s="257"/>
      <c r="Z64" s="257"/>
      <c r="AA64" s="257"/>
      <c r="AB64" s="257"/>
      <c r="AC64" s="250">
        <f t="shared" si="3"/>
        <v>2018</v>
      </c>
      <c r="AE64" s="276"/>
      <c r="AF64" s="119"/>
      <c r="AG64" s="119"/>
      <c r="AH64" s="277"/>
      <c r="AI64" s="277"/>
      <c r="AJ64" s="277"/>
    </row>
    <row r="65" spans="2:36" ht="13.5" customHeight="1">
      <c r="B65" s="69">
        <v>1</v>
      </c>
      <c r="C65" s="69">
        <v>63</v>
      </c>
      <c r="D65" s="249" t="s">
        <v>767</v>
      </c>
      <c r="E65" s="249" t="s">
        <v>1153</v>
      </c>
      <c r="F65" s="250" t="s">
        <v>93</v>
      </c>
      <c r="G65" s="250" t="s">
        <v>200</v>
      </c>
      <c r="H65" s="250" t="s">
        <v>143</v>
      </c>
      <c r="I65" s="250">
        <v>2021</v>
      </c>
      <c r="J65" s="250" t="s">
        <v>1046</v>
      </c>
      <c r="K65" s="134" t="str">
        <f t="shared" si="2"/>
        <v/>
      </c>
      <c r="L65" s="250"/>
      <c r="M65" s="251">
        <v>183900</v>
      </c>
      <c r="N65" s="252"/>
      <c r="O65" s="252">
        <f>M65/P65</f>
        <v>34.055555555555557</v>
      </c>
      <c r="P65" s="252">
        <v>5400</v>
      </c>
      <c r="Q65" s="252">
        <v>950</v>
      </c>
      <c r="R65" s="252">
        <f t="shared" si="4"/>
        <v>175.92592592592592</v>
      </c>
      <c r="S65" s="252">
        <f>ROUND(R65*CPI!$B$120/VLOOKUP($I65,CPI!$A$1:$B$140,2,FALSE)/1000,2)*1000</f>
        <v>170</v>
      </c>
      <c r="T65" s="250" t="s">
        <v>228</v>
      </c>
      <c r="U65" s="250" t="s">
        <v>248</v>
      </c>
      <c r="V65" s="250"/>
      <c r="W65" s="256"/>
      <c r="X65" s="257"/>
      <c r="Y65" s="257"/>
      <c r="Z65" s="257"/>
      <c r="AA65" s="257"/>
      <c r="AB65" s="257"/>
      <c r="AC65" s="250" t="str">
        <f t="shared" si="3"/>
        <v/>
      </c>
      <c r="AE65" s="276"/>
      <c r="AF65" s="119"/>
      <c r="AG65" s="119"/>
      <c r="AH65" s="277"/>
      <c r="AI65" s="277"/>
      <c r="AJ65" s="277"/>
    </row>
    <row r="66" spans="2:36" ht="13.5" customHeight="1">
      <c r="B66" s="69">
        <v>1</v>
      </c>
      <c r="C66" s="69">
        <v>64</v>
      </c>
      <c r="D66" s="249" t="s">
        <v>974</v>
      </c>
      <c r="E66" s="249" t="s">
        <v>1154</v>
      </c>
      <c r="F66" s="250" t="s">
        <v>93</v>
      </c>
      <c r="G66" s="250" t="s">
        <v>200</v>
      </c>
      <c r="H66" s="250" t="s">
        <v>143</v>
      </c>
      <c r="I66" s="250">
        <v>2023</v>
      </c>
      <c r="J66" s="274" t="s">
        <v>1043</v>
      </c>
      <c r="K66" s="134" t="str">
        <f t="shared" si="2"/>
        <v/>
      </c>
      <c r="L66" s="250"/>
      <c r="M66" s="251">
        <v>183900</v>
      </c>
      <c r="N66" s="252"/>
      <c r="O66" s="252">
        <f>M66/P66</f>
        <v>34.055555555555557</v>
      </c>
      <c r="P66" s="252">
        <v>5400</v>
      </c>
      <c r="Q66" s="252">
        <v>950</v>
      </c>
      <c r="R66" s="252">
        <f t="shared" si="4"/>
        <v>175.92592592592592</v>
      </c>
      <c r="S66" s="252">
        <f>ROUND(R66*CPI!$B$120/VLOOKUP($I66,CPI!$A$1:$B$140,2,FALSE)/1000,2)*1000</f>
        <v>160</v>
      </c>
      <c r="T66" s="250" t="s">
        <v>228</v>
      </c>
      <c r="U66" s="250" t="s">
        <v>248</v>
      </c>
      <c r="V66" s="250"/>
      <c r="W66" s="256"/>
      <c r="X66" s="257"/>
      <c r="Y66" s="257"/>
      <c r="Z66" s="257"/>
      <c r="AA66" s="257"/>
      <c r="AB66" s="257"/>
      <c r="AC66" s="250" t="str">
        <f t="shared" si="3"/>
        <v/>
      </c>
      <c r="AE66" s="276"/>
      <c r="AF66" s="119"/>
      <c r="AG66" s="119"/>
      <c r="AH66" s="277"/>
      <c r="AI66" s="277"/>
      <c r="AJ66" s="277"/>
    </row>
    <row r="67" spans="2:36" ht="13.5" customHeight="1">
      <c r="B67" s="69">
        <v>1</v>
      </c>
      <c r="C67" s="69">
        <v>65</v>
      </c>
      <c r="D67" s="233" t="s">
        <v>150</v>
      </c>
      <c r="E67" s="233" t="s">
        <v>1155</v>
      </c>
      <c r="F67" s="232" t="s">
        <v>93</v>
      </c>
      <c r="G67" s="232" t="s">
        <v>200</v>
      </c>
      <c r="H67" s="232" t="s">
        <v>151</v>
      </c>
      <c r="I67" s="232">
        <v>1995</v>
      </c>
      <c r="J67" s="232"/>
      <c r="K67" s="134">
        <f t="shared" si="2"/>
        <v>24</v>
      </c>
      <c r="L67" s="232">
        <v>2011</v>
      </c>
      <c r="M67" s="234">
        <v>69840</v>
      </c>
      <c r="N67" s="235">
        <f>260*3.28084</f>
        <v>853.01840000000004</v>
      </c>
      <c r="O67" s="235">
        <v>37</v>
      </c>
      <c r="P67" s="235">
        <v>1882</v>
      </c>
      <c r="Q67" s="235">
        <v>320</v>
      </c>
      <c r="R67" s="235">
        <f t="shared" ref="R67:R98" si="6">Q67/P67*1000</f>
        <v>170.03188097768333</v>
      </c>
      <c r="S67" s="235">
        <f>ROUND(R67*CPI!$B$120/VLOOKUP($I67,CPI!$A$1:$B$122,2,FALSE)/1000,2)*1000</f>
        <v>280</v>
      </c>
      <c r="T67" s="232" t="s">
        <v>228</v>
      </c>
      <c r="U67" s="232" t="s">
        <v>248</v>
      </c>
      <c r="V67" s="232"/>
      <c r="W67" s="256" t="e">
        <f t="shared" ref="W67:W74" si="7">SUM(((X67/SUM(X67:AB67))*5),((Y67/SUM(X67:AB67))*4),((Z67/SUM(X67:AB67))*3),((AA67/SUM(X67:AB67))*2),((AB67/SUM(X67:AB67)*1)))</f>
        <v>#DIV/0!</v>
      </c>
      <c r="X67" s="257"/>
      <c r="Y67" s="257"/>
      <c r="Z67" s="257"/>
      <c r="AA67" s="257"/>
      <c r="AB67" s="257"/>
      <c r="AC67" s="250">
        <f t="shared" si="3"/>
        <v>1995</v>
      </c>
      <c r="AE67" s="276"/>
      <c r="AF67" s="119"/>
      <c r="AG67" s="119"/>
      <c r="AH67" s="277"/>
      <c r="AI67" s="277"/>
      <c r="AJ67" s="277"/>
    </row>
    <row r="68" spans="2:36" ht="13.5" customHeight="1">
      <c r="B68" s="69">
        <v>1</v>
      </c>
      <c r="C68" s="69">
        <v>66</v>
      </c>
      <c r="D68" s="233" t="s">
        <v>145</v>
      </c>
      <c r="E68" s="233" t="s">
        <v>1156</v>
      </c>
      <c r="F68" s="232" t="s">
        <v>93</v>
      </c>
      <c r="G68" s="232" t="s">
        <v>200</v>
      </c>
      <c r="H68" s="232" t="s">
        <v>151</v>
      </c>
      <c r="I68" s="232">
        <v>2000</v>
      </c>
      <c r="J68" s="232"/>
      <c r="K68" s="134">
        <f t="shared" si="2"/>
        <v>19</v>
      </c>
      <c r="L68" s="232">
        <v>2009</v>
      </c>
      <c r="M68" s="234">
        <v>76152</v>
      </c>
      <c r="N68" s="235">
        <f>270*3.28084</f>
        <v>885.82680000000005</v>
      </c>
      <c r="O68" s="235">
        <v>34</v>
      </c>
      <c r="P68" s="235">
        <v>1882</v>
      </c>
      <c r="Q68" s="235">
        <v>380</v>
      </c>
      <c r="R68" s="235">
        <f t="shared" si="6"/>
        <v>201.91285866099895</v>
      </c>
      <c r="S68" s="235">
        <f>ROUND(R68*CPI!$B$120/VLOOKUP($I68,CPI!$A$1:$B$122,2,FALSE)/1000,2)*1000</f>
        <v>290</v>
      </c>
      <c r="T68" s="232" t="s">
        <v>228</v>
      </c>
      <c r="U68" s="232" t="s">
        <v>248</v>
      </c>
      <c r="V68" s="232"/>
      <c r="W68" s="256" t="e">
        <f t="shared" si="7"/>
        <v>#DIV/0!</v>
      </c>
      <c r="X68" s="257"/>
      <c r="Y68" s="257"/>
      <c r="Z68" s="257"/>
      <c r="AA68" s="257"/>
      <c r="AB68" s="257"/>
      <c r="AC68" s="250">
        <f t="shared" si="3"/>
        <v>2000</v>
      </c>
      <c r="AE68" s="276"/>
      <c r="AF68" s="119"/>
      <c r="AG68" s="119"/>
      <c r="AH68" s="277"/>
      <c r="AI68" s="277"/>
      <c r="AJ68" s="277"/>
    </row>
    <row r="69" spans="2:36" ht="13.5" customHeight="1">
      <c r="B69" s="69">
        <v>1</v>
      </c>
      <c r="C69" s="69">
        <v>67</v>
      </c>
      <c r="D69" s="233" t="s">
        <v>147</v>
      </c>
      <c r="E69" s="233" t="s">
        <v>1157</v>
      </c>
      <c r="F69" s="232" t="s">
        <v>93</v>
      </c>
      <c r="G69" s="232" t="s">
        <v>200</v>
      </c>
      <c r="H69" s="232" t="s">
        <v>151</v>
      </c>
      <c r="I69" s="232">
        <v>2000</v>
      </c>
      <c r="J69" s="232"/>
      <c r="K69" s="134">
        <f t="shared" ref="K69:K132" si="8">IF(ISNUMBER(AC69),$K$1-AC69+1,"")</f>
        <v>19</v>
      </c>
      <c r="L69" s="232">
        <v>2012</v>
      </c>
      <c r="M69" s="234">
        <v>77499</v>
      </c>
      <c r="N69" s="235">
        <f>261*3.28084</f>
        <v>856.29923999999994</v>
      </c>
      <c r="O69" s="235">
        <v>32</v>
      </c>
      <c r="P69" s="235">
        <v>2016</v>
      </c>
      <c r="Q69" s="235">
        <v>300</v>
      </c>
      <c r="R69" s="235">
        <f t="shared" si="6"/>
        <v>148.8095238095238</v>
      </c>
      <c r="S69" s="235">
        <f>ROUND(R69*CPI!$B$120/VLOOKUP($I69,CPI!$A$1:$B$122,2,FALSE)/1000,2)*1000</f>
        <v>210</v>
      </c>
      <c r="T69" s="232" t="s">
        <v>212</v>
      </c>
      <c r="U69" s="232" t="s">
        <v>234</v>
      </c>
      <c r="V69" s="232"/>
      <c r="W69" s="256" t="e">
        <f t="shared" si="7"/>
        <v>#DIV/0!</v>
      </c>
      <c r="X69" s="257"/>
      <c r="Y69" s="257"/>
      <c r="Z69" s="257"/>
      <c r="AA69" s="257"/>
      <c r="AB69" s="257"/>
      <c r="AC69" s="250">
        <f t="shared" ref="AC69:AC132" si="9">IF(I69&lt;=$K$1,I69,"")</f>
        <v>2000</v>
      </c>
      <c r="AE69" s="276"/>
      <c r="AF69" s="119"/>
      <c r="AG69" s="119"/>
      <c r="AH69" s="277"/>
      <c r="AI69" s="277"/>
      <c r="AJ69" s="277"/>
    </row>
    <row r="70" spans="2:36" ht="13.5" customHeight="1">
      <c r="B70" s="69">
        <v>1</v>
      </c>
      <c r="C70" s="69">
        <v>68</v>
      </c>
      <c r="D70" s="233" t="s">
        <v>118</v>
      </c>
      <c r="E70" s="233" t="s">
        <v>1158</v>
      </c>
      <c r="F70" s="232" t="s">
        <v>93</v>
      </c>
      <c r="G70" s="232" t="s">
        <v>200</v>
      </c>
      <c r="H70" s="232" t="s">
        <v>151</v>
      </c>
      <c r="I70" s="232">
        <v>2001</v>
      </c>
      <c r="J70" s="232"/>
      <c r="K70" s="134">
        <f t="shared" si="8"/>
        <v>18</v>
      </c>
      <c r="L70" s="232">
        <v>2016</v>
      </c>
      <c r="M70" s="234">
        <v>30277</v>
      </c>
      <c r="N70" s="235">
        <f>181*3.28084</f>
        <v>593.83204000000001</v>
      </c>
      <c r="O70" s="235">
        <v>43</v>
      </c>
      <c r="P70" s="235">
        <v>712</v>
      </c>
      <c r="Q70" s="235">
        <v>190</v>
      </c>
      <c r="R70" s="235">
        <f t="shared" si="6"/>
        <v>266.85393258426967</v>
      </c>
      <c r="S70" s="235">
        <f>ROUND(R70*CPI!$B$120/VLOOKUP($I70,CPI!$A$1:$B$122,2,FALSE)/1000,2)*1000</f>
        <v>380</v>
      </c>
      <c r="T70" s="232" t="s">
        <v>241</v>
      </c>
      <c r="U70" s="232" t="s">
        <v>248</v>
      </c>
      <c r="V70" s="232"/>
      <c r="W70" s="256" t="e">
        <f t="shared" si="7"/>
        <v>#DIV/0!</v>
      </c>
      <c r="X70" s="257"/>
      <c r="Y70" s="257"/>
      <c r="Z70" s="257"/>
      <c r="AA70" s="257"/>
      <c r="AB70" s="257"/>
      <c r="AC70" s="250">
        <f t="shared" si="9"/>
        <v>2001</v>
      </c>
      <c r="AE70" s="276"/>
      <c r="AF70" s="119"/>
      <c r="AG70" s="119"/>
      <c r="AH70" s="277"/>
      <c r="AI70" s="277"/>
      <c r="AJ70" s="277"/>
    </row>
    <row r="71" spans="2:36" ht="13.5" customHeight="1">
      <c r="B71" s="69">
        <v>1</v>
      </c>
      <c r="C71" s="69">
        <v>69</v>
      </c>
      <c r="D71" s="233" t="s">
        <v>149</v>
      </c>
      <c r="E71" s="233" t="s">
        <v>1159</v>
      </c>
      <c r="F71" s="232" t="s">
        <v>93</v>
      </c>
      <c r="G71" s="232" t="s">
        <v>200</v>
      </c>
      <c r="H71" s="232" t="s">
        <v>151</v>
      </c>
      <c r="I71" s="232">
        <v>2005</v>
      </c>
      <c r="J71" s="232"/>
      <c r="K71" s="134">
        <f t="shared" si="8"/>
        <v>14</v>
      </c>
      <c r="L71" s="232">
        <v>2013</v>
      </c>
      <c r="M71" s="234">
        <v>84342</v>
      </c>
      <c r="N71" s="235">
        <f>286*3.28084</f>
        <v>938.32024000000001</v>
      </c>
      <c r="O71" s="235">
        <v>44</v>
      </c>
      <c r="P71" s="235">
        <v>1904</v>
      </c>
      <c r="Q71" s="235">
        <v>400</v>
      </c>
      <c r="R71" s="235">
        <f t="shared" si="6"/>
        <v>210.08403361344537</v>
      </c>
      <c r="S71" s="235">
        <f>ROUND(R71*CPI!$B$120/VLOOKUP($I71,CPI!$A$1:$B$122,2,FALSE)/1000,2)*1000</f>
        <v>270</v>
      </c>
      <c r="T71" s="232" t="s">
        <v>212</v>
      </c>
      <c r="U71" s="232" t="s">
        <v>248</v>
      </c>
      <c r="V71" s="232"/>
      <c r="W71" s="256" t="e">
        <f t="shared" si="7"/>
        <v>#DIV/0!</v>
      </c>
      <c r="X71" s="257"/>
      <c r="Y71" s="257"/>
      <c r="Z71" s="257"/>
      <c r="AA71" s="257"/>
      <c r="AB71" s="257"/>
      <c r="AC71" s="250">
        <f t="shared" si="9"/>
        <v>2005</v>
      </c>
      <c r="AE71" s="276"/>
      <c r="AF71" s="119"/>
      <c r="AG71" s="119"/>
      <c r="AH71" s="277"/>
      <c r="AI71" s="277"/>
      <c r="AJ71" s="277"/>
    </row>
    <row r="72" spans="2:36" ht="13.5" customHeight="1">
      <c r="B72" s="69">
        <v>1</v>
      </c>
      <c r="C72" s="69">
        <v>70</v>
      </c>
      <c r="D72" s="233" t="s">
        <v>148</v>
      </c>
      <c r="E72" s="233" t="s">
        <v>1160</v>
      </c>
      <c r="F72" s="232" t="s">
        <v>93</v>
      </c>
      <c r="G72" s="232" t="s">
        <v>200</v>
      </c>
      <c r="H72" s="232" t="s">
        <v>151</v>
      </c>
      <c r="I72" s="232">
        <v>2008</v>
      </c>
      <c r="J72" s="232"/>
      <c r="K72" s="134">
        <f t="shared" si="8"/>
        <v>11</v>
      </c>
      <c r="L72" s="232">
        <v>2013</v>
      </c>
      <c r="M72" s="234">
        <v>116017</v>
      </c>
      <c r="N72" s="235">
        <f>289*3.28084</f>
        <v>948.16276000000005</v>
      </c>
      <c r="O72" s="235">
        <v>31</v>
      </c>
      <c r="P72" s="235">
        <v>3106</v>
      </c>
      <c r="Q72" s="235">
        <v>690</v>
      </c>
      <c r="R72" s="235">
        <f t="shared" si="6"/>
        <v>222.15067611075338</v>
      </c>
      <c r="S72" s="235">
        <f>ROUND(R72*CPI!$B$120/VLOOKUP($I72,CPI!$A$1:$B$122,2,FALSE)/1000,2)*1000</f>
        <v>260</v>
      </c>
      <c r="T72" s="232" t="s">
        <v>212</v>
      </c>
      <c r="U72" s="232" t="s">
        <v>249</v>
      </c>
      <c r="V72" s="232"/>
      <c r="W72" s="256" t="e">
        <f t="shared" si="7"/>
        <v>#DIV/0!</v>
      </c>
      <c r="X72" s="257"/>
      <c r="Y72" s="257"/>
      <c r="Z72" s="257"/>
      <c r="AA72" s="257"/>
      <c r="AB72" s="257"/>
      <c r="AC72" s="250">
        <f t="shared" si="9"/>
        <v>2008</v>
      </c>
      <c r="AE72" s="276"/>
      <c r="AF72" s="119"/>
      <c r="AG72" s="119"/>
      <c r="AH72" s="277"/>
      <c r="AI72" s="277"/>
      <c r="AJ72" s="277"/>
    </row>
    <row r="73" spans="2:36" ht="13.5" customHeight="1">
      <c r="B73" s="69">
        <v>1</v>
      </c>
      <c r="C73" s="69">
        <v>71</v>
      </c>
      <c r="D73" s="233" t="s">
        <v>146</v>
      </c>
      <c r="E73" s="233" t="s">
        <v>1161</v>
      </c>
      <c r="F73" s="232" t="s">
        <v>93</v>
      </c>
      <c r="G73" s="232" t="s">
        <v>200</v>
      </c>
      <c r="H73" s="232" t="s">
        <v>151</v>
      </c>
      <c r="I73" s="232">
        <v>2010</v>
      </c>
      <c r="J73" s="232"/>
      <c r="K73" s="134">
        <f t="shared" si="8"/>
        <v>9</v>
      </c>
      <c r="L73" s="232">
        <v>2015</v>
      </c>
      <c r="M73" s="234">
        <v>115055</v>
      </c>
      <c r="N73" s="235">
        <f>289*3.28084</f>
        <v>948.16276000000005</v>
      </c>
      <c r="O73" s="235">
        <v>31</v>
      </c>
      <c r="P73" s="235">
        <v>3096</v>
      </c>
      <c r="Q73" s="235">
        <v>680</v>
      </c>
      <c r="R73" s="235">
        <f t="shared" si="6"/>
        <v>219.63824289405684</v>
      </c>
      <c r="S73" s="235">
        <f>ROUND(R73*CPI!$B$120/VLOOKUP($I73,CPI!$A$1:$B$122,2,FALSE)/1000,2)*1000</f>
        <v>250</v>
      </c>
      <c r="T73" s="232" t="s">
        <v>212</v>
      </c>
      <c r="U73" s="232" t="s">
        <v>249</v>
      </c>
      <c r="V73" s="232"/>
      <c r="W73" s="256" t="e">
        <f t="shared" si="7"/>
        <v>#DIV/0!</v>
      </c>
      <c r="X73" s="257"/>
      <c r="Y73" s="257"/>
      <c r="Z73" s="257"/>
      <c r="AA73" s="257"/>
      <c r="AB73" s="257"/>
      <c r="AC73" s="250">
        <f t="shared" si="9"/>
        <v>2010</v>
      </c>
      <c r="AE73" s="276"/>
      <c r="AF73" s="119"/>
      <c r="AG73" s="119"/>
      <c r="AH73" s="277"/>
      <c r="AI73" s="277"/>
      <c r="AJ73" s="277"/>
    </row>
    <row r="74" spans="2:36" ht="13.5" customHeight="1">
      <c r="B74" s="69">
        <v>1</v>
      </c>
      <c r="C74" s="69">
        <v>72</v>
      </c>
      <c r="D74" s="233" t="s">
        <v>144</v>
      </c>
      <c r="E74" s="233" t="s">
        <v>1162</v>
      </c>
      <c r="F74" s="232" t="s">
        <v>93</v>
      </c>
      <c r="G74" s="232" t="s">
        <v>200</v>
      </c>
      <c r="H74" s="232" t="s">
        <v>151</v>
      </c>
      <c r="I74" s="232">
        <v>2015</v>
      </c>
      <c r="J74" s="232"/>
      <c r="K74" s="134">
        <f t="shared" si="8"/>
        <v>4</v>
      </c>
      <c r="L74" s="232"/>
      <c r="M74" s="234">
        <v>142000</v>
      </c>
      <c r="N74" s="235">
        <f>330*3.28084</f>
        <v>1082.6772000000001</v>
      </c>
      <c r="O74" s="235">
        <v>33</v>
      </c>
      <c r="P74" s="235">
        <v>3645</v>
      </c>
      <c r="Q74" s="235">
        <v>770</v>
      </c>
      <c r="R74" s="235">
        <f t="shared" si="6"/>
        <v>211.24828532235941</v>
      </c>
      <c r="S74" s="235">
        <f>ROUND(R74*CPI!$B$120/VLOOKUP($I74,CPI!$A$1:$B$122,2,FALSE)/1000,2)*1000</f>
        <v>220</v>
      </c>
      <c r="T74" s="232" t="s">
        <v>212</v>
      </c>
      <c r="U74" s="232" t="s">
        <v>251</v>
      </c>
      <c r="V74" s="232"/>
      <c r="W74" s="256" t="e">
        <f t="shared" si="7"/>
        <v>#DIV/0!</v>
      </c>
      <c r="X74" s="257"/>
      <c r="Y74" s="257"/>
      <c r="Z74" s="257"/>
      <c r="AA74" s="257"/>
      <c r="AB74" s="257"/>
      <c r="AC74" s="250">
        <f t="shared" si="9"/>
        <v>2015</v>
      </c>
      <c r="AE74" s="276"/>
      <c r="AF74" s="119"/>
      <c r="AG74" s="119"/>
      <c r="AH74" s="277"/>
      <c r="AI74" s="277"/>
      <c r="AJ74" s="277"/>
    </row>
    <row r="75" spans="2:36" ht="13.5" customHeight="1">
      <c r="B75" s="69">
        <v>1</v>
      </c>
      <c r="C75" s="69">
        <v>73</v>
      </c>
      <c r="D75" s="249" t="s">
        <v>923</v>
      </c>
      <c r="E75" s="249" t="s">
        <v>1163</v>
      </c>
      <c r="F75" s="250" t="s">
        <v>93</v>
      </c>
      <c r="G75" s="250" t="s">
        <v>200</v>
      </c>
      <c r="H75" s="250" t="s">
        <v>151</v>
      </c>
      <c r="I75" s="250">
        <v>2020</v>
      </c>
      <c r="J75" s="250" t="s">
        <v>1046</v>
      </c>
      <c r="K75" s="134" t="str">
        <f t="shared" si="8"/>
        <v/>
      </c>
      <c r="L75" s="250"/>
      <c r="M75" s="251">
        <v>183900</v>
      </c>
      <c r="N75" s="252"/>
      <c r="O75" s="252">
        <f>M75/P75</f>
        <v>35.365384615384613</v>
      </c>
      <c r="P75" s="252">
        <v>5200</v>
      </c>
      <c r="Q75" s="252">
        <v>950</v>
      </c>
      <c r="R75" s="252">
        <f t="shared" si="6"/>
        <v>182.69230769230768</v>
      </c>
      <c r="S75" s="252">
        <f>ROUND(R75*CPI!$B$120/VLOOKUP($I75,CPI!$A$1:$B$140,2,FALSE)/1000,2)*1000</f>
        <v>180</v>
      </c>
      <c r="T75" s="250" t="s">
        <v>228</v>
      </c>
      <c r="U75" s="250" t="s">
        <v>755</v>
      </c>
      <c r="V75" s="250"/>
      <c r="W75" s="256"/>
      <c r="X75" s="257"/>
      <c r="Y75" s="257"/>
      <c r="Z75" s="257"/>
      <c r="AA75" s="257"/>
      <c r="AB75" s="257"/>
      <c r="AC75" s="250" t="str">
        <f t="shared" si="9"/>
        <v/>
      </c>
      <c r="AE75" s="276"/>
      <c r="AF75" s="119"/>
      <c r="AG75" s="119"/>
      <c r="AH75" s="277"/>
      <c r="AI75" s="277"/>
      <c r="AJ75" s="277"/>
    </row>
    <row r="76" spans="2:36" ht="13.5" customHeight="1">
      <c r="B76" s="69">
        <v>1</v>
      </c>
      <c r="C76" s="69">
        <v>74</v>
      </c>
      <c r="D76" s="249" t="s">
        <v>972</v>
      </c>
      <c r="E76" s="249" t="s">
        <v>1164</v>
      </c>
      <c r="F76" s="250" t="s">
        <v>93</v>
      </c>
      <c r="G76" s="250" t="s">
        <v>200</v>
      </c>
      <c r="H76" s="250" t="s">
        <v>151</v>
      </c>
      <c r="I76" s="250">
        <v>2022</v>
      </c>
      <c r="J76" s="274" t="s">
        <v>1043</v>
      </c>
      <c r="K76" s="134" t="str">
        <f t="shared" si="8"/>
        <v/>
      </c>
      <c r="L76" s="250"/>
      <c r="M76" s="251">
        <v>183900</v>
      </c>
      <c r="N76" s="252"/>
      <c r="O76" s="252">
        <f>M76/P76</f>
        <v>35.365384615384613</v>
      </c>
      <c r="P76" s="252">
        <v>5200</v>
      </c>
      <c r="Q76" s="252">
        <v>950</v>
      </c>
      <c r="R76" s="252">
        <f t="shared" si="6"/>
        <v>182.69230769230768</v>
      </c>
      <c r="S76" s="252">
        <f>ROUND(R76*CPI!$B$120/VLOOKUP($I76,CPI!$A$1:$B$140,2,FALSE)/1000,2)*1000</f>
        <v>170</v>
      </c>
      <c r="T76" s="250" t="s">
        <v>228</v>
      </c>
      <c r="U76" s="250" t="s">
        <v>755</v>
      </c>
      <c r="V76" s="250"/>
      <c r="W76" s="256"/>
      <c r="X76" s="257"/>
      <c r="Y76" s="257"/>
      <c r="Z76" s="257"/>
      <c r="AA76" s="257"/>
      <c r="AB76" s="257"/>
      <c r="AC76" s="250" t="str">
        <f t="shared" si="9"/>
        <v/>
      </c>
      <c r="AE76" s="276"/>
      <c r="AF76" s="119"/>
      <c r="AG76" s="119"/>
      <c r="AH76" s="277"/>
      <c r="AI76" s="277"/>
      <c r="AJ76" s="277"/>
    </row>
    <row r="77" spans="2:36" ht="13.5" customHeight="1">
      <c r="B77" s="69">
        <v>1</v>
      </c>
      <c r="C77" s="69">
        <v>75</v>
      </c>
      <c r="D77" s="233" t="s">
        <v>698</v>
      </c>
      <c r="E77" s="233" t="s">
        <v>1165</v>
      </c>
      <c r="F77" s="232" t="s">
        <v>93</v>
      </c>
      <c r="G77" s="232" t="s">
        <v>200</v>
      </c>
      <c r="H77" s="232" t="s">
        <v>156</v>
      </c>
      <c r="I77" s="232">
        <v>1990</v>
      </c>
      <c r="J77" s="232"/>
      <c r="K77" s="134">
        <f t="shared" si="8"/>
        <v>29</v>
      </c>
      <c r="L77" s="232">
        <v>2015</v>
      </c>
      <c r="M77" s="234">
        <v>70310</v>
      </c>
      <c r="N77" s="235">
        <f>245*3.28084</f>
        <v>803.80579999999998</v>
      </c>
      <c r="O77" s="235">
        <v>35</v>
      </c>
      <c r="P77" s="235">
        <v>1674</v>
      </c>
      <c r="Q77" s="235">
        <v>280</v>
      </c>
      <c r="R77" s="235">
        <f t="shared" si="6"/>
        <v>167.26403823178015</v>
      </c>
      <c r="S77" s="235">
        <f>ROUND(R77*CPI!$B$120/VLOOKUP($I77,CPI!$A$1:$B$122,2,FALSE)/1000,2)*1000</f>
        <v>310</v>
      </c>
      <c r="T77" s="232" t="s">
        <v>212</v>
      </c>
      <c r="U77" s="232" t="s">
        <v>248</v>
      </c>
      <c r="V77" s="232"/>
      <c r="W77" s="256" t="e">
        <f t="shared" ref="W77:W98" si="10">SUM(((X77/SUM(X77:AB77))*5),((Y77/SUM(X77:AB77))*4),((Z77/SUM(X77:AB77))*3),((AA77/SUM(X77:AB77))*2),((AB77/SUM(X77:AB77)*1)))</f>
        <v>#DIV/0!</v>
      </c>
      <c r="X77" s="257"/>
      <c r="Y77" s="257"/>
      <c r="Z77" s="257"/>
      <c r="AA77" s="257"/>
      <c r="AB77" s="257"/>
      <c r="AC77" s="250">
        <f t="shared" si="9"/>
        <v>1990</v>
      </c>
      <c r="AE77" s="276"/>
      <c r="AF77" s="119"/>
      <c r="AG77" s="119"/>
      <c r="AH77" s="277"/>
      <c r="AI77" s="277"/>
      <c r="AJ77" s="277"/>
    </row>
    <row r="78" spans="2:36" ht="13.5" customHeight="1">
      <c r="B78" s="69">
        <v>1</v>
      </c>
      <c r="C78" s="69">
        <v>76</v>
      </c>
      <c r="D78" s="233" t="s">
        <v>697</v>
      </c>
      <c r="E78" s="233" t="s">
        <v>1166</v>
      </c>
      <c r="F78" s="232" t="s">
        <v>93</v>
      </c>
      <c r="G78" s="232" t="s">
        <v>200</v>
      </c>
      <c r="H78" s="232" t="s">
        <v>156</v>
      </c>
      <c r="I78" s="232">
        <v>1991</v>
      </c>
      <c r="J78" s="232"/>
      <c r="K78" s="134">
        <f t="shared" si="8"/>
        <v>28</v>
      </c>
      <c r="L78" s="232">
        <v>2018</v>
      </c>
      <c r="M78" s="234">
        <v>70285</v>
      </c>
      <c r="N78" s="235">
        <f>244*3.28084</f>
        <v>800.52495999999996</v>
      </c>
      <c r="O78" s="235">
        <v>37</v>
      </c>
      <c r="P78" s="235">
        <v>1596</v>
      </c>
      <c r="Q78" s="235">
        <v>280</v>
      </c>
      <c r="R78" s="235">
        <f t="shared" si="6"/>
        <v>175.43859649122805</v>
      </c>
      <c r="S78" s="235">
        <f>ROUND(R78*CPI!$B$120/VLOOKUP($I78,CPI!$A$1:$B$122,2,FALSE)/1000,2)*1000</f>
        <v>320</v>
      </c>
      <c r="T78" s="232" t="s">
        <v>212</v>
      </c>
      <c r="U78" s="232" t="s">
        <v>248</v>
      </c>
      <c r="V78" s="232"/>
      <c r="W78" s="256" t="e">
        <f t="shared" si="10"/>
        <v>#DIV/0!</v>
      </c>
      <c r="X78" s="257"/>
      <c r="Y78" s="257"/>
      <c r="Z78" s="257"/>
      <c r="AA78" s="257"/>
      <c r="AB78" s="257"/>
      <c r="AC78" s="250">
        <f t="shared" si="9"/>
        <v>1991</v>
      </c>
      <c r="AE78" s="276"/>
      <c r="AF78" s="119"/>
      <c r="AG78" s="119"/>
      <c r="AH78" s="277"/>
      <c r="AI78" s="277"/>
      <c r="AJ78" s="277"/>
    </row>
    <row r="79" spans="2:36" ht="13.5" customHeight="1">
      <c r="B79" s="69">
        <v>1</v>
      </c>
      <c r="C79" s="69">
        <v>77</v>
      </c>
      <c r="D79" s="233" t="s">
        <v>158</v>
      </c>
      <c r="E79" s="233" t="s">
        <v>1167</v>
      </c>
      <c r="F79" s="232" t="s">
        <v>93</v>
      </c>
      <c r="G79" s="232" t="s">
        <v>200</v>
      </c>
      <c r="H79" s="232" t="s">
        <v>156</v>
      </c>
      <c r="I79" s="232">
        <v>1993</v>
      </c>
      <c r="J79" s="232"/>
      <c r="K79" s="134">
        <f t="shared" si="8"/>
        <v>26</v>
      </c>
      <c r="L79" s="232">
        <v>2015</v>
      </c>
      <c r="M79" s="234">
        <v>55819</v>
      </c>
      <c r="N79" s="235">
        <v>719</v>
      </c>
      <c r="O79" s="235">
        <v>37</v>
      </c>
      <c r="P79" s="235">
        <v>1260</v>
      </c>
      <c r="Q79" s="235">
        <v>220</v>
      </c>
      <c r="R79" s="235">
        <f t="shared" si="6"/>
        <v>174.60317460317458</v>
      </c>
      <c r="S79" s="235">
        <f>ROUND(R79*CPI!$B$120/VLOOKUP($I79,CPI!$A$1:$B$122,2,FALSE)/1000,2)*1000</f>
        <v>300</v>
      </c>
      <c r="T79" s="232" t="s">
        <v>212</v>
      </c>
      <c r="U79" s="232" t="s">
        <v>248</v>
      </c>
      <c r="V79" s="232"/>
      <c r="W79" s="256" t="e">
        <f t="shared" si="10"/>
        <v>#DIV/0!</v>
      </c>
      <c r="X79" s="257"/>
      <c r="Y79" s="257"/>
      <c r="Z79" s="257"/>
      <c r="AA79" s="257"/>
      <c r="AB79" s="257"/>
      <c r="AC79" s="250">
        <f t="shared" si="9"/>
        <v>1993</v>
      </c>
      <c r="AE79" s="276"/>
      <c r="AF79" s="119"/>
      <c r="AG79" s="119"/>
      <c r="AH79" s="277"/>
      <c r="AI79" s="277"/>
      <c r="AJ79" s="277"/>
    </row>
    <row r="80" spans="2:36" ht="13.5" customHeight="1">
      <c r="B80" s="69">
        <v>1</v>
      </c>
      <c r="C80" s="69">
        <v>78</v>
      </c>
      <c r="D80" s="233" t="s">
        <v>157</v>
      </c>
      <c r="E80" s="233" t="s">
        <v>1168</v>
      </c>
      <c r="F80" s="232" t="s">
        <v>93</v>
      </c>
      <c r="G80" s="232" t="s">
        <v>200</v>
      </c>
      <c r="H80" s="232" t="s">
        <v>156</v>
      </c>
      <c r="I80" s="232">
        <v>1994</v>
      </c>
      <c r="J80" s="232"/>
      <c r="K80" s="134">
        <f t="shared" si="8"/>
        <v>25</v>
      </c>
      <c r="L80" s="232">
        <v>2015</v>
      </c>
      <c r="M80" s="234">
        <v>55819</v>
      </c>
      <c r="N80" s="235">
        <f>219*3.28084</f>
        <v>718.50396000000001</v>
      </c>
      <c r="O80" s="235">
        <v>37</v>
      </c>
      <c r="P80" s="235">
        <v>1260</v>
      </c>
      <c r="Q80" s="235">
        <v>220</v>
      </c>
      <c r="R80" s="235">
        <f t="shared" si="6"/>
        <v>174.60317460317458</v>
      </c>
      <c r="S80" s="235">
        <f>ROUND(R80*CPI!$B$120/VLOOKUP($I80,CPI!$A$1:$B$122,2,FALSE)/1000,2)*1000</f>
        <v>290</v>
      </c>
      <c r="T80" s="232" t="s">
        <v>212</v>
      </c>
      <c r="U80" s="232" t="s">
        <v>248</v>
      </c>
      <c r="V80" s="232"/>
      <c r="W80" s="256" t="e">
        <f t="shared" si="10"/>
        <v>#DIV/0!</v>
      </c>
      <c r="X80" s="257"/>
      <c r="Y80" s="257"/>
      <c r="Z80" s="257"/>
      <c r="AA80" s="257"/>
      <c r="AB80" s="257"/>
      <c r="AC80" s="250">
        <f t="shared" si="9"/>
        <v>1994</v>
      </c>
      <c r="AE80" s="276"/>
      <c r="AF80" s="119"/>
      <c r="AG80" s="119"/>
      <c r="AH80" s="277"/>
      <c r="AI80" s="277"/>
      <c r="AJ80" s="277"/>
    </row>
    <row r="81" spans="2:36" ht="13.5" customHeight="1">
      <c r="B81" s="69">
        <v>1</v>
      </c>
      <c r="C81" s="69">
        <v>79</v>
      </c>
      <c r="D81" s="233" t="s">
        <v>110</v>
      </c>
      <c r="E81" s="233" t="s">
        <v>1169</v>
      </c>
      <c r="F81" s="232" t="s">
        <v>93</v>
      </c>
      <c r="G81" s="232" t="s">
        <v>201</v>
      </c>
      <c r="H81" s="232" t="s">
        <v>195</v>
      </c>
      <c r="I81" s="232">
        <v>1996</v>
      </c>
      <c r="J81" s="232"/>
      <c r="K81" s="134">
        <f t="shared" si="8"/>
        <v>23</v>
      </c>
      <c r="L81" s="232">
        <v>2016</v>
      </c>
      <c r="M81" s="234">
        <v>77441</v>
      </c>
      <c r="N81" s="235">
        <f>261*3.28084</f>
        <v>856.29923999999994</v>
      </c>
      <c r="O81" s="235">
        <v>32</v>
      </c>
      <c r="P81" s="235">
        <v>2016</v>
      </c>
      <c r="Q81" s="235">
        <v>300</v>
      </c>
      <c r="R81" s="235">
        <f t="shared" si="6"/>
        <v>148.8095238095238</v>
      </c>
      <c r="S81" s="235">
        <f>ROUND(R81*CPI!$B$120/VLOOKUP($I81,CPI!$A$1:$B$122,2,FALSE)/1000,2)*1000</f>
        <v>230</v>
      </c>
      <c r="T81" s="232" t="s">
        <v>212</v>
      </c>
      <c r="U81" s="232" t="s">
        <v>234</v>
      </c>
      <c r="V81" s="232"/>
      <c r="W81" s="256" t="e">
        <f t="shared" si="10"/>
        <v>#DIV/0!</v>
      </c>
      <c r="X81" s="257"/>
      <c r="Y81" s="257"/>
      <c r="Z81" s="257"/>
      <c r="AA81" s="257"/>
      <c r="AB81" s="257"/>
      <c r="AC81" s="250">
        <f t="shared" si="9"/>
        <v>1996</v>
      </c>
      <c r="AE81" s="276"/>
      <c r="AF81" s="119"/>
      <c r="AG81" s="119"/>
      <c r="AH81" s="277"/>
      <c r="AI81" s="277"/>
      <c r="AJ81" s="277"/>
    </row>
    <row r="82" spans="2:36" ht="13.5" customHeight="1">
      <c r="B82" s="69">
        <v>1</v>
      </c>
      <c r="C82" s="69">
        <v>80</v>
      </c>
      <c r="D82" s="236" t="s">
        <v>305</v>
      </c>
      <c r="E82" s="236" t="s">
        <v>1170</v>
      </c>
      <c r="F82" s="232" t="s">
        <v>93</v>
      </c>
      <c r="G82" s="232" t="s">
        <v>201</v>
      </c>
      <c r="H82" s="232" t="s">
        <v>195</v>
      </c>
      <c r="I82" s="232">
        <v>1997</v>
      </c>
      <c r="J82" s="232"/>
      <c r="K82" s="134">
        <f t="shared" si="8"/>
        <v>22</v>
      </c>
      <c r="L82" s="232">
        <v>2017</v>
      </c>
      <c r="M82" s="234">
        <v>77441</v>
      </c>
      <c r="N82" s="235">
        <f>261*3.28084</f>
        <v>856.29923999999994</v>
      </c>
      <c r="O82" s="235">
        <v>34</v>
      </c>
      <c r="P82" s="235">
        <v>1950</v>
      </c>
      <c r="Q82" s="235">
        <v>300</v>
      </c>
      <c r="R82" s="235">
        <f t="shared" si="6"/>
        <v>153.84615384615387</v>
      </c>
      <c r="S82" s="235">
        <f>ROUND(R82*CPI!$B$120/VLOOKUP($I82,CPI!$A$1:$B$122,2,FALSE)/1000,2)*1000</f>
        <v>240</v>
      </c>
      <c r="T82" s="232" t="s">
        <v>212</v>
      </c>
      <c r="U82" s="232" t="s">
        <v>234</v>
      </c>
      <c r="V82" s="232"/>
      <c r="W82" s="256" t="e">
        <f t="shared" si="10"/>
        <v>#DIV/0!</v>
      </c>
      <c r="X82" s="257"/>
      <c r="Y82" s="257"/>
      <c r="Z82" s="257"/>
      <c r="AA82" s="257"/>
      <c r="AB82" s="257"/>
      <c r="AC82" s="250">
        <f t="shared" si="9"/>
        <v>1997</v>
      </c>
      <c r="AE82" s="276"/>
      <c r="AF82" s="119"/>
      <c r="AG82" s="119"/>
      <c r="AH82" s="277"/>
      <c r="AI82" s="277"/>
      <c r="AJ82" s="277"/>
    </row>
    <row r="83" spans="2:36" ht="13.5" customHeight="1">
      <c r="B83" s="69">
        <v>1</v>
      </c>
      <c r="C83" s="69">
        <v>81</v>
      </c>
      <c r="D83" s="233" t="s">
        <v>99</v>
      </c>
      <c r="E83" s="233" t="s">
        <v>1171</v>
      </c>
      <c r="F83" s="232" t="s">
        <v>93</v>
      </c>
      <c r="G83" s="232" t="s">
        <v>201</v>
      </c>
      <c r="H83" s="232" t="s">
        <v>195</v>
      </c>
      <c r="I83" s="232">
        <v>1998</v>
      </c>
      <c r="J83" s="232"/>
      <c r="K83" s="134">
        <f t="shared" si="8"/>
        <v>21</v>
      </c>
      <c r="L83" s="232">
        <v>2016</v>
      </c>
      <c r="M83" s="234">
        <v>107517</v>
      </c>
      <c r="N83" s="235">
        <f>289*3.28084</f>
        <v>948.16276000000005</v>
      </c>
      <c r="O83" s="235">
        <v>34</v>
      </c>
      <c r="P83" s="235">
        <v>2602</v>
      </c>
      <c r="Q83" s="235">
        <v>450</v>
      </c>
      <c r="R83" s="235">
        <f t="shared" si="6"/>
        <v>172.94388931591084</v>
      </c>
      <c r="S83" s="235">
        <f>ROUND(R83*CPI!$B$120/VLOOKUP($I83,CPI!$A$1:$B$122,2,FALSE)/1000,2)*1000</f>
        <v>260</v>
      </c>
      <c r="T83" s="232" t="s">
        <v>212</v>
      </c>
      <c r="U83" s="232" t="s">
        <v>249</v>
      </c>
      <c r="V83" s="232"/>
      <c r="W83" s="256" t="e">
        <f t="shared" si="10"/>
        <v>#DIV/0!</v>
      </c>
      <c r="X83" s="257"/>
      <c r="Y83" s="257"/>
      <c r="Z83" s="257"/>
      <c r="AA83" s="257"/>
      <c r="AB83" s="257"/>
      <c r="AC83" s="250">
        <f t="shared" si="9"/>
        <v>1998</v>
      </c>
      <c r="AE83" s="276"/>
      <c r="AF83" s="119"/>
      <c r="AG83" s="119"/>
      <c r="AH83" s="277"/>
      <c r="AI83" s="277"/>
      <c r="AJ83" s="277"/>
    </row>
    <row r="84" spans="2:36" ht="13.5" customHeight="1">
      <c r="B84" s="69">
        <v>1</v>
      </c>
      <c r="C84" s="69">
        <v>82</v>
      </c>
      <c r="D84" s="233" t="s">
        <v>108</v>
      </c>
      <c r="E84" s="233" t="s">
        <v>1172</v>
      </c>
      <c r="F84" s="232" t="s">
        <v>93</v>
      </c>
      <c r="G84" s="232" t="s">
        <v>201</v>
      </c>
      <c r="H84" s="232" t="s">
        <v>195</v>
      </c>
      <c r="I84" s="232">
        <v>1998</v>
      </c>
      <c r="J84" s="232"/>
      <c r="K84" s="134">
        <f t="shared" si="8"/>
        <v>21</v>
      </c>
      <c r="L84" s="232">
        <v>2015</v>
      </c>
      <c r="M84" s="234">
        <v>77499</v>
      </c>
      <c r="N84" s="235">
        <f>261*3.28084</f>
        <v>856.29923999999994</v>
      </c>
      <c r="O84" s="235">
        <v>32</v>
      </c>
      <c r="P84" s="235">
        <v>2014</v>
      </c>
      <c r="Q84" s="235">
        <v>300</v>
      </c>
      <c r="R84" s="235">
        <f t="shared" si="6"/>
        <v>148.95729890764648</v>
      </c>
      <c r="S84" s="235">
        <f>ROUND(R84*CPI!$B$120/VLOOKUP($I84,CPI!$A$1:$B$122,2,FALSE)/1000,2)*1000</f>
        <v>230</v>
      </c>
      <c r="T84" s="232" t="s">
        <v>212</v>
      </c>
      <c r="U84" s="232" t="s">
        <v>234</v>
      </c>
      <c r="V84" s="232"/>
      <c r="W84" s="256" t="e">
        <f t="shared" si="10"/>
        <v>#DIV/0!</v>
      </c>
      <c r="X84" s="257"/>
      <c r="Y84" s="257"/>
      <c r="Z84" s="257"/>
      <c r="AA84" s="257"/>
      <c r="AB84" s="257"/>
      <c r="AC84" s="250">
        <f t="shared" si="9"/>
        <v>1998</v>
      </c>
      <c r="AE84" s="276"/>
      <c r="AF84" s="119"/>
      <c r="AG84" s="119"/>
      <c r="AH84" s="277"/>
      <c r="AI84" s="277"/>
      <c r="AJ84" s="277"/>
    </row>
    <row r="85" spans="2:36" ht="13.5" customHeight="1">
      <c r="B85" s="69">
        <v>1</v>
      </c>
      <c r="C85" s="69">
        <v>83</v>
      </c>
      <c r="D85" s="233" t="s">
        <v>103</v>
      </c>
      <c r="E85" s="233" t="s">
        <v>1173</v>
      </c>
      <c r="F85" s="232" t="s">
        <v>93</v>
      </c>
      <c r="G85" s="232" t="s">
        <v>201</v>
      </c>
      <c r="H85" s="232" t="s">
        <v>195</v>
      </c>
      <c r="I85" s="232">
        <v>1999</v>
      </c>
      <c r="J85" s="232"/>
      <c r="K85" s="134">
        <f t="shared" si="8"/>
        <v>20</v>
      </c>
      <c r="L85" s="232">
        <v>2017</v>
      </c>
      <c r="M85" s="234">
        <v>30277</v>
      </c>
      <c r="N85" s="235">
        <f>181*3.28084</f>
        <v>593.83204000000001</v>
      </c>
      <c r="O85" s="235">
        <v>38</v>
      </c>
      <c r="P85" s="235">
        <v>670</v>
      </c>
      <c r="Q85" s="235">
        <v>150</v>
      </c>
      <c r="R85" s="235">
        <f t="shared" si="6"/>
        <v>223.88059701492537</v>
      </c>
      <c r="S85" s="235">
        <f>ROUND(R85*CPI!$B$120/VLOOKUP($I85,CPI!$A$1:$B$122,2,FALSE)/1000,2)*1000</f>
        <v>330</v>
      </c>
      <c r="T85" s="232" t="s">
        <v>241</v>
      </c>
      <c r="U85" s="232" t="s">
        <v>240</v>
      </c>
      <c r="V85" s="232"/>
      <c r="W85" s="256" t="e">
        <f t="shared" si="10"/>
        <v>#DIV/0!</v>
      </c>
      <c r="X85" s="257"/>
      <c r="Y85" s="257"/>
      <c r="Z85" s="257"/>
      <c r="AA85" s="257"/>
      <c r="AB85" s="257"/>
      <c r="AC85" s="250">
        <f t="shared" si="9"/>
        <v>1999</v>
      </c>
      <c r="AE85" s="276"/>
      <c r="AF85" s="119"/>
      <c r="AG85" s="119"/>
      <c r="AH85" s="277"/>
      <c r="AI85" s="277"/>
      <c r="AJ85" s="277"/>
    </row>
    <row r="86" spans="2:36" ht="13.5" customHeight="1">
      <c r="B86" s="69">
        <v>1</v>
      </c>
      <c r="C86" s="69">
        <v>84</v>
      </c>
      <c r="D86" s="233" t="s">
        <v>100</v>
      </c>
      <c r="E86" s="233" t="s">
        <v>1174</v>
      </c>
      <c r="F86" s="232" t="s">
        <v>93</v>
      </c>
      <c r="G86" s="232" t="s">
        <v>201</v>
      </c>
      <c r="H86" s="232" t="s">
        <v>195</v>
      </c>
      <c r="I86" s="232">
        <v>2001</v>
      </c>
      <c r="J86" s="232"/>
      <c r="K86" s="134">
        <f t="shared" si="8"/>
        <v>18</v>
      </c>
      <c r="L86" s="232">
        <v>2015</v>
      </c>
      <c r="M86" s="234">
        <v>108865</v>
      </c>
      <c r="N86" s="235">
        <f>289*3.28084</f>
        <v>948.16276000000005</v>
      </c>
      <c r="O86" s="235">
        <v>34</v>
      </c>
      <c r="P86" s="235">
        <v>2632</v>
      </c>
      <c r="Q86" s="235">
        <v>450</v>
      </c>
      <c r="R86" s="235">
        <f t="shared" si="6"/>
        <v>170.97264437689969</v>
      </c>
      <c r="S86" s="235">
        <f>ROUND(R86*CPI!$B$120/VLOOKUP($I86,CPI!$A$1:$B$122,2,FALSE)/1000,2)*1000</f>
        <v>240</v>
      </c>
      <c r="T86" s="232" t="s">
        <v>212</v>
      </c>
      <c r="U86" s="232" t="s">
        <v>249</v>
      </c>
      <c r="V86" s="232"/>
      <c r="W86" s="256" t="e">
        <f t="shared" si="10"/>
        <v>#DIV/0!</v>
      </c>
      <c r="X86" s="257"/>
      <c r="Y86" s="257"/>
      <c r="Z86" s="257"/>
      <c r="AA86" s="257"/>
      <c r="AB86" s="257"/>
      <c r="AC86" s="250">
        <f t="shared" si="9"/>
        <v>2001</v>
      </c>
      <c r="AE86" s="276"/>
      <c r="AF86" s="119"/>
      <c r="AG86" s="119"/>
      <c r="AH86" s="277"/>
      <c r="AI86" s="277"/>
      <c r="AJ86" s="277"/>
    </row>
    <row r="87" spans="2:36" ht="13.5" customHeight="1">
      <c r="B87" s="69">
        <v>1</v>
      </c>
      <c r="C87" s="69">
        <v>85</v>
      </c>
      <c r="D87" s="233" t="s">
        <v>109</v>
      </c>
      <c r="E87" s="233" t="s">
        <v>1175</v>
      </c>
      <c r="F87" s="232" t="s">
        <v>93</v>
      </c>
      <c r="G87" s="232" t="s">
        <v>201</v>
      </c>
      <c r="H87" s="232" t="s">
        <v>195</v>
      </c>
      <c r="I87" s="232">
        <v>2002</v>
      </c>
      <c r="J87" s="232"/>
      <c r="K87" s="134">
        <f t="shared" si="8"/>
        <v>17</v>
      </c>
      <c r="L87" s="232">
        <v>2011</v>
      </c>
      <c r="M87" s="234">
        <v>108977</v>
      </c>
      <c r="N87" s="235">
        <f>289*3.28084</f>
        <v>948.16276000000005</v>
      </c>
      <c r="O87" s="235">
        <v>35</v>
      </c>
      <c r="P87" s="235">
        <v>2596</v>
      </c>
      <c r="Q87" s="235">
        <v>450</v>
      </c>
      <c r="R87" s="235">
        <f t="shared" si="6"/>
        <v>173.34360554699538</v>
      </c>
      <c r="S87" s="235">
        <f>ROUND(R87*CPI!$B$120/VLOOKUP($I87,CPI!$A$1:$B$122,2,FALSE)/1000,2)*1000</f>
        <v>240</v>
      </c>
      <c r="T87" s="232" t="s">
        <v>212</v>
      </c>
      <c r="U87" s="232" t="s">
        <v>249</v>
      </c>
      <c r="V87" s="232"/>
      <c r="W87" s="256" t="e">
        <f t="shared" si="10"/>
        <v>#DIV/0!</v>
      </c>
      <c r="X87" s="257"/>
      <c r="Y87" s="257"/>
      <c r="Z87" s="257"/>
      <c r="AA87" s="257"/>
      <c r="AB87" s="257"/>
      <c r="AC87" s="250">
        <f t="shared" si="9"/>
        <v>2002</v>
      </c>
      <c r="AE87" s="276"/>
      <c r="AF87" s="119"/>
      <c r="AG87" s="119"/>
      <c r="AH87" s="277"/>
      <c r="AI87" s="277"/>
      <c r="AJ87" s="277"/>
    </row>
    <row r="88" spans="2:36" ht="13.5" customHeight="1">
      <c r="B88" s="69">
        <v>1</v>
      </c>
      <c r="C88" s="69">
        <v>86</v>
      </c>
      <c r="D88" s="233" t="s">
        <v>95</v>
      </c>
      <c r="E88" s="233" t="s">
        <v>1176</v>
      </c>
      <c r="F88" s="232" t="s">
        <v>93</v>
      </c>
      <c r="G88" s="232" t="s">
        <v>201</v>
      </c>
      <c r="H88" s="232" t="s">
        <v>195</v>
      </c>
      <c r="I88" s="232">
        <v>2003</v>
      </c>
      <c r="J88" s="232"/>
      <c r="K88" s="134">
        <f t="shared" si="8"/>
        <v>16</v>
      </c>
      <c r="L88" s="232">
        <v>2016</v>
      </c>
      <c r="M88" s="234">
        <v>91627</v>
      </c>
      <c r="N88" s="235">
        <f>294*3.28084</f>
        <v>964.56695999999999</v>
      </c>
      <c r="O88" s="235">
        <v>38</v>
      </c>
      <c r="P88" s="235">
        <v>1970</v>
      </c>
      <c r="Q88" s="235">
        <v>330</v>
      </c>
      <c r="R88" s="235">
        <f t="shared" si="6"/>
        <v>167.51269035532997</v>
      </c>
      <c r="S88" s="235">
        <f>ROUND(R88*CPI!$B$120/VLOOKUP($I88,CPI!$A$1:$B$122,2,FALSE)/1000,2)*1000</f>
        <v>230</v>
      </c>
      <c r="T88" s="232" t="s">
        <v>241</v>
      </c>
      <c r="U88" s="232" t="s">
        <v>250</v>
      </c>
      <c r="V88" s="232"/>
      <c r="W88" s="256" t="e">
        <f t="shared" si="10"/>
        <v>#DIV/0!</v>
      </c>
      <c r="X88" s="257"/>
      <c r="Y88" s="257"/>
      <c r="Z88" s="257"/>
      <c r="AA88" s="257"/>
      <c r="AB88" s="257"/>
      <c r="AC88" s="250">
        <f t="shared" si="9"/>
        <v>2003</v>
      </c>
      <c r="AE88" s="276"/>
      <c r="AF88" s="119"/>
      <c r="AG88" s="119"/>
      <c r="AH88" s="277"/>
      <c r="AI88" s="277"/>
      <c r="AJ88" s="277"/>
    </row>
    <row r="89" spans="2:36" ht="13.5" customHeight="1">
      <c r="B89" s="69">
        <v>1</v>
      </c>
      <c r="C89" s="69">
        <v>87</v>
      </c>
      <c r="D89" s="233" t="s">
        <v>101</v>
      </c>
      <c r="E89" s="233" t="s">
        <v>1177</v>
      </c>
      <c r="F89" s="232" t="s">
        <v>93</v>
      </c>
      <c r="G89" s="232" t="s">
        <v>201</v>
      </c>
      <c r="H89" s="232" t="s">
        <v>195</v>
      </c>
      <c r="I89" s="232">
        <v>2003</v>
      </c>
      <c r="J89" s="232"/>
      <c r="K89" s="134">
        <f t="shared" si="8"/>
        <v>16</v>
      </c>
      <c r="L89" s="232">
        <v>2015</v>
      </c>
      <c r="M89" s="234">
        <v>91627</v>
      </c>
      <c r="N89" s="235">
        <v>965</v>
      </c>
      <c r="O89" s="235">
        <v>35</v>
      </c>
      <c r="P89" s="235">
        <v>1970</v>
      </c>
      <c r="Q89" s="235">
        <v>330</v>
      </c>
      <c r="R89" s="235">
        <f t="shared" si="6"/>
        <v>167.51269035532997</v>
      </c>
      <c r="S89" s="235">
        <f>ROUND(R89*CPI!$B$120/VLOOKUP($I89,CPI!$A$1:$B$122,2,FALSE)/1000,2)*1000</f>
        <v>230</v>
      </c>
      <c r="T89" s="232" t="s">
        <v>241</v>
      </c>
      <c r="U89" s="232" t="s">
        <v>250</v>
      </c>
      <c r="V89" s="232"/>
      <c r="W89" s="256" t="e">
        <f t="shared" si="10"/>
        <v>#DIV/0!</v>
      </c>
      <c r="X89" s="257"/>
      <c r="Y89" s="257"/>
      <c r="Z89" s="257"/>
      <c r="AA89" s="257"/>
      <c r="AB89" s="257"/>
      <c r="AC89" s="250">
        <f t="shared" si="9"/>
        <v>2003</v>
      </c>
      <c r="AE89" s="276"/>
      <c r="AF89" s="119"/>
      <c r="AG89" s="119"/>
      <c r="AH89" s="277"/>
      <c r="AI89" s="277"/>
      <c r="AJ89" s="277"/>
    </row>
    <row r="90" spans="2:36" ht="13.5" customHeight="1">
      <c r="B90" s="69">
        <v>1</v>
      </c>
      <c r="C90" s="69">
        <v>88</v>
      </c>
      <c r="D90" s="233" t="s">
        <v>94</v>
      </c>
      <c r="E90" s="233" t="s">
        <v>1178</v>
      </c>
      <c r="F90" s="232" t="s">
        <v>93</v>
      </c>
      <c r="G90" s="232" t="s">
        <v>201</v>
      </c>
      <c r="H90" s="232" t="s">
        <v>195</v>
      </c>
      <c r="I90" s="232">
        <v>2004</v>
      </c>
      <c r="J90" s="232"/>
      <c r="K90" s="134">
        <f t="shared" si="8"/>
        <v>15</v>
      </c>
      <c r="L90" s="232">
        <v>2017</v>
      </c>
      <c r="M90" s="234">
        <v>112894</v>
      </c>
      <c r="N90" s="235">
        <f>289*3.28084</f>
        <v>948.16276000000005</v>
      </c>
      <c r="O90" s="235">
        <v>30</v>
      </c>
      <c r="P90" s="235">
        <v>3130</v>
      </c>
      <c r="Q90" s="235">
        <v>500</v>
      </c>
      <c r="R90" s="235">
        <f t="shared" si="6"/>
        <v>159.7444089456869</v>
      </c>
      <c r="S90" s="235">
        <f>ROUND(R90*CPI!$B$120/VLOOKUP($I90,CPI!$A$1:$B$122,2,FALSE)/1000,2)*1000</f>
        <v>210</v>
      </c>
      <c r="T90" s="232" t="s">
        <v>212</v>
      </c>
      <c r="U90" s="232" t="s">
        <v>249</v>
      </c>
      <c r="V90" s="232"/>
      <c r="W90" s="256" t="e">
        <f t="shared" si="10"/>
        <v>#DIV/0!</v>
      </c>
      <c r="X90" s="257"/>
      <c r="Y90" s="257"/>
      <c r="Z90" s="257"/>
      <c r="AA90" s="257"/>
      <c r="AB90" s="257"/>
      <c r="AC90" s="250">
        <f t="shared" si="9"/>
        <v>2004</v>
      </c>
      <c r="AE90" s="276"/>
      <c r="AF90" s="119"/>
      <c r="AG90" s="119"/>
      <c r="AH90" s="277"/>
      <c r="AI90" s="277"/>
      <c r="AJ90" s="277"/>
    </row>
    <row r="91" spans="2:36" ht="13.5" customHeight="1">
      <c r="B91" s="69">
        <v>1</v>
      </c>
      <c r="C91" s="69">
        <v>89</v>
      </c>
      <c r="D91" s="233" t="s">
        <v>97</v>
      </c>
      <c r="E91" s="233" t="s">
        <v>1179</v>
      </c>
      <c r="F91" s="232" t="s">
        <v>93</v>
      </c>
      <c r="G91" s="232" t="s">
        <v>201</v>
      </c>
      <c r="H91" s="232" t="s">
        <v>195</v>
      </c>
      <c r="I91" s="232">
        <v>2004</v>
      </c>
      <c r="J91" s="232"/>
      <c r="K91" s="134">
        <f t="shared" si="8"/>
        <v>15</v>
      </c>
      <c r="L91" s="232">
        <v>2017</v>
      </c>
      <c r="M91" s="234">
        <v>115906</v>
      </c>
      <c r="N91" s="235">
        <f>290*3.28084</f>
        <v>951.44359999999995</v>
      </c>
      <c r="O91" s="235">
        <v>36</v>
      </c>
      <c r="P91" s="235">
        <v>2706</v>
      </c>
      <c r="Q91" s="235">
        <v>400</v>
      </c>
      <c r="R91" s="235">
        <f t="shared" si="6"/>
        <v>147.81966001478196</v>
      </c>
      <c r="S91" s="235">
        <f>ROUND(R91*CPI!$B$120/VLOOKUP($I91,CPI!$A$1:$B$122,2,FALSE)/1000,2)*1000</f>
        <v>190</v>
      </c>
      <c r="T91" s="232" t="s">
        <v>252</v>
      </c>
      <c r="U91" s="232" t="s">
        <v>249</v>
      </c>
      <c r="V91" s="232"/>
      <c r="W91" s="256" t="e">
        <f t="shared" si="10"/>
        <v>#DIV/0!</v>
      </c>
      <c r="X91" s="257"/>
      <c r="Y91" s="257"/>
      <c r="Z91" s="257"/>
      <c r="AA91" s="257"/>
      <c r="AB91" s="257"/>
      <c r="AC91" s="250">
        <f t="shared" si="9"/>
        <v>2004</v>
      </c>
      <c r="AE91" s="276"/>
      <c r="AF91" s="119"/>
      <c r="AG91" s="119"/>
      <c r="AH91" s="277"/>
      <c r="AI91" s="277"/>
      <c r="AJ91" s="277"/>
    </row>
    <row r="92" spans="2:36" ht="13.5" customHeight="1">
      <c r="B92" s="69">
        <v>1</v>
      </c>
      <c r="C92" s="69">
        <v>90</v>
      </c>
      <c r="D92" s="233" t="s">
        <v>107</v>
      </c>
      <c r="E92" s="233" t="s">
        <v>1180</v>
      </c>
      <c r="F92" s="232" t="s">
        <v>93</v>
      </c>
      <c r="G92" s="232" t="s">
        <v>201</v>
      </c>
      <c r="H92" s="232" t="s">
        <v>195</v>
      </c>
      <c r="I92" s="232">
        <v>2004</v>
      </c>
      <c r="J92" s="232"/>
      <c r="K92" s="134">
        <f t="shared" si="8"/>
        <v>15</v>
      </c>
      <c r="L92" s="232">
        <v>2015</v>
      </c>
      <c r="M92" s="234">
        <v>115875</v>
      </c>
      <c r="N92" s="235">
        <f>290*3.28084</f>
        <v>951.44359999999995</v>
      </c>
      <c r="O92" s="235">
        <v>36</v>
      </c>
      <c r="P92" s="235">
        <v>2678</v>
      </c>
      <c r="Q92" s="235">
        <v>400</v>
      </c>
      <c r="R92" s="235">
        <f t="shared" si="6"/>
        <v>149.36519790888721</v>
      </c>
      <c r="S92" s="235">
        <f>ROUND(R92*CPI!$B$120/VLOOKUP($I92,CPI!$A$1:$B$122,2,FALSE)/1000,2)*1000</f>
        <v>200</v>
      </c>
      <c r="T92" s="232" t="s">
        <v>252</v>
      </c>
      <c r="U92" s="232" t="s">
        <v>249</v>
      </c>
      <c r="V92" s="232"/>
      <c r="W92" s="256" t="e">
        <f t="shared" si="10"/>
        <v>#DIV/0!</v>
      </c>
      <c r="X92" s="257"/>
      <c r="Y92" s="257"/>
      <c r="Z92" s="257"/>
      <c r="AA92" s="257"/>
      <c r="AB92" s="257"/>
      <c r="AC92" s="250">
        <f t="shared" si="9"/>
        <v>2004</v>
      </c>
      <c r="AE92" s="276"/>
      <c r="AF92" s="119"/>
      <c r="AG92" s="119"/>
      <c r="AH92" s="277"/>
      <c r="AI92" s="277"/>
      <c r="AJ92" s="277"/>
    </row>
    <row r="93" spans="2:36" ht="13.5" customHeight="1">
      <c r="B93" s="69">
        <v>1</v>
      </c>
      <c r="C93" s="69">
        <v>91</v>
      </c>
      <c r="D93" s="233" t="s">
        <v>96</v>
      </c>
      <c r="E93" s="233" t="s">
        <v>1181</v>
      </c>
      <c r="F93" s="232" t="s">
        <v>93</v>
      </c>
      <c r="G93" s="232" t="s">
        <v>201</v>
      </c>
      <c r="H93" s="232" t="s">
        <v>195</v>
      </c>
      <c r="I93" s="232">
        <v>2006</v>
      </c>
      <c r="J93" s="232"/>
      <c r="K93" s="134">
        <f t="shared" si="8"/>
        <v>13</v>
      </c>
      <c r="L93" s="232">
        <v>2015</v>
      </c>
      <c r="M93" s="234">
        <v>113561</v>
      </c>
      <c r="N93" s="235">
        <f>288*3.28084</f>
        <v>944.88192000000004</v>
      </c>
      <c r="O93" s="235">
        <v>31</v>
      </c>
      <c r="P93" s="235">
        <v>3062</v>
      </c>
      <c r="Q93" s="235">
        <v>500</v>
      </c>
      <c r="R93" s="235">
        <f t="shared" si="6"/>
        <v>163.29196603527109</v>
      </c>
      <c r="S93" s="235">
        <f>ROUND(R93*CPI!$B$120/VLOOKUP($I93,CPI!$A$1:$B$122,2,FALSE)/1000,2)*1000</f>
        <v>200</v>
      </c>
      <c r="T93" s="232" t="s">
        <v>212</v>
      </c>
      <c r="U93" s="232" t="s">
        <v>249</v>
      </c>
      <c r="V93" s="232"/>
      <c r="W93" s="256" t="e">
        <f t="shared" si="10"/>
        <v>#DIV/0!</v>
      </c>
      <c r="X93" s="257"/>
      <c r="Y93" s="257"/>
      <c r="Z93" s="257"/>
      <c r="AA93" s="257"/>
      <c r="AB93" s="257"/>
      <c r="AC93" s="250">
        <f t="shared" si="9"/>
        <v>2006</v>
      </c>
      <c r="AE93" s="276"/>
      <c r="AF93" s="119"/>
      <c r="AG93" s="119"/>
      <c r="AH93" s="277"/>
      <c r="AI93" s="277"/>
      <c r="AJ93" s="277"/>
    </row>
    <row r="94" spans="2:36" ht="13.5" customHeight="1">
      <c r="B94" s="69">
        <v>1</v>
      </c>
      <c r="C94" s="69">
        <v>92</v>
      </c>
      <c r="D94" s="233" t="s">
        <v>98</v>
      </c>
      <c r="E94" s="233" t="s">
        <v>1182</v>
      </c>
      <c r="F94" s="232" t="s">
        <v>93</v>
      </c>
      <c r="G94" s="232" t="s">
        <v>201</v>
      </c>
      <c r="H94" s="232" t="s">
        <v>195</v>
      </c>
      <c r="I94" s="232">
        <v>2007</v>
      </c>
      <c r="J94" s="232"/>
      <c r="K94" s="134">
        <f t="shared" si="8"/>
        <v>12</v>
      </c>
      <c r="L94" s="232">
        <v>2015</v>
      </c>
      <c r="M94" s="234">
        <v>113561</v>
      </c>
      <c r="N94" s="235">
        <v>945</v>
      </c>
      <c r="O94" s="235">
        <v>31</v>
      </c>
      <c r="P94" s="235">
        <v>3060</v>
      </c>
      <c r="Q94" s="235">
        <v>500</v>
      </c>
      <c r="R94" s="235">
        <f t="shared" si="6"/>
        <v>163.39869281045753</v>
      </c>
      <c r="S94" s="235">
        <f>ROUND(R94*CPI!$B$120/VLOOKUP($I94,CPI!$A$1:$B$122,2,FALSE)/1000,2)*1000</f>
        <v>190</v>
      </c>
      <c r="T94" s="232" t="s">
        <v>212</v>
      </c>
      <c r="U94" s="232" t="s">
        <v>249</v>
      </c>
      <c r="V94" s="232"/>
      <c r="W94" s="256" t="e">
        <f t="shared" si="10"/>
        <v>#DIV/0!</v>
      </c>
      <c r="X94" s="257"/>
      <c r="Y94" s="257"/>
      <c r="Z94" s="257"/>
      <c r="AA94" s="257"/>
      <c r="AB94" s="257"/>
      <c r="AC94" s="250">
        <f t="shared" si="9"/>
        <v>2007</v>
      </c>
      <c r="AE94" s="276"/>
      <c r="AF94" s="119"/>
      <c r="AG94" s="119"/>
      <c r="AH94" s="277"/>
      <c r="AI94" s="277"/>
      <c r="AJ94" s="277"/>
    </row>
    <row r="95" spans="2:36" ht="13.5" customHeight="1">
      <c r="B95" s="69">
        <v>1</v>
      </c>
      <c r="C95" s="69">
        <v>93</v>
      </c>
      <c r="D95" s="233" t="s">
        <v>106</v>
      </c>
      <c r="E95" s="233" t="s">
        <v>1183</v>
      </c>
      <c r="F95" s="232" t="s">
        <v>93</v>
      </c>
      <c r="G95" s="232" t="s">
        <v>201</v>
      </c>
      <c r="H95" s="232" t="s">
        <v>195</v>
      </c>
      <c r="I95" s="232">
        <v>2008</v>
      </c>
      <c r="J95" s="232"/>
      <c r="K95" s="134">
        <f t="shared" si="8"/>
        <v>11</v>
      </c>
      <c r="L95" s="232">
        <v>2015</v>
      </c>
      <c r="M95" s="234">
        <v>113561</v>
      </c>
      <c r="N95" s="235">
        <f>289*3.28084</f>
        <v>948.16276000000005</v>
      </c>
      <c r="O95" s="235">
        <v>31</v>
      </c>
      <c r="P95" s="235">
        <v>3060</v>
      </c>
      <c r="Q95" s="235">
        <v>400</v>
      </c>
      <c r="R95" s="235">
        <f t="shared" si="6"/>
        <v>130.71895424836603</v>
      </c>
      <c r="S95" s="235">
        <f>ROUND(R95*CPI!$B$120/VLOOKUP($I95,CPI!$A$1:$B$122,2,FALSE)/1000,2)*1000</f>
        <v>160</v>
      </c>
      <c r="T95" s="232" t="s">
        <v>212</v>
      </c>
      <c r="U95" s="232" t="s">
        <v>249</v>
      </c>
      <c r="V95" s="232"/>
      <c r="W95" s="256" t="e">
        <f t="shared" si="10"/>
        <v>#DIV/0!</v>
      </c>
      <c r="X95" s="257"/>
      <c r="Y95" s="257"/>
      <c r="Z95" s="257"/>
      <c r="AA95" s="257"/>
      <c r="AB95" s="257"/>
      <c r="AC95" s="250">
        <f t="shared" si="9"/>
        <v>2008</v>
      </c>
      <c r="AE95" s="276"/>
      <c r="AF95" s="119"/>
      <c r="AG95" s="119"/>
      <c r="AH95" s="277"/>
      <c r="AI95" s="277"/>
      <c r="AJ95" s="277"/>
    </row>
    <row r="96" spans="2:36" ht="13.5" customHeight="1">
      <c r="B96" s="69">
        <v>1</v>
      </c>
      <c r="C96" s="69">
        <v>94</v>
      </c>
      <c r="D96" s="233" t="s">
        <v>105</v>
      </c>
      <c r="E96" s="233" t="s">
        <v>1184</v>
      </c>
      <c r="F96" s="232" t="s">
        <v>93</v>
      </c>
      <c r="G96" s="232" t="s">
        <v>201</v>
      </c>
      <c r="H96" s="232" t="s">
        <v>195</v>
      </c>
      <c r="I96" s="232">
        <v>2013</v>
      </c>
      <c r="J96" s="232"/>
      <c r="K96" s="134">
        <f t="shared" si="8"/>
        <v>6</v>
      </c>
      <c r="L96" s="232">
        <v>2016</v>
      </c>
      <c r="M96" s="234">
        <v>142714</v>
      </c>
      <c r="N96" s="235">
        <f>330*3.28084</f>
        <v>1082.6772000000001</v>
      </c>
      <c r="O96" s="235">
        <v>33</v>
      </c>
      <c r="P96" s="235">
        <v>3560</v>
      </c>
      <c r="Q96" s="235">
        <v>760</v>
      </c>
      <c r="R96" s="235">
        <f t="shared" si="6"/>
        <v>213.48314606741573</v>
      </c>
      <c r="S96" s="235">
        <f>ROUND(R96*CPI!$B$120/VLOOKUP($I96,CPI!$A$1:$B$122,2,FALSE)/1000,2)*1000</f>
        <v>230</v>
      </c>
      <c r="T96" s="232" t="s">
        <v>212</v>
      </c>
      <c r="U96" s="232" t="s">
        <v>251</v>
      </c>
      <c r="V96" s="232"/>
      <c r="W96" s="256" t="e">
        <f t="shared" si="10"/>
        <v>#DIV/0!</v>
      </c>
      <c r="X96" s="257"/>
      <c r="Y96" s="257"/>
      <c r="Z96" s="257"/>
      <c r="AA96" s="257"/>
      <c r="AB96" s="257"/>
      <c r="AC96" s="250">
        <f t="shared" si="9"/>
        <v>2013</v>
      </c>
      <c r="AE96" s="276"/>
      <c r="AF96" s="119"/>
      <c r="AG96" s="119"/>
      <c r="AH96" s="277"/>
      <c r="AI96" s="277"/>
      <c r="AJ96" s="277"/>
    </row>
    <row r="97" spans="2:36" ht="13.5" customHeight="1">
      <c r="B97" s="69">
        <v>1</v>
      </c>
      <c r="C97" s="69">
        <v>95</v>
      </c>
      <c r="D97" s="233" t="s">
        <v>104</v>
      </c>
      <c r="E97" s="233" t="s">
        <v>1185</v>
      </c>
      <c r="F97" s="232" t="s">
        <v>93</v>
      </c>
      <c r="G97" s="232" t="s">
        <v>201</v>
      </c>
      <c r="H97" s="232" t="s">
        <v>195</v>
      </c>
      <c r="I97" s="232">
        <v>2014</v>
      </c>
      <c r="J97" s="232"/>
      <c r="K97" s="134">
        <f t="shared" si="8"/>
        <v>5</v>
      </c>
      <c r="L97" s="232">
        <v>2017</v>
      </c>
      <c r="M97" s="234">
        <v>139000</v>
      </c>
      <c r="N97" s="235">
        <f>330*3.28084</f>
        <v>1082.6772000000001</v>
      </c>
      <c r="O97" s="235">
        <v>33</v>
      </c>
      <c r="P97" s="235">
        <v>3560</v>
      </c>
      <c r="Q97" s="235">
        <v>760</v>
      </c>
      <c r="R97" s="235">
        <f t="shared" si="6"/>
        <v>213.48314606741573</v>
      </c>
      <c r="S97" s="235">
        <f>ROUND(R97*CPI!$B$120/VLOOKUP($I97,CPI!$A$1:$B$122,2,FALSE)/1000,2)*1000</f>
        <v>230</v>
      </c>
      <c r="T97" s="232" t="s">
        <v>212</v>
      </c>
      <c r="U97" s="232" t="s">
        <v>251</v>
      </c>
      <c r="V97" s="232"/>
      <c r="W97" s="256" t="e">
        <f t="shared" si="10"/>
        <v>#DIV/0!</v>
      </c>
      <c r="X97" s="257"/>
      <c r="Y97" s="257"/>
      <c r="Z97" s="257"/>
      <c r="AA97" s="257"/>
      <c r="AB97" s="257"/>
      <c r="AC97" s="250">
        <f t="shared" si="9"/>
        <v>2014</v>
      </c>
      <c r="AE97" s="276"/>
      <c r="AF97" s="119"/>
      <c r="AG97" s="119"/>
      <c r="AH97" s="277"/>
      <c r="AI97" s="277"/>
      <c r="AJ97" s="277"/>
    </row>
    <row r="98" spans="2:36" ht="13.5" customHeight="1">
      <c r="B98" s="69">
        <v>1</v>
      </c>
      <c r="C98" s="69">
        <v>96</v>
      </c>
      <c r="D98" s="233" t="s">
        <v>102</v>
      </c>
      <c r="E98" s="233" t="s">
        <v>1186</v>
      </c>
      <c r="F98" s="232" t="s">
        <v>93</v>
      </c>
      <c r="G98" s="232" t="s">
        <v>201</v>
      </c>
      <c r="H98" s="232" t="s">
        <v>195</v>
      </c>
      <c r="I98" s="232">
        <v>2017</v>
      </c>
      <c r="J98" s="232"/>
      <c r="K98" s="134">
        <f t="shared" si="8"/>
        <v>2</v>
      </c>
      <c r="L98" s="232"/>
      <c r="M98" s="234">
        <v>143000</v>
      </c>
      <c r="N98" s="235">
        <v>1083</v>
      </c>
      <c r="O98" s="235">
        <v>33</v>
      </c>
      <c r="P98" s="235">
        <v>3560</v>
      </c>
      <c r="Q98" s="235">
        <v>760</v>
      </c>
      <c r="R98" s="235">
        <f t="shared" si="6"/>
        <v>213.48314606741573</v>
      </c>
      <c r="S98" s="235">
        <f>ROUND(R98*CPI!$B$120/VLOOKUP($I98,CPI!$A$1:$B$140,2,FALSE)/1000,2)*1000</f>
        <v>220</v>
      </c>
      <c r="T98" s="232" t="s">
        <v>212</v>
      </c>
      <c r="U98" s="232" t="s">
        <v>251</v>
      </c>
      <c r="V98" s="232"/>
      <c r="W98" s="256" t="e">
        <f t="shared" si="10"/>
        <v>#DIV/0!</v>
      </c>
      <c r="X98" s="257"/>
      <c r="Y98" s="257"/>
      <c r="Z98" s="257"/>
      <c r="AA98" s="257"/>
      <c r="AB98" s="257"/>
      <c r="AC98" s="250">
        <f t="shared" si="9"/>
        <v>2017</v>
      </c>
      <c r="AE98" s="276"/>
      <c r="AF98" s="119"/>
      <c r="AG98" s="119"/>
      <c r="AH98" s="277"/>
      <c r="AI98" s="277"/>
      <c r="AJ98" s="277"/>
    </row>
    <row r="99" spans="2:36" ht="13.5" customHeight="1">
      <c r="B99" s="69">
        <v>1</v>
      </c>
      <c r="C99" s="69">
        <v>97</v>
      </c>
      <c r="D99" s="249" t="s">
        <v>914</v>
      </c>
      <c r="E99" s="249" t="s">
        <v>1187</v>
      </c>
      <c r="F99" s="250" t="s">
        <v>93</v>
      </c>
      <c r="G99" s="250" t="s">
        <v>201</v>
      </c>
      <c r="H99" s="250" t="s">
        <v>195</v>
      </c>
      <c r="I99" s="250">
        <v>2019</v>
      </c>
      <c r="J99" s="250" t="s">
        <v>1051</v>
      </c>
      <c r="K99" s="134" t="str">
        <f t="shared" si="8"/>
        <v/>
      </c>
      <c r="L99" s="250"/>
      <c r="M99" s="251">
        <v>141000</v>
      </c>
      <c r="N99" s="252"/>
      <c r="O99" s="252">
        <f>M99/P99</f>
        <v>39.166666666666664</v>
      </c>
      <c r="P99" s="252">
        <v>3600</v>
      </c>
      <c r="Q99" s="252">
        <v>760</v>
      </c>
      <c r="R99" s="252">
        <f t="shared" ref="R99:R130" si="11">Q99/P99*1000</f>
        <v>211.11111111111111</v>
      </c>
      <c r="S99" s="252">
        <f>ROUND(R99*CPI!$B$120/VLOOKUP($I99,CPI!$A$1:$B$140,2,FALSE)/1000,2)*1000</f>
        <v>210</v>
      </c>
      <c r="T99" s="250" t="s">
        <v>212</v>
      </c>
      <c r="U99" s="250" t="s">
        <v>755</v>
      </c>
      <c r="V99" s="250"/>
      <c r="W99" s="256"/>
      <c r="X99" s="257"/>
      <c r="Y99" s="257"/>
      <c r="Z99" s="257"/>
      <c r="AA99" s="257"/>
      <c r="AB99" s="257"/>
      <c r="AC99" s="250" t="str">
        <f t="shared" si="9"/>
        <v/>
      </c>
      <c r="AE99" s="276">
        <v>43758</v>
      </c>
      <c r="AF99" s="119" t="s">
        <v>1070</v>
      </c>
      <c r="AG99" s="119" t="s">
        <v>1072</v>
      </c>
      <c r="AH99" s="277">
        <v>1449</v>
      </c>
      <c r="AI99" s="277">
        <v>7</v>
      </c>
      <c r="AJ99" s="277">
        <f>AH99/AI99</f>
        <v>207</v>
      </c>
    </row>
    <row r="100" spans="2:36" ht="13.5" customHeight="1">
      <c r="B100" s="69">
        <v>1</v>
      </c>
      <c r="C100" s="69">
        <v>98</v>
      </c>
      <c r="D100" s="249" t="s">
        <v>762</v>
      </c>
      <c r="E100" s="249" t="s">
        <v>1188</v>
      </c>
      <c r="F100" s="250" t="s">
        <v>93</v>
      </c>
      <c r="G100" s="250" t="s">
        <v>201</v>
      </c>
      <c r="H100" s="250" t="s">
        <v>195</v>
      </c>
      <c r="I100" s="250">
        <v>2020</v>
      </c>
      <c r="J100" s="250" t="s">
        <v>1047</v>
      </c>
      <c r="K100" s="134" t="str">
        <f t="shared" si="8"/>
        <v/>
      </c>
      <c r="L100" s="250"/>
      <c r="M100" s="251">
        <v>141000</v>
      </c>
      <c r="N100" s="252"/>
      <c r="O100" s="252">
        <f>M100/P100</f>
        <v>39.166666666666664</v>
      </c>
      <c r="P100" s="252">
        <v>3600</v>
      </c>
      <c r="Q100" s="252">
        <v>760</v>
      </c>
      <c r="R100" s="252">
        <f t="shared" si="11"/>
        <v>211.11111111111111</v>
      </c>
      <c r="S100" s="252">
        <f>ROUND(R100*CPI!$B$120/VLOOKUP($I100,CPI!$A$1:$B$140,2,FALSE)/1000,2)*1000</f>
        <v>200</v>
      </c>
      <c r="T100" s="250" t="s">
        <v>212</v>
      </c>
      <c r="U100" s="250" t="s">
        <v>755</v>
      </c>
      <c r="V100" s="250"/>
      <c r="W100" s="256"/>
      <c r="X100" s="257"/>
      <c r="Y100" s="257"/>
      <c r="Z100" s="257"/>
      <c r="AA100" s="257"/>
      <c r="AB100" s="257"/>
      <c r="AC100" s="250" t="str">
        <f t="shared" si="9"/>
        <v/>
      </c>
      <c r="AE100" s="276"/>
      <c r="AF100" s="119"/>
      <c r="AG100" s="119"/>
      <c r="AH100" s="277"/>
      <c r="AI100" s="277"/>
      <c r="AJ100" s="277"/>
    </row>
    <row r="101" spans="2:36" ht="13.5" customHeight="1">
      <c r="B101" s="69">
        <v>1</v>
      </c>
      <c r="C101" s="69">
        <v>99</v>
      </c>
      <c r="D101" s="249" t="s">
        <v>967</v>
      </c>
      <c r="E101" s="249" t="s">
        <v>1189</v>
      </c>
      <c r="F101" s="250" t="s">
        <v>93</v>
      </c>
      <c r="G101" s="250" t="s">
        <v>201</v>
      </c>
      <c r="H101" s="250" t="s">
        <v>195</v>
      </c>
      <c r="I101" s="250">
        <v>2022</v>
      </c>
      <c r="J101" s="250" t="s">
        <v>1052</v>
      </c>
      <c r="K101" s="134" t="str">
        <f t="shared" si="8"/>
        <v/>
      </c>
      <c r="L101" s="250"/>
      <c r="M101" s="251">
        <v>141000</v>
      </c>
      <c r="N101" s="252"/>
      <c r="O101" s="252">
        <f>M101/P101</f>
        <v>39.166666666666664</v>
      </c>
      <c r="P101" s="252">
        <v>3600</v>
      </c>
      <c r="Q101" s="252">
        <v>760</v>
      </c>
      <c r="R101" s="252">
        <f t="shared" si="11"/>
        <v>211.11111111111111</v>
      </c>
      <c r="S101" s="252">
        <f>ROUND(R101*CPI!$B$120/VLOOKUP($I101,CPI!$A$1:$B$140,2,FALSE)/1000,2)*1000</f>
        <v>200</v>
      </c>
      <c r="T101" s="250" t="s">
        <v>212</v>
      </c>
      <c r="U101" s="250" t="s">
        <v>755</v>
      </c>
      <c r="V101" s="250"/>
      <c r="W101" s="256"/>
      <c r="X101" s="257"/>
      <c r="Y101" s="257"/>
      <c r="Z101" s="257"/>
      <c r="AA101" s="257"/>
      <c r="AB101" s="257"/>
      <c r="AC101" s="250" t="str">
        <f t="shared" si="9"/>
        <v/>
      </c>
      <c r="AE101" s="276"/>
      <c r="AF101" s="119"/>
      <c r="AG101" s="119"/>
      <c r="AH101" s="277"/>
      <c r="AI101" s="277"/>
      <c r="AJ101" s="277"/>
    </row>
    <row r="102" spans="2:36" ht="13.5" customHeight="1">
      <c r="B102" s="69">
        <v>1</v>
      </c>
      <c r="C102" s="69">
        <v>100</v>
      </c>
      <c r="D102" s="233" t="s">
        <v>761</v>
      </c>
      <c r="E102" s="233" t="s">
        <v>1190</v>
      </c>
      <c r="F102" s="232" t="s">
        <v>93</v>
      </c>
      <c r="G102" s="232" t="s">
        <v>201</v>
      </c>
      <c r="H102" s="232" t="s">
        <v>747</v>
      </c>
      <c r="I102" s="232">
        <v>1988</v>
      </c>
      <c r="J102" s="232"/>
      <c r="K102" s="134">
        <f t="shared" si="8"/>
        <v>31</v>
      </c>
      <c r="L102" s="232">
        <v>2016</v>
      </c>
      <c r="M102" s="234">
        <v>39051</v>
      </c>
      <c r="N102" s="235">
        <f>204*3.28084</f>
        <v>669.29135999999994</v>
      </c>
      <c r="O102" s="235">
        <v>38</v>
      </c>
      <c r="P102" s="235">
        <v>838</v>
      </c>
      <c r="Q102" s="235">
        <v>160</v>
      </c>
      <c r="R102" s="235">
        <f t="shared" si="11"/>
        <v>190.93078758949881</v>
      </c>
      <c r="S102" s="235">
        <f>ROUND(R102*CPI!$B$120/VLOOKUP($I102,CPI!$A$1:$B$122,2,FALSE)/1000,2)*1000</f>
        <v>400</v>
      </c>
      <c r="T102" s="232" t="s">
        <v>212</v>
      </c>
      <c r="U102" s="232" t="s">
        <v>248</v>
      </c>
      <c r="V102" s="232"/>
      <c r="W102" s="256" t="e">
        <f t="shared" ref="W102:W115" si="12">SUM(((X102/SUM(X102:AB102))*5),((Y102/SUM(X102:AB102))*4),((Z102/SUM(X102:AB102))*3),((AA102/SUM(X102:AB102))*2),((AB102/SUM(X102:AB102)*1)))</f>
        <v>#DIV/0!</v>
      </c>
      <c r="X102" s="257"/>
      <c r="Y102" s="257"/>
      <c r="Z102" s="257"/>
      <c r="AA102" s="257"/>
      <c r="AB102" s="257"/>
      <c r="AC102" s="250">
        <f t="shared" si="9"/>
        <v>1988</v>
      </c>
      <c r="AE102" s="276"/>
      <c r="AF102" s="119"/>
      <c r="AG102" s="119"/>
      <c r="AH102" s="277"/>
      <c r="AI102" s="277"/>
      <c r="AJ102" s="277"/>
    </row>
    <row r="103" spans="2:36" ht="13.5" customHeight="1">
      <c r="B103" s="69">
        <v>1</v>
      </c>
      <c r="C103" s="69">
        <v>101</v>
      </c>
      <c r="D103" s="233" t="s">
        <v>475</v>
      </c>
      <c r="E103" s="233" t="s">
        <v>1191</v>
      </c>
      <c r="F103" s="232" t="s">
        <v>93</v>
      </c>
      <c r="G103" s="232" t="s">
        <v>201</v>
      </c>
      <c r="H103" s="232" t="s">
        <v>747</v>
      </c>
      <c r="I103" s="232">
        <v>1993</v>
      </c>
      <c r="J103" s="232"/>
      <c r="K103" s="134">
        <f t="shared" si="8"/>
        <v>26</v>
      </c>
      <c r="L103" s="232">
        <v>2016</v>
      </c>
      <c r="M103" s="234">
        <v>55575</v>
      </c>
      <c r="N103" s="235">
        <f>219*3.28084</f>
        <v>718.50396000000001</v>
      </c>
      <c r="O103" s="235">
        <v>37</v>
      </c>
      <c r="P103" s="235">
        <v>1258</v>
      </c>
      <c r="Q103" s="235">
        <v>180</v>
      </c>
      <c r="R103" s="235">
        <f t="shared" si="11"/>
        <v>143.08426073131955</v>
      </c>
      <c r="S103" s="235">
        <f>ROUND(R103*CPI!$B$120/VLOOKUP($I103,CPI!$A$1:$B$122,2,FALSE)/1000,2)*1000</f>
        <v>250</v>
      </c>
      <c r="T103" s="232" t="s">
        <v>212</v>
      </c>
      <c r="U103" s="232" t="s">
        <v>247</v>
      </c>
      <c r="V103" s="232"/>
      <c r="W103" s="256" t="e">
        <f t="shared" si="12"/>
        <v>#DIV/0!</v>
      </c>
      <c r="X103" s="257"/>
      <c r="Y103" s="257"/>
      <c r="Z103" s="257"/>
      <c r="AA103" s="257"/>
      <c r="AB103" s="257"/>
      <c r="AC103" s="250">
        <f t="shared" si="9"/>
        <v>1993</v>
      </c>
      <c r="AE103" s="276"/>
      <c r="AF103" s="119"/>
      <c r="AG103" s="119"/>
      <c r="AH103" s="277"/>
      <c r="AI103" s="277"/>
      <c r="AJ103" s="277"/>
    </row>
    <row r="104" spans="2:36" ht="13.5" customHeight="1">
      <c r="B104" s="69">
        <v>1</v>
      </c>
      <c r="C104" s="69">
        <v>102</v>
      </c>
      <c r="D104" s="233" t="s">
        <v>474</v>
      </c>
      <c r="E104" s="233" t="s">
        <v>1192</v>
      </c>
      <c r="F104" s="232" t="s">
        <v>93</v>
      </c>
      <c r="G104" s="232" t="s">
        <v>201</v>
      </c>
      <c r="H104" s="232" t="s">
        <v>747</v>
      </c>
      <c r="I104" s="232">
        <v>1996</v>
      </c>
      <c r="J104" s="232"/>
      <c r="K104" s="134">
        <f t="shared" si="8"/>
        <v>23</v>
      </c>
      <c r="L104" s="232">
        <v>2016</v>
      </c>
      <c r="M104" s="234">
        <v>57092</v>
      </c>
      <c r="N104" s="235">
        <f>219*3.28084</f>
        <v>718.50396000000001</v>
      </c>
      <c r="O104" s="235">
        <v>35</v>
      </c>
      <c r="P104" s="235">
        <v>1350</v>
      </c>
      <c r="Q104" s="235">
        <v>400</v>
      </c>
      <c r="R104" s="235">
        <f t="shared" si="11"/>
        <v>296.2962962962963</v>
      </c>
      <c r="S104" s="235">
        <f>ROUND(R104*CPI!$B$120/VLOOKUP($I104,CPI!$A$1:$B$122,2,FALSE)/1000,2)*1000</f>
        <v>470</v>
      </c>
      <c r="T104" s="232" t="s">
        <v>212</v>
      </c>
      <c r="U104" s="232" t="s">
        <v>247</v>
      </c>
      <c r="V104" s="232"/>
      <c r="W104" s="256" t="e">
        <f t="shared" si="12"/>
        <v>#DIV/0!</v>
      </c>
      <c r="X104" s="257"/>
      <c r="Y104" s="257"/>
      <c r="Z104" s="257"/>
      <c r="AA104" s="257"/>
      <c r="AB104" s="257"/>
      <c r="AC104" s="250">
        <f t="shared" si="9"/>
        <v>1996</v>
      </c>
      <c r="AE104" s="276"/>
      <c r="AF104" s="119"/>
      <c r="AG104" s="119"/>
      <c r="AH104" s="277"/>
      <c r="AI104" s="277"/>
      <c r="AJ104" s="277"/>
    </row>
    <row r="105" spans="2:36" ht="13.5" customHeight="1">
      <c r="B105" s="69">
        <v>1</v>
      </c>
      <c r="C105" s="69">
        <v>103</v>
      </c>
      <c r="D105" s="233" t="s">
        <v>473</v>
      </c>
      <c r="E105" s="233" t="s">
        <v>1193</v>
      </c>
      <c r="F105" s="232" t="s">
        <v>93</v>
      </c>
      <c r="G105" s="232" t="s">
        <v>201</v>
      </c>
      <c r="H105" s="232" t="s">
        <v>747</v>
      </c>
      <c r="I105" s="232">
        <v>1997</v>
      </c>
      <c r="J105" s="232"/>
      <c r="K105" s="134">
        <f t="shared" si="8"/>
        <v>22</v>
      </c>
      <c r="L105" s="232">
        <v>2015</v>
      </c>
      <c r="M105" s="234">
        <v>61849</v>
      </c>
      <c r="N105" s="235">
        <f>237*3.28084</f>
        <v>777.55907999999999</v>
      </c>
      <c r="O105" s="235">
        <v>37</v>
      </c>
      <c r="P105" s="235">
        <v>1404</v>
      </c>
      <c r="Q105" s="235">
        <v>400</v>
      </c>
      <c r="R105" s="235">
        <f t="shared" si="11"/>
        <v>284.90028490028493</v>
      </c>
      <c r="S105" s="235">
        <f>ROUND(R105*CPI!$B$120/VLOOKUP($I105,CPI!$A$1:$B$122,2,FALSE)/1000,2)*1000</f>
        <v>440</v>
      </c>
      <c r="T105" s="232" t="s">
        <v>212</v>
      </c>
      <c r="U105" s="232" t="s">
        <v>240</v>
      </c>
      <c r="V105" s="232"/>
      <c r="W105" s="256" t="e">
        <f t="shared" si="12"/>
        <v>#DIV/0!</v>
      </c>
      <c r="X105" s="257"/>
      <c r="Y105" s="257"/>
      <c r="Z105" s="257"/>
      <c r="AA105" s="257"/>
      <c r="AB105" s="257"/>
      <c r="AC105" s="250">
        <f t="shared" si="9"/>
        <v>1997</v>
      </c>
      <c r="AE105" s="276"/>
      <c r="AF105" s="119"/>
      <c r="AG105" s="119"/>
      <c r="AH105" s="277"/>
      <c r="AI105" s="277"/>
      <c r="AJ105" s="277"/>
    </row>
    <row r="106" spans="2:36" ht="13.5" customHeight="1">
      <c r="B106" s="69">
        <v>1</v>
      </c>
      <c r="C106" s="69">
        <v>104</v>
      </c>
      <c r="D106" s="233" t="s">
        <v>472</v>
      </c>
      <c r="E106" s="233" t="s">
        <v>1194</v>
      </c>
      <c r="F106" s="232" t="s">
        <v>93</v>
      </c>
      <c r="G106" s="232" t="s">
        <v>201</v>
      </c>
      <c r="H106" s="232" t="s">
        <v>747</v>
      </c>
      <c r="I106" s="232">
        <v>1999</v>
      </c>
      <c r="J106" s="232"/>
      <c r="K106" s="134">
        <f t="shared" si="8"/>
        <v>20</v>
      </c>
      <c r="L106" s="232">
        <v>2014</v>
      </c>
      <c r="M106" s="234">
        <v>61214</v>
      </c>
      <c r="N106" s="235">
        <f>237*3.28084</f>
        <v>777.55907999999999</v>
      </c>
      <c r="O106" s="235">
        <v>36</v>
      </c>
      <c r="P106" s="235">
        <v>1432</v>
      </c>
      <c r="Q106" s="235">
        <v>400</v>
      </c>
      <c r="R106" s="235">
        <f t="shared" si="11"/>
        <v>279.32960893854749</v>
      </c>
      <c r="S106" s="235">
        <f>ROUND(R106*CPI!$B$120/VLOOKUP($I106,CPI!$A$1:$B$122,2,FALSE)/1000,2)*1000</f>
        <v>410</v>
      </c>
      <c r="T106" s="232" t="s">
        <v>212</v>
      </c>
      <c r="U106" s="232" t="s">
        <v>240</v>
      </c>
      <c r="V106" s="232"/>
      <c r="W106" s="256" t="e">
        <f t="shared" si="12"/>
        <v>#DIV/0!</v>
      </c>
      <c r="X106" s="257"/>
      <c r="Y106" s="257"/>
      <c r="Z106" s="257"/>
      <c r="AA106" s="257"/>
      <c r="AB106" s="257"/>
      <c r="AC106" s="250">
        <f t="shared" si="9"/>
        <v>1999</v>
      </c>
      <c r="AE106" s="276"/>
      <c r="AF106" s="119"/>
      <c r="AG106" s="119"/>
      <c r="AH106" s="277"/>
      <c r="AI106" s="277"/>
      <c r="AJ106" s="277"/>
    </row>
    <row r="107" spans="2:36" ht="13.5" customHeight="1">
      <c r="B107" s="69">
        <v>1</v>
      </c>
      <c r="C107" s="69">
        <v>105</v>
      </c>
      <c r="D107" s="233" t="s">
        <v>471</v>
      </c>
      <c r="E107" s="233" t="s">
        <v>1195</v>
      </c>
      <c r="F107" s="232" t="s">
        <v>93</v>
      </c>
      <c r="G107" s="232" t="s">
        <v>201</v>
      </c>
      <c r="H107" s="232" t="s">
        <v>747</v>
      </c>
      <c r="I107" s="232">
        <v>2000</v>
      </c>
      <c r="J107" s="232"/>
      <c r="K107" s="134">
        <f t="shared" si="8"/>
        <v>19</v>
      </c>
      <c r="L107" s="232">
        <v>2015</v>
      </c>
      <c r="M107" s="234">
        <v>62735</v>
      </c>
      <c r="N107" s="235">
        <f>237*3.28084</f>
        <v>777.55907999999999</v>
      </c>
      <c r="O107" s="235">
        <v>38</v>
      </c>
      <c r="P107" s="235">
        <v>1380</v>
      </c>
      <c r="Q107" s="235">
        <v>400</v>
      </c>
      <c r="R107" s="235">
        <f t="shared" si="11"/>
        <v>289.85507246376812</v>
      </c>
      <c r="S107" s="235">
        <f>ROUND(R107*CPI!$B$120/VLOOKUP($I107,CPI!$A$1:$B$122,2,FALSE)/1000,2)*1000</f>
        <v>420</v>
      </c>
      <c r="T107" s="232" t="s">
        <v>212</v>
      </c>
      <c r="U107" s="232" t="s">
        <v>240</v>
      </c>
      <c r="V107" s="232"/>
      <c r="W107" s="256" t="e">
        <f t="shared" si="12"/>
        <v>#DIV/0!</v>
      </c>
      <c r="X107" s="257"/>
      <c r="Y107" s="257"/>
      <c r="Z107" s="257"/>
      <c r="AA107" s="257"/>
      <c r="AB107" s="257"/>
      <c r="AC107" s="250">
        <f t="shared" si="9"/>
        <v>2000</v>
      </c>
      <c r="AE107" s="276"/>
      <c r="AF107" s="119"/>
      <c r="AG107" s="119"/>
      <c r="AH107" s="277"/>
      <c r="AI107" s="277"/>
      <c r="AJ107" s="277"/>
    </row>
    <row r="108" spans="2:36" ht="13.5" customHeight="1">
      <c r="B108" s="69">
        <v>1</v>
      </c>
      <c r="C108" s="69">
        <v>106</v>
      </c>
      <c r="D108" s="233" t="s">
        <v>470</v>
      </c>
      <c r="E108" s="233" t="s">
        <v>1196</v>
      </c>
      <c r="F108" s="232" t="s">
        <v>93</v>
      </c>
      <c r="G108" s="232" t="s">
        <v>201</v>
      </c>
      <c r="H108" s="232" t="s">
        <v>747</v>
      </c>
      <c r="I108" s="232">
        <v>2000</v>
      </c>
      <c r="J108" s="232"/>
      <c r="K108" s="134">
        <f t="shared" si="8"/>
        <v>19</v>
      </c>
      <c r="L108" s="232">
        <v>2015</v>
      </c>
      <c r="M108" s="234">
        <v>61396</v>
      </c>
      <c r="N108" s="235">
        <f>202*3.28084</f>
        <v>662.72968000000003</v>
      </c>
      <c r="O108" s="235">
        <v>36</v>
      </c>
      <c r="P108" s="235">
        <v>1432</v>
      </c>
      <c r="Q108" s="235">
        <v>300</v>
      </c>
      <c r="R108" s="235">
        <f t="shared" si="11"/>
        <v>209.49720670391062</v>
      </c>
      <c r="S108" s="235">
        <f>ROUND(R108*CPI!$B$120/VLOOKUP($I108,CPI!$A$1:$B$122,2,FALSE)/1000,2)*1000</f>
        <v>300</v>
      </c>
      <c r="T108" s="232" t="s">
        <v>212</v>
      </c>
      <c r="U108" s="232" t="s">
        <v>240</v>
      </c>
      <c r="V108" s="232"/>
      <c r="W108" s="256" t="e">
        <f t="shared" si="12"/>
        <v>#DIV/0!</v>
      </c>
      <c r="X108" s="257"/>
      <c r="Y108" s="257"/>
      <c r="Z108" s="257"/>
      <c r="AA108" s="257"/>
      <c r="AB108" s="257"/>
      <c r="AC108" s="250">
        <f t="shared" si="9"/>
        <v>2000</v>
      </c>
      <c r="AE108" s="276"/>
      <c r="AF108" s="119"/>
      <c r="AG108" s="119"/>
      <c r="AH108" s="277"/>
      <c r="AI108" s="277"/>
      <c r="AJ108" s="277"/>
    </row>
    <row r="109" spans="2:36" ht="13.5" customHeight="1">
      <c r="B109" s="69">
        <v>1</v>
      </c>
      <c r="C109" s="69">
        <v>107</v>
      </c>
      <c r="D109" s="233" t="s">
        <v>469</v>
      </c>
      <c r="E109" s="233" t="s">
        <v>1197</v>
      </c>
      <c r="F109" s="232" t="s">
        <v>93</v>
      </c>
      <c r="G109" s="232" t="s">
        <v>201</v>
      </c>
      <c r="H109" s="232" t="s">
        <v>747</v>
      </c>
      <c r="I109" s="232">
        <v>2002</v>
      </c>
      <c r="J109" s="232"/>
      <c r="K109" s="134">
        <f t="shared" si="8"/>
        <v>17</v>
      </c>
      <c r="L109" s="232">
        <v>2015</v>
      </c>
      <c r="M109" s="234">
        <v>82305</v>
      </c>
      <c r="N109" s="235">
        <f>285*3.28084</f>
        <v>935.0394</v>
      </c>
      <c r="O109" s="235">
        <v>35</v>
      </c>
      <c r="P109" s="235">
        <v>1970</v>
      </c>
      <c r="Q109" s="235">
        <v>430</v>
      </c>
      <c r="R109" s="235">
        <f t="shared" si="11"/>
        <v>218.2741116751269</v>
      </c>
      <c r="S109" s="235">
        <f>ROUND(R109*CPI!$B$120/VLOOKUP($I109,CPI!$A$1:$B$122,2,FALSE)/1000,2)*1000</f>
        <v>300</v>
      </c>
      <c r="T109" s="232" t="s">
        <v>212</v>
      </c>
      <c r="U109" s="232" t="s">
        <v>223</v>
      </c>
      <c r="V109" s="232"/>
      <c r="W109" s="256" t="e">
        <f t="shared" si="12"/>
        <v>#DIV/0!</v>
      </c>
      <c r="X109" s="257"/>
      <c r="Y109" s="257"/>
      <c r="Z109" s="257"/>
      <c r="AA109" s="257"/>
      <c r="AB109" s="257"/>
      <c r="AC109" s="250">
        <f t="shared" si="9"/>
        <v>2002</v>
      </c>
      <c r="AE109" s="276"/>
      <c r="AF109" s="119"/>
      <c r="AG109" s="119"/>
      <c r="AH109" s="277"/>
      <c r="AI109" s="277"/>
      <c r="AJ109" s="277"/>
    </row>
    <row r="110" spans="2:36" ht="13.5" customHeight="1">
      <c r="B110" s="69">
        <v>1</v>
      </c>
      <c r="C110" s="69">
        <v>108</v>
      </c>
      <c r="D110" s="233" t="s">
        <v>760</v>
      </c>
      <c r="E110" s="233" t="s">
        <v>1198</v>
      </c>
      <c r="F110" s="232" t="s">
        <v>93</v>
      </c>
      <c r="G110" s="232" t="s">
        <v>201</v>
      </c>
      <c r="H110" s="232" t="s">
        <v>747</v>
      </c>
      <c r="I110" s="232">
        <v>2003</v>
      </c>
      <c r="J110" s="232"/>
      <c r="K110" s="134">
        <f t="shared" si="8"/>
        <v>16</v>
      </c>
      <c r="L110" s="232">
        <v>2011</v>
      </c>
      <c r="M110" s="234">
        <v>82305</v>
      </c>
      <c r="N110" s="235">
        <f>285*3.28084</f>
        <v>935.0394</v>
      </c>
      <c r="O110" s="235">
        <v>35</v>
      </c>
      <c r="P110" s="235">
        <v>1970</v>
      </c>
      <c r="Q110" s="235">
        <v>400</v>
      </c>
      <c r="R110" s="235">
        <f t="shared" si="11"/>
        <v>203.04568527918781</v>
      </c>
      <c r="S110" s="235">
        <f>ROUND(R110*CPI!$B$120/VLOOKUP($I110,CPI!$A$1:$B$122,2,FALSE)/1000,2)*1000</f>
        <v>280</v>
      </c>
      <c r="T110" s="232" t="s">
        <v>212</v>
      </c>
      <c r="U110" s="232" t="s">
        <v>223</v>
      </c>
      <c r="V110" s="232"/>
      <c r="W110" s="256" t="e">
        <f t="shared" si="12"/>
        <v>#DIV/0!</v>
      </c>
      <c r="X110" s="257"/>
      <c r="Y110" s="257"/>
      <c r="Z110" s="257"/>
      <c r="AA110" s="257"/>
      <c r="AB110" s="257"/>
      <c r="AC110" s="250">
        <f t="shared" si="9"/>
        <v>2003</v>
      </c>
      <c r="AE110" s="276"/>
      <c r="AF110" s="119"/>
      <c r="AG110" s="119"/>
      <c r="AH110" s="277"/>
      <c r="AI110" s="277"/>
      <c r="AJ110" s="277"/>
    </row>
    <row r="111" spans="2:36" ht="13.5" customHeight="1">
      <c r="B111" s="69">
        <v>1</v>
      </c>
      <c r="C111" s="69">
        <v>109</v>
      </c>
      <c r="D111" s="233" t="s">
        <v>476</v>
      </c>
      <c r="E111" s="233" t="s">
        <v>1199</v>
      </c>
      <c r="F111" s="232" t="s">
        <v>93</v>
      </c>
      <c r="G111" s="232" t="s">
        <v>201</v>
      </c>
      <c r="H111" s="232" t="s">
        <v>747</v>
      </c>
      <c r="I111" s="232">
        <v>2004</v>
      </c>
      <c r="J111" s="232"/>
      <c r="K111" s="134">
        <f t="shared" si="8"/>
        <v>15</v>
      </c>
      <c r="L111" s="232">
        <v>2010</v>
      </c>
      <c r="M111" s="234">
        <v>82348</v>
      </c>
      <c r="N111" s="235">
        <f>290*3.28084</f>
        <v>951.44359999999995</v>
      </c>
      <c r="O111" s="235">
        <v>36</v>
      </c>
      <c r="P111" s="235">
        <v>1920</v>
      </c>
      <c r="Q111" s="235">
        <v>430</v>
      </c>
      <c r="R111" s="235">
        <f t="shared" si="11"/>
        <v>223.95833333333334</v>
      </c>
      <c r="S111" s="235">
        <f>ROUND(R111*CPI!$B$120/VLOOKUP($I111,CPI!$A$1:$B$122,2,FALSE)/1000,2)*1000</f>
        <v>290</v>
      </c>
      <c r="T111" s="232" t="s">
        <v>212</v>
      </c>
      <c r="U111" s="232" t="s">
        <v>223</v>
      </c>
      <c r="V111" s="232"/>
      <c r="W111" s="256" t="e">
        <f t="shared" si="12"/>
        <v>#DIV/0!</v>
      </c>
      <c r="X111" s="257"/>
      <c r="Y111" s="257"/>
      <c r="Z111" s="257"/>
      <c r="AA111" s="257"/>
      <c r="AB111" s="257"/>
      <c r="AC111" s="250">
        <f t="shared" si="9"/>
        <v>2004</v>
      </c>
      <c r="AE111" s="276"/>
      <c r="AF111" s="119"/>
      <c r="AG111" s="119"/>
      <c r="AH111" s="277"/>
      <c r="AI111" s="277"/>
      <c r="AJ111" s="277"/>
    </row>
    <row r="112" spans="2:36" ht="13.5" customHeight="1">
      <c r="B112" s="69">
        <v>1</v>
      </c>
      <c r="C112" s="69">
        <v>110</v>
      </c>
      <c r="D112" s="233" t="s">
        <v>477</v>
      </c>
      <c r="E112" s="233" t="s">
        <v>1200</v>
      </c>
      <c r="F112" s="232" t="s">
        <v>93</v>
      </c>
      <c r="G112" s="232" t="s">
        <v>201</v>
      </c>
      <c r="H112" s="232" t="s">
        <v>747</v>
      </c>
      <c r="I112" s="232">
        <v>2006</v>
      </c>
      <c r="J112" s="232"/>
      <c r="K112" s="134">
        <f t="shared" si="8"/>
        <v>13</v>
      </c>
      <c r="L112" s="232">
        <v>2015</v>
      </c>
      <c r="M112" s="234">
        <v>82897</v>
      </c>
      <c r="N112" s="235">
        <f>285*3.28084</f>
        <v>935.0394</v>
      </c>
      <c r="O112" s="235">
        <v>35</v>
      </c>
      <c r="P112" s="235">
        <v>1972</v>
      </c>
      <c r="Q112" s="235">
        <v>400</v>
      </c>
      <c r="R112" s="235">
        <f t="shared" si="11"/>
        <v>202.83975659229208</v>
      </c>
      <c r="S112" s="235">
        <f>ROUND(R112*CPI!$B$120/VLOOKUP($I112,CPI!$A$1:$B$122,2,FALSE)/1000,2)*1000</f>
        <v>250</v>
      </c>
      <c r="T112" s="232" t="s">
        <v>212</v>
      </c>
      <c r="U112" s="232" t="s">
        <v>223</v>
      </c>
      <c r="V112" s="232"/>
      <c r="W112" s="256" t="e">
        <f t="shared" si="12"/>
        <v>#DIV/0!</v>
      </c>
      <c r="X112" s="257"/>
      <c r="Y112" s="257"/>
      <c r="Z112" s="257"/>
      <c r="AA112" s="257"/>
      <c r="AB112" s="257"/>
      <c r="AC112" s="250">
        <f t="shared" si="9"/>
        <v>2006</v>
      </c>
      <c r="AE112" s="276"/>
      <c r="AF112" s="119"/>
      <c r="AG112" s="119"/>
      <c r="AH112" s="277"/>
      <c r="AI112" s="277"/>
      <c r="AJ112" s="277"/>
    </row>
    <row r="113" spans="2:36" ht="13.5" customHeight="1">
      <c r="B113" s="69">
        <v>1</v>
      </c>
      <c r="C113" s="69">
        <v>111</v>
      </c>
      <c r="D113" s="233" t="s">
        <v>757</v>
      </c>
      <c r="E113" s="233" t="s">
        <v>1201</v>
      </c>
      <c r="F113" s="232" t="s">
        <v>93</v>
      </c>
      <c r="G113" s="232" t="s">
        <v>201</v>
      </c>
      <c r="H113" s="232" t="s">
        <v>747</v>
      </c>
      <c r="I113" s="232">
        <v>2008</v>
      </c>
      <c r="J113" s="232"/>
      <c r="K113" s="134">
        <f t="shared" si="8"/>
        <v>11</v>
      </c>
      <c r="L113" s="232">
        <v>2015</v>
      </c>
      <c r="M113" s="234">
        <v>86273</v>
      </c>
      <c r="N113" s="235">
        <f>285*3.28084</f>
        <v>935.0394</v>
      </c>
      <c r="O113" s="235">
        <v>34</v>
      </c>
      <c r="P113" s="235">
        <v>2104</v>
      </c>
      <c r="Q113" s="235">
        <v>450</v>
      </c>
      <c r="R113" s="235">
        <f t="shared" si="11"/>
        <v>213.87832699619773</v>
      </c>
      <c r="S113" s="235">
        <f>ROUND(R113*CPI!$B$120/VLOOKUP($I113,CPI!$A$1:$B$122,2,FALSE)/1000,2)*1000</f>
        <v>250</v>
      </c>
      <c r="T113" s="232" t="s">
        <v>212</v>
      </c>
      <c r="U113" s="232" t="s">
        <v>245</v>
      </c>
      <c r="V113" s="232"/>
      <c r="W113" s="256" t="e">
        <f t="shared" si="12"/>
        <v>#DIV/0!</v>
      </c>
      <c r="X113" s="257"/>
      <c r="Y113" s="257"/>
      <c r="Z113" s="257"/>
      <c r="AA113" s="257"/>
      <c r="AB113" s="257"/>
      <c r="AC113" s="250">
        <f t="shared" si="9"/>
        <v>2008</v>
      </c>
      <c r="AE113" s="276"/>
      <c r="AF113" s="119"/>
      <c r="AG113" s="119"/>
      <c r="AH113" s="277"/>
      <c r="AI113" s="277"/>
      <c r="AJ113" s="277"/>
    </row>
    <row r="114" spans="2:36" ht="13.5" customHeight="1">
      <c r="B114" s="69">
        <v>1</v>
      </c>
      <c r="C114" s="69">
        <v>112</v>
      </c>
      <c r="D114" s="233" t="s">
        <v>759</v>
      </c>
      <c r="E114" s="233" t="s">
        <v>1202</v>
      </c>
      <c r="F114" s="232" t="s">
        <v>93</v>
      </c>
      <c r="G114" s="232" t="s">
        <v>201</v>
      </c>
      <c r="H114" s="232" t="s">
        <v>747</v>
      </c>
      <c r="I114" s="232">
        <v>2010</v>
      </c>
      <c r="J114" s="232"/>
      <c r="K114" s="134">
        <f t="shared" si="8"/>
        <v>9</v>
      </c>
      <c r="L114" s="232">
        <v>2013</v>
      </c>
      <c r="M114" s="234">
        <v>86273</v>
      </c>
      <c r="N114" s="235">
        <f>285*3.28084</f>
        <v>935.0394</v>
      </c>
      <c r="O114" s="235">
        <v>34</v>
      </c>
      <c r="P114" s="235">
        <v>2106</v>
      </c>
      <c r="Q114" s="235">
        <v>450</v>
      </c>
      <c r="R114" s="235">
        <f t="shared" si="11"/>
        <v>213.67521367521366</v>
      </c>
      <c r="S114" s="235">
        <f>ROUND(R114*CPI!$B$120/VLOOKUP($I114,CPI!$A$1:$B$122,2,FALSE)/1000,2)*1000</f>
        <v>240</v>
      </c>
      <c r="T114" s="232" t="s">
        <v>212</v>
      </c>
      <c r="U114" s="232" t="s">
        <v>245</v>
      </c>
      <c r="V114" s="232"/>
      <c r="W114" s="256" t="e">
        <f t="shared" si="12"/>
        <v>#DIV/0!</v>
      </c>
      <c r="X114" s="257"/>
      <c r="Y114" s="257"/>
      <c r="Z114" s="257"/>
      <c r="AA114" s="257"/>
      <c r="AB114" s="257"/>
      <c r="AC114" s="250">
        <f t="shared" si="9"/>
        <v>2010</v>
      </c>
      <c r="AE114" s="276"/>
      <c r="AF114" s="119"/>
      <c r="AG114" s="119"/>
      <c r="AH114" s="277"/>
      <c r="AI114" s="277"/>
      <c r="AJ114" s="277"/>
    </row>
    <row r="115" spans="2:36" ht="13.5" customHeight="1">
      <c r="B115" s="69">
        <v>1</v>
      </c>
      <c r="C115" s="69">
        <v>113</v>
      </c>
      <c r="D115" s="233" t="s">
        <v>758</v>
      </c>
      <c r="E115" s="233" t="s">
        <v>1203</v>
      </c>
      <c r="F115" s="232" t="s">
        <v>93</v>
      </c>
      <c r="G115" s="232" t="s">
        <v>201</v>
      </c>
      <c r="H115" s="232" t="s">
        <v>747</v>
      </c>
      <c r="I115" s="232">
        <v>2016</v>
      </c>
      <c r="J115" s="232"/>
      <c r="K115" s="134">
        <f t="shared" si="8"/>
        <v>3</v>
      </c>
      <c r="L115" s="232"/>
      <c r="M115" s="234">
        <v>99500</v>
      </c>
      <c r="N115" s="235">
        <f>285*3.28084</f>
        <v>935.0394</v>
      </c>
      <c r="O115" s="235">
        <v>31</v>
      </c>
      <c r="P115" s="235">
        <v>2650</v>
      </c>
      <c r="Q115" s="235">
        <v>520</v>
      </c>
      <c r="R115" s="235">
        <f t="shared" si="11"/>
        <v>196.22641509433964</v>
      </c>
      <c r="S115" s="235">
        <f>ROUND(R115*CPI!$B$120/VLOOKUP($I115,CPI!$A$1:$B$122,2,FALSE)/1000,2)*1000</f>
        <v>200</v>
      </c>
      <c r="T115" s="232" t="s">
        <v>212</v>
      </c>
      <c r="U115" s="232" t="s">
        <v>246</v>
      </c>
      <c r="V115" s="232"/>
      <c r="W115" s="256" t="e">
        <f t="shared" si="12"/>
        <v>#DIV/0!</v>
      </c>
      <c r="X115" s="257"/>
      <c r="Y115" s="257"/>
      <c r="Z115" s="257"/>
      <c r="AA115" s="257"/>
      <c r="AB115" s="257"/>
      <c r="AC115" s="250">
        <f t="shared" si="9"/>
        <v>2016</v>
      </c>
      <c r="AE115" s="276"/>
      <c r="AF115" s="119"/>
      <c r="AG115" s="119"/>
      <c r="AH115" s="277"/>
      <c r="AI115" s="277"/>
      <c r="AJ115" s="277"/>
    </row>
    <row r="116" spans="2:36" ht="13.5" customHeight="1">
      <c r="B116" s="69">
        <v>1</v>
      </c>
      <c r="C116" s="69">
        <v>114</v>
      </c>
      <c r="D116" s="249" t="s">
        <v>451</v>
      </c>
      <c r="E116" s="249" t="s">
        <v>1204</v>
      </c>
      <c r="F116" s="250" t="s">
        <v>93</v>
      </c>
      <c r="G116" s="250" t="s">
        <v>201</v>
      </c>
      <c r="H116" s="250" t="s">
        <v>747</v>
      </c>
      <c r="I116" s="250">
        <v>2018</v>
      </c>
      <c r="J116" s="250" t="s">
        <v>1044</v>
      </c>
      <c r="K116" s="134">
        <f t="shared" si="8"/>
        <v>1</v>
      </c>
      <c r="L116" s="250"/>
      <c r="M116" s="251">
        <v>99000</v>
      </c>
      <c r="N116" s="252">
        <v>935</v>
      </c>
      <c r="O116" s="252">
        <v>31</v>
      </c>
      <c r="P116" s="252">
        <v>2660</v>
      </c>
      <c r="Q116" s="252">
        <v>520</v>
      </c>
      <c r="R116" s="252">
        <f t="shared" si="11"/>
        <v>195.48872180451127</v>
      </c>
      <c r="S116" s="252">
        <f>ROUND(R116*CPI!$B$120/VLOOKUP($I116,CPI!$A$1:$B$140,2,FALSE)/1000,2)*1000</f>
        <v>200</v>
      </c>
      <c r="T116" s="250" t="s">
        <v>212</v>
      </c>
      <c r="U116" s="250" t="s">
        <v>246</v>
      </c>
      <c r="V116" s="250"/>
      <c r="W116" s="256"/>
      <c r="X116" s="257"/>
      <c r="Y116" s="257"/>
      <c r="Z116" s="257"/>
      <c r="AA116" s="257"/>
      <c r="AB116" s="257"/>
      <c r="AC116" s="250">
        <f t="shared" si="9"/>
        <v>2018</v>
      </c>
      <c r="AE116" s="276">
        <v>43439</v>
      </c>
      <c r="AF116" s="119" t="s">
        <v>1073</v>
      </c>
      <c r="AG116" s="119" t="s">
        <v>1079</v>
      </c>
      <c r="AH116" s="277">
        <v>1299</v>
      </c>
      <c r="AI116" s="277">
        <v>14</v>
      </c>
      <c r="AJ116" s="277">
        <f>AH116/AI116</f>
        <v>92.785714285714292</v>
      </c>
    </row>
    <row r="117" spans="2:36" ht="13.5" customHeight="1">
      <c r="B117" s="69">
        <v>1</v>
      </c>
      <c r="C117" s="69">
        <v>115</v>
      </c>
      <c r="D117" s="249" t="s">
        <v>957</v>
      </c>
      <c r="E117" s="249" t="s">
        <v>1205</v>
      </c>
      <c r="F117" s="250" t="s">
        <v>93</v>
      </c>
      <c r="G117" s="250" t="s">
        <v>201</v>
      </c>
      <c r="H117" s="250" t="s">
        <v>747</v>
      </c>
      <c r="I117" s="250">
        <v>2021</v>
      </c>
      <c r="J117" s="250" t="s">
        <v>1046</v>
      </c>
      <c r="K117" s="134" t="str">
        <f t="shared" si="8"/>
        <v/>
      </c>
      <c r="L117" s="250"/>
      <c r="M117" s="251">
        <v>99000</v>
      </c>
      <c r="N117" s="252">
        <v>935</v>
      </c>
      <c r="O117" s="252">
        <v>31</v>
      </c>
      <c r="P117" s="252">
        <v>2660</v>
      </c>
      <c r="Q117" s="252">
        <v>520</v>
      </c>
      <c r="R117" s="252">
        <f t="shared" si="11"/>
        <v>195.48872180451127</v>
      </c>
      <c r="S117" s="252">
        <f>ROUND(R117*CPI!$B$120/VLOOKUP($I117,CPI!$A$1:$B$140,2,FALSE)/1000,2)*1000</f>
        <v>180</v>
      </c>
      <c r="T117" s="250" t="s">
        <v>212</v>
      </c>
      <c r="U117" s="250" t="s">
        <v>246</v>
      </c>
      <c r="V117" s="250"/>
      <c r="W117" s="256"/>
      <c r="X117" s="257"/>
      <c r="Y117" s="257"/>
      <c r="Z117" s="257"/>
      <c r="AA117" s="257"/>
      <c r="AB117" s="257"/>
      <c r="AC117" s="250" t="str">
        <f t="shared" si="9"/>
        <v/>
      </c>
      <c r="AE117" s="276"/>
      <c r="AF117" s="119"/>
      <c r="AG117" s="119"/>
      <c r="AH117" s="277"/>
      <c r="AI117" s="277"/>
      <c r="AJ117" s="277"/>
    </row>
    <row r="118" spans="2:36" ht="13.5" customHeight="1">
      <c r="B118" s="69">
        <v>1</v>
      </c>
      <c r="C118" s="69">
        <v>116</v>
      </c>
      <c r="D118" s="233" t="s">
        <v>152</v>
      </c>
      <c r="E118" s="233" t="s">
        <v>1206</v>
      </c>
      <c r="F118" s="232" t="s">
        <v>93</v>
      </c>
      <c r="G118" s="232" t="s">
        <v>201</v>
      </c>
      <c r="H118" s="232" t="s">
        <v>155</v>
      </c>
      <c r="I118" s="232">
        <v>2003</v>
      </c>
      <c r="J118" s="232"/>
      <c r="K118" s="134">
        <f t="shared" si="8"/>
        <v>16</v>
      </c>
      <c r="L118" s="232">
        <v>2016</v>
      </c>
      <c r="M118" s="234">
        <v>148528</v>
      </c>
      <c r="N118" s="235">
        <f>345*3.28084</f>
        <v>1131.8897999999999</v>
      </c>
      <c r="O118" s="235">
        <v>45</v>
      </c>
      <c r="P118" s="235">
        <v>2726</v>
      </c>
      <c r="Q118" s="235">
        <v>900</v>
      </c>
      <c r="R118" s="235">
        <f t="shared" si="11"/>
        <v>330.15407190022012</v>
      </c>
      <c r="S118" s="235">
        <f>ROUND(R118*CPI!$B$120/VLOOKUP($I118,CPI!$A$1:$B$122,2,FALSE)/1000,2)*1000</f>
        <v>450</v>
      </c>
      <c r="T118" s="232" t="s">
        <v>241</v>
      </c>
      <c r="U118" s="232" t="s">
        <v>248</v>
      </c>
      <c r="V118" s="232"/>
      <c r="W118" s="256" t="e">
        <f>SUM(((X118/SUM(X118:AB118))*5),((Y118/SUM(X118:AB118))*4),((Z118/SUM(X118:AB118))*3),((AA118/SUM(X118:AB118))*2),((AB118/SUM(X118:AB118)*1)))</f>
        <v>#DIV/0!</v>
      </c>
      <c r="X118" s="257"/>
      <c r="Y118" s="257"/>
      <c r="Z118" s="257"/>
      <c r="AA118" s="257"/>
      <c r="AB118" s="257"/>
      <c r="AC118" s="250">
        <f t="shared" si="9"/>
        <v>2003</v>
      </c>
      <c r="AE118" s="276"/>
      <c r="AF118" s="119"/>
      <c r="AG118" s="119"/>
      <c r="AH118" s="277"/>
      <c r="AI118" s="277"/>
      <c r="AJ118" s="277"/>
    </row>
    <row r="119" spans="2:36" ht="13.5" customHeight="1">
      <c r="B119" s="69">
        <v>1</v>
      </c>
      <c r="C119" s="69">
        <v>117</v>
      </c>
      <c r="D119" s="233" t="s">
        <v>154</v>
      </c>
      <c r="E119" s="233" t="s">
        <v>1207</v>
      </c>
      <c r="F119" s="232" t="s">
        <v>93</v>
      </c>
      <c r="G119" s="232" t="s">
        <v>201</v>
      </c>
      <c r="H119" s="232" t="s">
        <v>155</v>
      </c>
      <c r="I119" s="232">
        <v>2007</v>
      </c>
      <c r="J119" s="232"/>
      <c r="K119" s="134">
        <f t="shared" si="8"/>
        <v>12</v>
      </c>
      <c r="L119" s="232">
        <v>2015</v>
      </c>
      <c r="M119" s="234">
        <v>90049</v>
      </c>
      <c r="N119" s="235">
        <f>293*3.28084</f>
        <v>961.28611999999998</v>
      </c>
      <c r="O119" s="235">
        <v>37</v>
      </c>
      <c r="P119" s="235">
        <v>2008</v>
      </c>
      <c r="Q119" s="235">
        <v>400</v>
      </c>
      <c r="R119" s="235">
        <f t="shared" si="11"/>
        <v>199.203187250996</v>
      </c>
      <c r="S119" s="235">
        <f>ROUND(R119*CPI!$B$120/VLOOKUP($I119,CPI!$A$1:$B$122,2,FALSE)/1000,2)*1000</f>
        <v>240</v>
      </c>
      <c r="T119" s="232" t="s">
        <v>212</v>
      </c>
      <c r="U119" s="232" t="s">
        <v>248</v>
      </c>
      <c r="V119" s="232"/>
      <c r="W119" s="256" t="e">
        <f>SUM(((X119/SUM(X119:AB119))*5),((Y119/SUM(X119:AB119))*4),((Z119/SUM(X119:AB119))*3),((AA119/SUM(X119:AB119))*2),((AB119/SUM(X119:AB119)*1)))</f>
        <v>#DIV/0!</v>
      </c>
      <c r="X119" s="257"/>
      <c r="Y119" s="257"/>
      <c r="Z119" s="257"/>
      <c r="AA119" s="257"/>
      <c r="AB119" s="257"/>
      <c r="AC119" s="250">
        <f t="shared" si="9"/>
        <v>2007</v>
      </c>
      <c r="AE119" s="276"/>
      <c r="AF119" s="119"/>
      <c r="AG119" s="119"/>
      <c r="AH119" s="277"/>
      <c r="AI119" s="277"/>
      <c r="AJ119" s="277"/>
    </row>
    <row r="120" spans="2:36" ht="13.5" customHeight="1">
      <c r="B120" s="69">
        <v>1</v>
      </c>
      <c r="C120" s="69">
        <v>118</v>
      </c>
      <c r="D120" s="233" t="s">
        <v>153</v>
      </c>
      <c r="E120" s="233" t="s">
        <v>1208</v>
      </c>
      <c r="F120" s="232" t="s">
        <v>93</v>
      </c>
      <c r="G120" s="232" t="s">
        <v>201</v>
      </c>
      <c r="H120" s="232" t="s">
        <v>155</v>
      </c>
      <c r="I120" s="232">
        <v>2010</v>
      </c>
      <c r="J120" s="232"/>
      <c r="K120" s="134">
        <f t="shared" si="8"/>
        <v>9</v>
      </c>
      <c r="L120" s="232">
        <v>2014</v>
      </c>
      <c r="M120" s="234">
        <v>90901</v>
      </c>
      <c r="N120" s="235">
        <f>293*3.28084</f>
        <v>961.28611999999998</v>
      </c>
      <c r="O120" s="235">
        <v>36</v>
      </c>
      <c r="P120" s="235">
        <v>2077</v>
      </c>
      <c r="Q120" s="235">
        <v>560</v>
      </c>
      <c r="R120" s="235">
        <f t="shared" si="11"/>
        <v>269.61964371689942</v>
      </c>
      <c r="S120" s="235">
        <f>ROUND(R120*CPI!$B$120/VLOOKUP($I120,CPI!$A$1:$B$122,2,FALSE)/1000,2)*1000</f>
        <v>310</v>
      </c>
      <c r="T120" s="232" t="s">
        <v>212</v>
      </c>
      <c r="U120" s="232" t="s">
        <v>248</v>
      </c>
      <c r="V120" s="232"/>
      <c r="W120" s="256" t="e">
        <f>SUM(((X120/SUM(X120:AB120))*5),((Y120/SUM(X120:AB120))*4),((Z120/SUM(X120:AB120))*3),((AA120/SUM(X120:AB120))*2),((AB120/SUM(X120:AB120)*1)))</f>
        <v>#DIV/0!</v>
      </c>
      <c r="X120" s="257"/>
      <c r="Y120" s="257"/>
      <c r="Z120" s="257"/>
      <c r="AA120" s="257"/>
      <c r="AB120" s="257"/>
      <c r="AC120" s="250">
        <f t="shared" si="9"/>
        <v>2010</v>
      </c>
      <c r="AE120" s="276"/>
      <c r="AF120" s="119"/>
      <c r="AG120" s="119"/>
      <c r="AH120" s="277"/>
      <c r="AI120" s="277"/>
      <c r="AJ120" s="277"/>
    </row>
    <row r="121" spans="2:36" ht="13.5" customHeight="1">
      <c r="B121" s="69">
        <v>1</v>
      </c>
      <c r="C121" s="69">
        <v>119</v>
      </c>
      <c r="D121" s="249" t="s">
        <v>866</v>
      </c>
      <c r="E121" s="249" t="s">
        <v>1209</v>
      </c>
      <c r="F121" s="250" t="s">
        <v>93</v>
      </c>
      <c r="G121" s="250" t="s">
        <v>201</v>
      </c>
      <c r="H121" s="250" t="s">
        <v>155</v>
      </c>
      <c r="I121" s="250">
        <v>2022</v>
      </c>
      <c r="J121" s="250" t="s">
        <v>1045</v>
      </c>
      <c r="K121" s="134" t="str">
        <f t="shared" si="8"/>
        <v/>
      </c>
      <c r="L121" s="250"/>
      <c r="M121" s="251">
        <v>113000</v>
      </c>
      <c r="N121" s="252"/>
      <c r="O121" s="252">
        <f>M121/P121</f>
        <v>37.666666666666664</v>
      </c>
      <c r="P121" s="252">
        <v>3000</v>
      </c>
      <c r="Q121" s="252">
        <v>600</v>
      </c>
      <c r="R121" s="252">
        <f t="shared" si="11"/>
        <v>200</v>
      </c>
      <c r="S121" s="252">
        <f>ROUND(R121*CPI!$B$120/VLOOKUP($I121,CPI!$A$1:$B$140,2,FALSE)/1000,2)*1000</f>
        <v>180</v>
      </c>
      <c r="T121" s="250" t="s">
        <v>212</v>
      </c>
      <c r="U121" s="250" t="s">
        <v>248</v>
      </c>
      <c r="V121" s="250"/>
      <c r="W121" s="256"/>
      <c r="X121" s="257"/>
      <c r="Y121" s="257"/>
      <c r="Z121" s="257"/>
      <c r="AA121" s="257"/>
      <c r="AB121" s="257"/>
      <c r="AC121" s="250" t="str">
        <f t="shared" si="9"/>
        <v/>
      </c>
      <c r="AE121" s="276"/>
      <c r="AF121" s="119"/>
      <c r="AG121" s="119"/>
      <c r="AH121" s="277"/>
      <c r="AI121" s="277"/>
      <c r="AJ121" s="277"/>
    </row>
    <row r="122" spans="2:36" ht="13.5" customHeight="1">
      <c r="B122" s="69">
        <v>1</v>
      </c>
      <c r="C122" s="69">
        <v>120</v>
      </c>
      <c r="D122" s="233" t="s">
        <v>114</v>
      </c>
      <c r="E122" s="233" t="s">
        <v>1210</v>
      </c>
      <c r="F122" s="232" t="s">
        <v>93</v>
      </c>
      <c r="G122" s="232" t="s">
        <v>202</v>
      </c>
      <c r="H122" s="232" t="s">
        <v>111</v>
      </c>
      <c r="I122" s="232">
        <v>2009</v>
      </c>
      <c r="J122" s="232"/>
      <c r="K122" s="134">
        <f t="shared" si="8"/>
        <v>10</v>
      </c>
      <c r="L122" s="232">
        <v>2017</v>
      </c>
      <c r="M122" s="234">
        <v>32346</v>
      </c>
      <c r="N122" s="235">
        <f>198*3.28084</f>
        <v>649.60631999999998</v>
      </c>
      <c r="O122" s="235">
        <v>60</v>
      </c>
      <c r="P122" s="235">
        <v>450</v>
      </c>
      <c r="Q122" s="235">
        <v>250</v>
      </c>
      <c r="R122" s="235">
        <f t="shared" si="11"/>
        <v>555.55555555555554</v>
      </c>
      <c r="S122" s="235">
        <f>ROUND(R124*CPI!$B$120/VLOOKUP($I124,CPI!$A$1:$B$122,2,FALSE)/1000,2)*1000</f>
        <v>620</v>
      </c>
      <c r="T122" s="232" t="s">
        <v>115</v>
      </c>
      <c r="U122" s="232" t="s">
        <v>248</v>
      </c>
      <c r="V122" s="232"/>
      <c r="W122" s="256" t="e">
        <f>SUM(((X122/SUM(X122:AB122))*5),((Y122/SUM(X122:AB122))*4),((Z122/SUM(X122:AB122))*3),((AA122/SUM(X122:AB122))*2),((AB122/SUM(X122:AB122)*1)))</f>
        <v>#DIV/0!</v>
      </c>
      <c r="X122" s="257"/>
      <c r="Y122" s="257"/>
      <c r="Z122" s="257"/>
      <c r="AA122" s="257"/>
      <c r="AB122" s="257"/>
      <c r="AC122" s="250">
        <f t="shared" si="9"/>
        <v>2009</v>
      </c>
      <c r="AE122" s="276"/>
      <c r="AF122" s="119"/>
      <c r="AG122" s="119"/>
      <c r="AH122" s="277"/>
      <c r="AI122" s="277"/>
      <c r="AJ122" s="277"/>
    </row>
    <row r="123" spans="2:36" ht="13.5" customHeight="1">
      <c r="B123" s="69">
        <v>1</v>
      </c>
      <c r="C123" s="69">
        <v>121</v>
      </c>
      <c r="D123" s="233" t="s">
        <v>116</v>
      </c>
      <c r="E123" s="233" t="s">
        <v>1211</v>
      </c>
      <c r="F123" s="232" t="s">
        <v>93</v>
      </c>
      <c r="G123" s="232" t="s">
        <v>202</v>
      </c>
      <c r="H123" s="232" t="s">
        <v>111</v>
      </c>
      <c r="I123" s="232">
        <v>2010</v>
      </c>
      <c r="J123" s="232"/>
      <c r="K123" s="134">
        <f t="shared" si="8"/>
        <v>9</v>
      </c>
      <c r="L123" s="232">
        <v>2015</v>
      </c>
      <c r="M123" s="234">
        <v>32346</v>
      </c>
      <c r="N123" s="235">
        <f>198*3.28084</f>
        <v>649.60631999999998</v>
      </c>
      <c r="O123" s="235">
        <v>60</v>
      </c>
      <c r="P123" s="235">
        <v>450</v>
      </c>
      <c r="Q123" s="235">
        <v>250</v>
      </c>
      <c r="R123" s="235">
        <f t="shared" si="11"/>
        <v>555.55555555555554</v>
      </c>
      <c r="S123" s="235">
        <f>ROUND(R123*CPI!$B$120/VLOOKUP($I123,CPI!$A$1:$B$122,2,FALSE)/1000,2)*1000</f>
        <v>630</v>
      </c>
      <c r="T123" s="232" t="s">
        <v>115</v>
      </c>
      <c r="U123" s="232" t="s">
        <v>248</v>
      </c>
      <c r="V123" s="232"/>
      <c r="W123" s="256" t="e">
        <f>SUM(((X123/SUM(X123:AB123))*5),((Y123/SUM(X123:AB123))*4),((Z123/SUM(X123:AB123))*3),((AA123/SUM(X123:AB123))*2),((AB123/SUM(X123:AB123)*1)))</f>
        <v>#DIV/0!</v>
      </c>
      <c r="X123" s="257"/>
      <c r="Y123" s="257"/>
      <c r="Z123" s="257"/>
      <c r="AA123" s="257"/>
      <c r="AB123" s="257"/>
      <c r="AC123" s="250">
        <f t="shared" si="9"/>
        <v>2010</v>
      </c>
      <c r="AE123" s="276"/>
      <c r="AF123" s="119"/>
      <c r="AG123" s="119"/>
      <c r="AH123" s="277"/>
      <c r="AI123" s="277"/>
      <c r="AJ123" s="277"/>
    </row>
    <row r="124" spans="2:36" ht="13.5" customHeight="1">
      <c r="B124" s="69">
        <v>1</v>
      </c>
      <c r="C124" s="69">
        <v>122</v>
      </c>
      <c r="D124" s="233" t="s">
        <v>117</v>
      </c>
      <c r="E124" s="233" t="s">
        <v>1212</v>
      </c>
      <c r="F124" s="232" t="s">
        <v>93</v>
      </c>
      <c r="G124" s="232" t="s">
        <v>202</v>
      </c>
      <c r="H124" s="232" t="s">
        <v>111</v>
      </c>
      <c r="I124" s="232">
        <v>2011</v>
      </c>
      <c r="J124" s="232"/>
      <c r="K124" s="134">
        <f t="shared" si="8"/>
        <v>8</v>
      </c>
      <c r="L124" s="232">
        <v>2016</v>
      </c>
      <c r="M124" s="234">
        <v>32346</v>
      </c>
      <c r="N124" s="235">
        <f>198*3.28084</f>
        <v>649.60631999999998</v>
      </c>
      <c r="O124" s="235">
        <v>60</v>
      </c>
      <c r="P124" s="235">
        <v>450</v>
      </c>
      <c r="Q124" s="235">
        <v>250</v>
      </c>
      <c r="R124" s="235">
        <f t="shared" si="11"/>
        <v>555.55555555555554</v>
      </c>
      <c r="S124" s="235">
        <f>ROUND(R124*CPI!$B$120/VLOOKUP($I124,CPI!$A$1:$B$122,2,FALSE)/1000,2)*1000</f>
        <v>620</v>
      </c>
      <c r="T124" s="232" t="s">
        <v>115</v>
      </c>
      <c r="U124" s="232" t="s">
        <v>248</v>
      </c>
      <c r="V124" s="232"/>
      <c r="W124" s="256" t="e">
        <f>SUM(((X124/SUM(X124:AB124))*5),((Y124/SUM(X124:AB124))*4),((Z124/SUM(X124:AB124))*3),((AA124/SUM(X124:AB124))*2),((AB124/SUM(X124:AB124)*1)))</f>
        <v>#DIV/0!</v>
      </c>
      <c r="X124" s="257"/>
      <c r="Y124" s="257"/>
      <c r="Z124" s="257"/>
      <c r="AA124" s="257"/>
      <c r="AB124" s="257"/>
      <c r="AC124" s="250">
        <f t="shared" si="9"/>
        <v>2011</v>
      </c>
      <c r="AE124" s="276"/>
      <c r="AF124" s="119"/>
      <c r="AG124" s="119"/>
      <c r="AH124" s="277"/>
      <c r="AI124" s="277"/>
      <c r="AJ124" s="277"/>
    </row>
    <row r="125" spans="2:36" ht="13.5" customHeight="1">
      <c r="B125" s="69">
        <v>1</v>
      </c>
      <c r="C125" s="69">
        <v>123</v>
      </c>
      <c r="D125" s="233" t="s">
        <v>112</v>
      </c>
      <c r="E125" s="233" t="s">
        <v>1213</v>
      </c>
      <c r="F125" s="232" t="s">
        <v>93</v>
      </c>
      <c r="G125" s="232" t="s">
        <v>202</v>
      </c>
      <c r="H125" s="232" t="s">
        <v>111</v>
      </c>
      <c r="I125" s="232">
        <v>2016</v>
      </c>
      <c r="J125" s="232"/>
      <c r="K125" s="134">
        <f t="shared" si="8"/>
        <v>3</v>
      </c>
      <c r="L125" s="232"/>
      <c r="M125" s="234">
        <v>40350</v>
      </c>
      <c r="N125" s="235">
        <v>650</v>
      </c>
      <c r="O125" s="235">
        <v>63</v>
      </c>
      <c r="P125" s="235">
        <v>604</v>
      </c>
      <c r="Q125" s="235">
        <v>270</v>
      </c>
      <c r="R125" s="235">
        <f t="shared" si="11"/>
        <v>447.0198675496689</v>
      </c>
      <c r="S125" s="235">
        <f>ROUND(R125*CPI!$B$120/VLOOKUP($I125,CPI!$A$1:$B$140,2,FALSE)/1000,2)*1000</f>
        <v>470</v>
      </c>
      <c r="T125" s="232" t="s">
        <v>212</v>
      </c>
      <c r="U125" s="232" t="s">
        <v>248</v>
      </c>
      <c r="V125" s="232"/>
      <c r="W125" s="256" t="e">
        <f>SUM(((X125/SUM(X125:AB125))*5),((Y125/SUM(X125:AB125))*4),((Z125/SUM(X125:AB125))*3),((AA125/SUM(X125:AB125))*2),((AB125/SUM(X125:AB125)*1)))</f>
        <v>#DIV/0!</v>
      </c>
      <c r="X125" s="257"/>
      <c r="Y125" s="257"/>
      <c r="Z125" s="257"/>
      <c r="AA125" s="257"/>
      <c r="AB125" s="257"/>
      <c r="AC125" s="250">
        <f t="shared" si="9"/>
        <v>2016</v>
      </c>
      <c r="AE125" s="276"/>
      <c r="AF125" s="119"/>
      <c r="AG125" s="119"/>
      <c r="AH125" s="277"/>
      <c r="AI125" s="277"/>
      <c r="AJ125" s="277"/>
    </row>
    <row r="126" spans="2:36" ht="13.5" customHeight="1">
      <c r="B126" s="69">
        <v>1</v>
      </c>
      <c r="C126" s="69">
        <v>124</v>
      </c>
      <c r="D126" s="249" t="s">
        <v>113</v>
      </c>
      <c r="E126" s="249" t="s">
        <v>1214</v>
      </c>
      <c r="F126" s="250" t="s">
        <v>93</v>
      </c>
      <c r="G126" s="250" t="s">
        <v>202</v>
      </c>
      <c r="H126" s="250" t="s">
        <v>111</v>
      </c>
      <c r="I126" s="250">
        <v>2018</v>
      </c>
      <c r="J126" s="250" t="s">
        <v>1045</v>
      </c>
      <c r="K126" s="134">
        <f t="shared" si="8"/>
        <v>1</v>
      </c>
      <c r="L126" s="250"/>
      <c r="M126" s="251">
        <v>40350</v>
      </c>
      <c r="N126" s="252">
        <v>650</v>
      </c>
      <c r="O126" s="252">
        <v>63</v>
      </c>
      <c r="P126" s="252">
        <v>604</v>
      </c>
      <c r="Q126" s="252">
        <v>350</v>
      </c>
      <c r="R126" s="252">
        <f t="shared" si="11"/>
        <v>579.4701986754967</v>
      </c>
      <c r="S126" s="252">
        <f>ROUND(R126*CPI!$B$120/VLOOKUP($I126,CPI!$A$1:$B$140,2,FALSE)/1000,2)*1000</f>
        <v>580</v>
      </c>
      <c r="T126" s="250" t="s">
        <v>212</v>
      </c>
      <c r="U126" s="250" t="s">
        <v>248</v>
      </c>
      <c r="V126" s="250"/>
      <c r="W126" s="256"/>
      <c r="X126" s="257"/>
      <c r="Y126" s="257"/>
      <c r="Z126" s="257"/>
      <c r="AA126" s="257"/>
      <c r="AB126" s="257"/>
      <c r="AC126" s="250">
        <f t="shared" si="9"/>
        <v>2018</v>
      </c>
      <c r="AE126" s="276"/>
      <c r="AF126" s="119"/>
      <c r="AG126" s="119"/>
      <c r="AH126" s="277"/>
      <c r="AI126" s="277"/>
      <c r="AJ126" s="277"/>
    </row>
    <row r="127" spans="2:36" ht="13.5" customHeight="1">
      <c r="B127" s="69">
        <v>1</v>
      </c>
      <c r="C127" s="69">
        <v>125</v>
      </c>
      <c r="D127" s="239" t="s">
        <v>193</v>
      </c>
      <c r="E127" s="239" t="s">
        <v>1215</v>
      </c>
      <c r="F127" s="232" t="s">
        <v>45</v>
      </c>
      <c r="G127" s="232" t="s">
        <v>200</v>
      </c>
      <c r="H127" s="232" t="s">
        <v>185</v>
      </c>
      <c r="I127" s="238">
        <v>1990</v>
      </c>
      <c r="J127" s="238"/>
      <c r="K127" s="134">
        <f t="shared" si="8"/>
        <v>29</v>
      </c>
      <c r="L127" s="238">
        <v>2016</v>
      </c>
      <c r="M127" s="234">
        <v>48563</v>
      </c>
      <c r="N127" s="235">
        <f>210*3.28084</f>
        <v>688.97640000000001</v>
      </c>
      <c r="O127" s="235">
        <v>30</v>
      </c>
      <c r="P127" s="235">
        <v>1590</v>
      </c>
      <c r="Q127" s="235">
        <v>170</v>
      </c>
      <c r="R127" s="235">
        <f t="shared" si="11"/>
        <v>106.9182389937107</v>
      </c>
      <c r="S127" s="235">
        <f>ROUND(R127*CPI!$B$120/VLOOKUP($I127,CPI!$A$1:$B$122,2,FALSE)/1000,2)*1000</f>
        <v>200</v>
      </c>
      <c r="T127" s="232" t="s">
        <v>241</v>
      </c>
      <c r="U127" s="232" t="s">
        <v>248</v>
      </c>
      <c r="V127" s="232"/>
      <c r="W127" s="256" t="e">
        <f t="shared" ref="W127:W150" si="13">SUM(((X127/SUM(X127:AB127))*5),((Y127/SUM(X127:AB127))*4),((Z127/SUM(X127:AB127))*3),((AA127/SUM(X127:AB127))*2),((AB127/SUM(X127:AB127)*1)))</f>
        <v>#DIV/0!</v>
      </c>
      <c r="X127" s="257"/>
      <c r="Y127" s="257"/>
      <c r="Z127" s="257"/>
      <c r="AA127" s="257"/>
      <c r="AB127" s="257"/>
      <c r="AC127" s="250">
        <f t="shared" si="9"/>
        <v>1990</v>
      </c>
      <c r="AE127" s="276"/>
      <c r="AF127" s="119"/>
      <c r="AG127" s="119"/>
      <c r="AH127" s="277"/>
      <c r="AI127" s="277"/>
      <c r="AJ127" s="277"/>
    </row>
    <row r="128" spans="2:36" ht="13.5" customHeight="1">
      <c r="B128" s="69">
        <v>1</v>
      </c>
      <c r="C128" s="69">
        <v>126</v>
      </c>
      <c r="D128" s="237" t="s">
        <v>24</v>
      </c>
      <c r="E128" s="237" t="s">
        <v>1216</v>
      </c>
      <c r="F128" s="232" t="s">
        <v>45</v>
      </c>
      <c r="G128" s="232" t="s">
        <v>200</v>
      </c>
      <c r="H128" s="232" t="s">
        <v>185</v>
      </c>
      <c r="I128" s="238">
        <v>1992</v>
      </c>
      <c r="J128" s="238"/>
      <c r="K128" s="134">
        <f t="shared" si="8"/>
        <v>27</v>
      </c>
      <c r="L128" s="238">
        <v>2015</v>
      </c>
      <c r="M128" s="234">
        <v>74077</v>
      </c>
      <c r="N128" s="235">
        <f>268*3.28084</f>
        <v>879.26512000000002</v>
      </c>
      <c r="O128" s="235">
        <v>26</v>
      </c>
      <c r="P128" s="235">
        <v>2386</v>
      </c>
      <c r="Q128" s="235">
        <v>300</v>
      </c>
      <c r="R128" s="235">
        <f t="shared" si="11"/>
        <v>125.73344509639564</v>
      </c>
      <c r="S128" s="235">
        <f>ROUND(R128*CPI!$B$120/VLOOKUP($I128,CPI!$A$1:$B$122,2,FALSE)/1000,2)*1000</f>
        <v>220</v>
      </c>
      <c r="T128" s="232" t="s">
        <v>241</v>
      </c>
      <c r="U128" s="232" t="s">
        <v>39</v>
      </c>
      <c r="V128" s="232"/>
      <c r="W128" s="256" t="e">
        <f t="shared" si="13"/>
        <v>#DIV/0!</v>
      </c>
      <c r="X128" s="257"/>
      <c r="Y128" s="257"/>
      <c r="Z128" s="257"/>
      <c r="AA128" s="257"/>
      <c r="AB128" s="257"/>
      <c r="AC128" s="250">
        <f t="shared" si="9"/>
        <v>1992</v>
      </c>
      <c r="AE128" s="276"/>
      <c r="AF128" s="119"/>
      <c r="AG128" s="119"/>
      <c r="AH128" s="277"/>
      <c r="AI128" s="277"/>
      <c r="AJ128" s="277"/>
    </row>
    <row r="129" spans="2:36" ht="13.5" customHeight="1">
      <c r="B129" s="69">
        <v>1</v>
      </c>
      <c r="C129" s="69">
        <v>127</v>
      </c>
      <c r="D129" s="237" t="s">
        <v>23</v>
      </c>
      <c r="E129" s="237" t="s">
        <v>1217</v>
      </c>
      <c r="F129" s="232" t="s">
        <v>45</v>
      </c>
      <c r="G129" s="232" t="s">
        <v>200</v>
      </c>
      <c r="H129" s="232" t="s">
        <v>185</v>
      </c>
      <c r="I129" s="238">
        <v>1996</v>
      </c>
      <c r="J129" s="238"/>
      <c r="K129" s="134">
        <f t="shared" si="8"/>
        <v>23</v>
      </c>
      <c r="L129" s="238">
        <v>2017</v>
      </c>
      <c r="M129" s="234">
        <v>73817</v>
      </c>
      <c r="N129" s="235">
        <f>279*3.28084</f>
        <v>915.35436000000004</v>
      </c>
      <c r="O129" s="235">
        <v>31</v>
      </c>
      <c r="P129" s="235">
        <v>1994</v>
      </c>
      <c r="Q129" s="235">
        <v>280</v>
      </c>
      <c r="R129" s="235">
        <f t="shared" si="11"/>
        <v>140.42126379137412</v>
      </c>
      <c r="S129" s="235">
        <f>ROUND(R129*CPI!$B$120/VLOOKUP($I129,CPI!$A$1:$B$122,2,FALSE)/1000,2)*1000</f>
        <v>220</v>
      </c>
      <c r="T129" s="232" t="s">
        <v>241</v>
      </c>
      <c r="U129" s="232" t="s">
        <v>266</v>
      </c>
      <c r="V129" s="232"/>
      <c r="W129" s="256" t="e">
        <f t="shared" si="13"/>
        <v>#DIV/0!</v>
      </c>
      <c r="X129" s="257"/>
      <c r="Y129" s="257"/>
      <c r="Z129" s="257"/>
      <c r="AA129" s="257"/>
      <c r="AB129" s="257"/>
      <c r="AC129" s="250">
        <f t="shared" si="9"/>
        <v>1996</v>
      </c>
      <c r="AE129" s="276"/>
      <c r="AF129" s="119"/>
      <c r="AG129" s="119"/>
      <c r="AH129" s="277"/>
      <c r="AI129" s="277"/>
      <c r="AJ129" s="277"/>
    </row>
    <row r="130" spans="2:36" ht="13.5" customHeight="1">
      <c r="B130" s="69">
        <v>1</v>
      </c>
      <c r="C130" s="69">
        <v>128</v>
      </c>
      <c r="D130" s="237" t="s">
        <v>21</v>
      </c>
      <c r="E130" s="237" t="s">
        <v>1218</v>
      </c>
      <c r="F130" s="232" t="s">
        <v>45</v>
      </c>
      <c r="G130" s="232" t="s">
        <v>200</v>
      </c>
      <c r="H130" s="232" t="s">
        <v>185</v>
      </c>
      <c r="I130" s="238">
        <v>1997</v>
      </c>
      <c r="J130" s="238"/>
      <c r="K130" s="134">
        <f t="shared" si="8"/>
        <v>22</v>
      </c>
      <c r="L130" s="238">
        <v>2012</v>
      </c>
      <c r="M130" s="234">
        <v>82910</v>
      </c>
      <c r="N130" s="235">
        <f>301*3.28084</f>
        <v>987.53283999999996</v>
      </c>
      <c r="O130" s="235">
        <v>30</v>
      </c>
      <c r="P130" s="235">
        <v>2288</v>
      </c>
      <c r="Q130" s="235">
        <v>280</v>
      </c>
      <c r="R130" s="235">
        <f t="shared" si="11"/>
        <v>122.37762237762239</v>
      </c>
      <c r="S130" s="235">
        <f>ROUND(R130*CPI!$B$120/VLOOKUP($I130,CPI!$A$1:$B$122,2,FALSE)/1000,2)*1000</f>
        <v>190</v>
      </c>
      <c r="T130" s="232" t="s">
        <v>241</v>
      </c>
      <c r="U130" s="232" t="s">
        <v>266</v>
      </c>
      <c r="V130" s="232"/>
      <c r="W130" s="256" t="e">
        <f t="shared" si="13"/>
        <v>#DIV/0!</v>
      </c>
      <c r="X130" s="257"/>
      <c r="Y130" s="257"/>
      <c r="Z130" s="257"/>
      <c r="AA130" s="257"/>
      <c r="AB130" s="257"/>
      <c r="AC130" s="250">
        <f t="shared" si="9"/>
        <v>1997</v>
      </c>
      <c r="AE130" s="276"/>
      <c r="AF130" s="119"/>
      <c r="AG130" s="119"/>
      <c r="AH130" s="277"/>
      <c r="AI130" s="277"/>
      <c r="AJ130" s="277"/>
    </row>
    <row r="131" spans="2:36" ht="13.5" customHeight="1">
      <c r="B131" s="69">
        <v>1</v>
      </c>
      <c r="C131" s="69">
        <v>129</v>
      </c>
      <c r="D131" s="237" t="s">
        <v>22</v>
      </c>
      <c r="E131" s="237" t="s">
        <v>1219</v>
      </c>
      <c r="F131" s="232" t="s">
        <v>45</v>
      </c>
      <c r="G131" s="232" t="s">
        <v>200</v>
      </c>
      <c r="H131" s="232" t="s">
        <v>185</v>
      </c>
      <c r="I131" s="238">
        <v>1997</v>
      </c>
      <c r="J131" s="238"/>
      <c r="K131" s="134">
        <f t="shared" si="8"/>
        <v>22</v>
      </c>
      <c r="L131" s="238">
        <v>2016</v>
      </c>
      <c r="M131" s="234">
        <v>78878</v>
      </c>
      <c r="N131" s="235">
        <f>279*3.28084</f>
        <v>915.35436000000004</v>
      </c>
      <c r="O131" s="235">
        <v>32</v>
      </c>
      <c r="P131" s="235">
        <v>2026</v>
      </c>
      <c r="Q131" s="235">
        <v>280</v>
      </c>
      <c r="R131" s="235">
        <f t="shared" ref="R131:R162" si="14">Q131/P131*1000</f>
        <v>138.20335636722606</v>
      </c>
      <c r="S131" s="235">
        <f>ROUND(R131*CPI!$B$120/VLOOKUP($I131,CPI!$A$1:$B$122,2,FALSE)/1000,2)*1000</f>
        <v>210</v>
      </c>
      <c r="T131" s="232" t="s">
        <v>241</v>
      </c>
      <c r="U131" s="232" t="s">
        <v>266</v>
      </c>
      <c r="V131" s="232"/>
      <c r="W131" s="256" t="e">
        <f t="shared" si="13"/>
        <v>#DIV/0!</v>
      </c>
      <c r="X131" s="257"/>
      <c r="Y131" s="257"/>
      <c r="Z131" s="257"/>
      <c r="AA131" s="257"/>
      <c r="AB131" s="257"/>
      <c r="AC131" s="250">
        <f t="shared" si="9"/>
        <v>1997</v>
      </c>
      <c r="AE131" s="276"/>
      <c r="AF131" s="119"/>
      <c r="AG131" s="119"/>
      <c r="AH131" s="277"/>
      <c r="AI131" s="277"/>
      <c r="AJ131" s="277"/>
    </row>
    <row r="132" spans="2:36" ht="13.5" customHeight="1">
      <c r="B132" s="69">
        <v>1</v>
      </c>
      <c r="C132" s="69">
        <v>130</v>
      </c>
      <c r="D132" s="237" t="s">
        <v>20</v>
      </c>
      <c r="E132" s="237" t="s">
        <v>1220</v>
      </c>
      <c r="F132" s="232" t="s">
        <v>45</v>
      </c>
      <c r="G132" s="232" t="s">
        <v>200</v>
      </c>
      <c r="H132" s="232" t="s">
        <v>185</v>
      </c>
      <c r="I132" s="238">
        <v>1998</v>
      </c>
      <c r="J132" s="238"/>
      <c r="K132" s="134">
        <f t="shared" si="8"/>
        <v>21</v>
      </c>
      <c r="L132" s="238">
        <v>2013</v>
      </c>
      <c r="M132" s="234">
        <v>78717</v>
      </c>
      <c r="N132" s="235">
        <f>279*3.28084</f>
        <v>915.35436000000004</v>
      </c>
      <c r="O132" s="235">
        <v>32</v>
      </c>
      <c r="P132" s="235">
        <v>2036</v>
      </c>
      <c r="Q132" s="235">
        <v>280</v>
      </c>
      <c r="R132" s="235">
        <f t="shared" si="14"/>
        <v>137.52455795677801</v>
      </c>
      <c r="S132" s="235">
        <f>ROUND(R132*CPI!$B$120/VLOOKUP($I132,CPI!$A$1:$B$122,2,FALSE)/1000,2)*1000</f>
        <v>210</v>
      </c>
      <c r="T132" s="232" t="s">
        <v>241</v>
      </c>
      <c r="U132" s="232" t="s">
        <v>266</v>
      </c>
      <c r="V132" s="232"/>
      <c r="W132" s="256" t="e">
        <f t="shared" si="13"/>
        <v>#DIV/0!</v>
      </c>
      <c r="X132" s="257"/>
      <c r="Y132" s="257"/>
      <c r="Z132" s="257"/>
      <c r="AA132" s="257"/>
      <c r="AB132" s="257"/>
      <c r="AC132" s="250">
        <f t="shared" si="9"/>
        <v>1998</v>
      </c>
      <c r="AE132" s="276"/>
      <c r="AF132" s="119"/>
      <c r="AG132" s="119"/>
      <c r="AH132" s="277"/>
      <c r="AI132" s="277"/>
      <c r="AJ132" s="277"/>
    </row>
    <row r="133" spans="2:36" ht="13.5" customHeight="1">
      <c r="B133" s="69">
        <v>1</v>
      </c>
      <c r="C133" s="69">
        <v>131</v>
      </c>
      <c r="D133" s="233" t="s">
        <v>19</v>
      </c>
      <c r="E133" s="233" t="s">
        <v>1221</v>
      </c>
      <c r="F133" s="232" t="s">
        <v>45</v>
      </c>
      <c r="G133" s="232" t="s">
        <v>200</v>
      </c>
      <c r="H133" s="232" t="s">
        <v>185</v>
      </c>
      <c r="I133" s="238">
        <v>1999</v>
      </c>
      <c r="J133" s="238"/>
      <c r="K133" s="134">
        <f t="shared" ref="K133:K196" si="15">IF(ISNUMBER(AC133),$K$1-AC133+1,"")</f>
        <v>20</v>
      </c>
      <c r="L133" s="238">
        <v>2014</v>
      </c>
      <c r="M133" s="234">
        <v>137276</v>
      </c>
      <c r="N133" s="235">
        <f>311*3.28084</f>
        <v>1020.34124</v>
      </c>
      <c r="O133" s="235">
        <v>35</v>
      </c>
      <c r="P133" s="235">
        <v>3282</v>
      </c>
      <c r="Q133" s="235">
        <v>650</v>
      </c>
      <c r="R133" s="235">
        <f t="shared" si="14"/>
        <v>198.04996953077392</v>
      </c>
      <c r="S133" s="235">
        <f>ROUND(R133*CPI!$B$120/VLOOKUP($I133,CPI!$A$1:$B$122,2,FALSE)/1000,2)*1000</f>
        <v>290</v>
      </c>
      <c r="T133" s="232" t="s">
        <v>224</v>
      </c>
      <c r="U133" s="232" t="s">
        <v>261</v>
      </c>
      <c r="V133" s="232"/>
      <c r="W133" s="256" t="e">
        <f t="shared" si="13"/>
        <v>#DIV/0!</v>
      </c>
      <c r="X133" s="257"/>
      <c r="Y133" s="257"/>
      <c r="Z133" s="257"/>
      <c r="AA133" s="257"/>
      <c r="AB133" s="257"/>
      <c r="AC133" s="250">
        <f t="shared" ref="AC133:AC196" si="16">IF(I133&lt;=$K$1,I133,"")</f>
        <v>1999</v>
      </c>
      <c r="AE133" s="276"/>
      <c r="AF133" s="119"/>
      <c r="AG133" s="119"/>
      <c r="AH133" s="277"/>
      <c r="AI133" s="277"/>
      <c r="AJ133" s="277"/>
    </row>
    <row r="134" spans="2:36" ht="13.5" customHeight="1">
      <c r="B134" s="69">
        <v>1</v>
      </c>
      <c r="C134" s="69">
        <v>132</v>
      </c>
      <c r="D134" s="237" t="s">
        <v>18</v>
      </c>
      <c r="E134" s="237" t="s">
        <v>1222</v>
      </c>
      <c r="F134" s="232" t="s">
        <v>45</v>
      </c>
      <c r="G134" s="232" t="s">
        <v>200</v>
      </c>
      <c r="H134" s="232" t="s">
        <v>185</v>
      </c>
      <c r="I134" s="238">
        <v>2000</v>
      </c>
      <c r="J134" s="238"/>
      <c r="K134" s="134">
        <f t="shared" si="15"/>
        <v>19</v>
      </c>
      <c r="L134" s="238">
        <v>2015</v>
      </c>
      <c r="M134" s="234">
        <v>137308</v>
      </c>
      <c r="N134" s="235">
        <f>311*3.28084</f>
        <v>1020.34124</v>
      </c>
      <c r="O134" s="235">
        <v>35</v>
      </c>
      <c r="P134" s="235">
        <v>3282</v>
      </c>
      <c r="Q134" s="235">
        <v>500</v>
      </c>
      <c r="R134" s="235">
        <f t="shared" si="14"/>
        <v>152.34613040828762</v>
      </c>
      <c r="S134" s="235">
        <f>ROUND(R134*CPI!$B$120/VLOOKUP($I134,CPI!$A$1:$B$122,2,FALSE)/1000,2)*1000</f>
        <v>220</v>
      </c>
      <c r="T134" s="232" t="s">
        <v>224</v>
      </c>
      <c r="U134" s="232" t="s">
        <v>261</v>
      </c>
      <c r="V134" s="232"/>
      <c r="W134" s="256" t="e">
        <f t="shared" si="13"/>
        <v>#DIV/0!</v>
      </c>
      <c r="X134" s="257"/>
      <c r="Y134" s="257"/>
      <c r="Z134" s="257"/>
      <c r="AA134" s="257"/>
      <c r="AB134" s="257"/>
      <c r="AC134" s="250">
        <f t="shared" si="16"/>
        <v>2000</v>
      </c>
      <c r="AE134" s="276"/>
      <c r="AF134" s="119"/>
      <c r="AG134" s="119"/>
      <c r="AH134" s="277"/>
      <c r="AI134" s="277"/>
      <c r="AJ134" s="277"/>
    </row>
    <row r="135" spans="2:36" ht="13.5" customHeight="1">
      <c r="B135" s="69">
        <v>1</v>
      </c>
      <c r="C135" s="69">
        <v>133</v>
      </c>
      <c r="D135" s="237" t="s">
        <v>16</v>
      </c>
      <c r="E135" s="237" t="s">
        <v>1223</v>
      </c>
      <c r="F135" s="232" t="s">
        <v>45</v>
      </c>
      <c r="G135" s="232" t="s">
        <v>200</v>
      </c>
      <c r="H135" s="232" t="s">
        <v>185</v>
      </c>
      <c r="I135" s="238">
        <v>2001</v>
      </c>
      <c r="J135" s="238"/>
      <c r="K135" s="134">
        <f t="shared" si="15"/>
        <v>18</v>
      </c>
      <c r="L135" s="238">
        <v>2016</v>
      </c>
      <c r="M135" s="234">
        <v>137276</v>
      </c>
      <c r="N135" s="235">
        <f>311*3.28084</f>
        <v>1020.34124</v>
      </c>
      <c r="O135" s="235">
        <v>37</v>
      </c>
      <c r="P135" s="235">
        <v>3130</v>
      </c>
      <c r="Q135" s="235">
        <v>500</v>
      </c>
      <c r="R135" s="235">
        <f t="shared" si="14"/>
        <v>159.7444089456869</v>
      </c>
      <c r="S135" s="235">
        <f>ROUND(R135*CPI!$B$120/VLOOKUP($I135,CPI!$A$1:$B$122,2,FALSE)/1000,2)*1000</f>
        <v>230</v>
      </c>
      <c r="T135" s="232" t="s">
        <v>224</v>
      </c>
      <c r="U135" s="232" t="s">
        <v>261</v>
      </c>
      <c r="V135" s="232"/>
      <c r="W135" s="256" t="e">
        <f t="shared" si="13"/>
        <v>#DIV/0!</v>
      </c>
      <c r="X135" s="257"/>
      <c r="Y135" s="257"/>
      <c r="Z135" s="257"/>
      <c r="AA135" s="257"/>
      <c r="AB135" s="257"/>
      <c r="AC135" s="250">
        <f t="shared" si="16"/>
        <v>2001</v>
      </c>
      <c r="AE135" s="276"/>
      <c r="AF135" s="119"/>
      <c r="AG135" s="119"/>
      <c r="AH135" s="277"/>
      <c r="AI135" s="277"/>
      <c r="AJ135" s="277"/>
    </row>
    <row r="136" spans="2:36" ht="13.5" customHeight="1">
      <c r="B136" s="69">
        <v>1</v>
      </c>
      <c r="C136" s="69">
        <v>134</v>
      </c>
      <c r="D136" s="237" t="s">
        <v>17</v>
      </c>
      <c r="E136" s="237" t="s">
        <v>1224</v>
      </c>
      <c r="F136" s="232" t="s">
        <v>45</v>
      </c>
      <c r="G136" s="232" t="s">
        <v>200</v>
      </c>
      <c r="H136" s="232" t="s">
        <v>185</v>
      </c>
      <c r="I136" s="238">
        <v>2001</v>
      </c>
      <c r="J136" s="238"/>
      <c r="K136" s="134">
        <f t="shared" si="15"/>
        <v>18</v>
      </c>
      <c r="L136" s="238">
        <v>2016</v>
      </c>
      <c r="M136" s="234">
        <v>90090</v>
      </c>
      <c r="N136" s="235">
        <f>293*3.28084</f>
        <v>961.28611999999998</v>
      </c>
      <c r="O136" s="235">
        <v>35</v>
      </c>
      <c r="P136" s="235">
        <v>2122</v>
      </c>
      <c r="Q136" s="235">
        <v>350</v>
      </c>
      <c r="R136" s="235">
        <f t="shared" si="14"/>
        <v>164.9387370405278</v>
      </c>
      <c r="S136" s="235">
        <f>ROUND(R136*CPI!$B$120/VLOOKUP($I136,CPI!$A$1:$B$122,2,FALSE)/1000,2)*1000</f>
        <v>230</v>
      </c>
      <c r="T136" s="232" t="s">
        <v>228</v>
      </c>
      <c r="U136" s="232" t="s">
        <v>265</v>
      </c>
      <c r="V136" s="232"/>
      <c r="W136" s="256" t="e">
        <f t="shared" si="13"/>
        <v>#DIV/0!</v>
      </c>
      <c r="X136" s="257"/>
      <c r="Y136" s="257"/>
      <c r="Z136" s="257"/>
      <c r="AA136" s="257"/>
      <c r="AB136" s="257"/>
      <c r="AC136" s="250">
        <f t="shared" si="16"/>
        <v>2001</v>
      </c>
      <c r="AE136" s="276"/>
      <c r="AF136" s="119"/>
      <c r="AG136" s="119"/>
      <c r="AH136" s="277"/>
      <c r="AI136" s="277"/>
      <c r="AJ136" s="277"/>
    </row>
    <row r="137" spans="2:36" ht="13.5" customHeight="1">
      <c r="B137" s="69">
        <v>1</v>
      </c>
      <c r="C137" s="69">
        <v>135</v>
      </c>
      <c r="D137" s="237" t="s">
        <v>15</v>
      </c>
      <c r="E137" s="237" t="s">
        <v>1225</v>
      </c>
      <c r="F137" s="232" t="s">
        <v>45</v>
      </c>
      <c r="G137" s="232" t="s">
        <v>200</v>
      </c>
      <c r="H137" s="232" t="s">
        <v>185</v>
      </c>
      <c r="I137" s="238">
        <v>2002</v>
      </c>
      <c r="J137" s="238"/>
      <c r="K137" s="134">
        <f t="shared" si="15"/>
        <v>17</v>
      </c>
      <c r="L137" s="238">
        <v>2013</v>
      </c>
      <c r="M137" s="234">
        <v>90090</v>
      </c>
      <c r="N137" s="235">
        <f>292*3.28084</f>
        <v>958.00527999999997</v>
      </c>
      <c r="O137" s="235">
        <v>35</v>
      </c>
      <c r="P137" s="235">
        <v>2150</v>
      </c>
      <c r="Q137" s="235">
        <v>350</v>
      </c>
      <c r="R137" s="235">
        <f t="shared" si="14"/>
        <v>162.79069767441862</v>
      </c>
      <c r="S137" s="235">
        <f>ROUND(R137*CPI!$B$120/VLOOKUP($I137,CPI!$A$1:$B$122,2,FALSE)/1000,2)*1000</f>
        <v>230</v>
      </c>
      <c r="T137" s="232" t="s">
        <v>228</v>
      </c>
      <c r="U137" s="232" t="s">
        <v>265</v>
      </c>
      <c r="V137" s="232"/>
      <c r="W137" s="256" t="e">
        <f t="shared" si="13"/>
        <v>#DIV/0!</v>
      </c>
      <c r="X137" s="257"/>
      <c r="Y137" s="257"/>
      <c r="Z137" s="257"/>
      <c r="AA137" s="257"/>
      <c r="AB137" s="257"/>
      <c r="AC137" s="250">
        <f t="shared" si="16"/>
        <v>2002</v>
      </c>
      <c r="AE137" s="276"/>
      <c r="AF137" s="119"/>
      <c r="AG137" s="119"/>
      <c r="AH137" s="277"/>
      <c r="AI137" s="277"/>
      <c r="AJ137" s="277"/>
    </row>
    <row r="138" spans="2:36" ht="13.5" customHeight="1">
      <c r="B138" s="69">
        <v>1</v>
      </c>
      <c r="C138" s="69">
        <v>136</v>
      </c>
      <c r="D138" s="237" t="s">
        <v>14</v>
      </c>
      <c r="E138" s="237" t="s">
        <v>1226</v>
      </c>
      <c r="F138" s="232" t="s">
        <v>45</v>
      </c>
      <c r="G138" s="232" t="s">
        <v>200</v>
      </c>
      <c r="H138" s="232" t="s">
        <v>185</v>
      </c>
      <c r="I138" s="238">
        <v>2002</v>
      </c>
      <c r="J138" s="238"/>
      <c r="K138" s="134">
        <f t="shared" si="15"/>
        <v>17</v>
      </c>
      <c r="L138" s="238">
        <v>2014</v>
      </c>
      <c r="M138" s="234">
        <v>139570</v>
      </c>
      <c r="N138" s="235">
        <f>311*3.28084</f>
        <v>1020.34124</v>
      </c>
      <c r="O138" s="235">
        <v>36</v>
      </c>
      <c r="P138" s="235">
        <v>3272</v>
      </c>
      <c r="Q138" s="235">
        <v>650</v>
      </c>
      <c r="R138" s="235">
        <f t="shared" si="14"/>
        <v>198.65525672371641</v>
      </c>
      <c r="S138" s="235">
        <f>ROUND(R138*CPI!$B$120/VLOOKUP($I138,CPI!$A$1:$B$122,2,FALSE)/1000,2)*1000</f>
        <v>270</v>
      </c>
      <c r="T138" s="232" t="s">
        <v>224</v>
      </c>
      <c r="U138" s="232" t="s">
        <v>261</v>
      </c>
      <c r="V138" s="232"/>
      <c r="W138" s="256" t="e">
        <f t="shared" si="13"/>
        <v>#DIV/0!</v>
      </c>
      <c r="X138" s="257"/>
      <c r="Y138" s="257"/>
      <c r="Z138" s="257"/>
      <c r="AA138" s="257"/>
      <c r="AB138" s="257"/>
      <c r="AC138" s="250">
        <f t="shared" si="16"/>
        <v>2002</v>
      </c>
      <c r="AE138" s="276"/>
      <c r="AF138" s="119"/>
      <c r="AG138" s="119"/>
      <c r="AH138" s="277"/>
      <c r="AI138" s="277"/>
      <c r="AJ138" s="277"/>
    </row>
    <row r="139" spans="2:36" ht="13.5" customHeight="1">
      <c r="B139" s="69">
        <v>1</v>
      </c>
      <c r="C139" s="69">
        <v>137</v>
      </c>
      <c r="D139" s="237" t="s">
        <v>12</v>
      </c>
      <c r="E139" s="237" t="s">
        <v>1227</v>
      </c>
      <c r="F139" s="232" t="s">
        <v>45</v>
      </c>
      <c r="G139" s="232" t="s">
        <v>200</v>
      </c>
      <c r="H139" s="232" t="s">
        <v>185</v>
      </c>
      <c r="I139" s="238">
        <v>2003</v>
      </c>
      <c r="J139" s="238"/>
      <c r="K139" s="134">
        <f t="shared" si="15"/>
        <v>16</v>
      </c>
      <c r="L139" s="238">
        <v>2014</v>
      </c>
      <c r="M139" s="234">
        <v>138279</v>
      </c>
      <c r="N139" s="235">
        <f>311*3.28084</f>
        <v>1020.34124</v>
      </c>
      <c r="O139" s="235">
        <v>37</v>
      </c>
      <c r="P139" s="235">
        <v>3110</v>
      </c>
      <c r="Q139" s="235">
        <v>650</v>
      </c>
      <c r="R139" s="235">
        <f t="shared" si="14"/>
        <v>209.00321543408359</v>
      </c>
      <c r="S139" s="235">
        <f>ROUND(R139*CPI!$B$120/VLOOKUP($I139,CPI!$A$1:$B$122,2,FALSE)/1000,2)*1000</f>
        <v>280</v>
      </c>
      <c r="T139" s="232" t="s">
        <v>224</v>
      </c>
      <c r="U139" s="232" t="s">
        <v>261</v>
      </c>
      <c r="V139" s="232"/>
      <c r="W139" s="256" t="e">
        <f t="shared" si="13"/>
        <v>#DIV/0!</v>
      </c>
      <c r="X139" s="257"/>
      <c r="Y139" s="257"/>
      <c r="Z139" s="257"/>
      <c r="AA139" s="257"/>
      <c r="AB139" s="257"/>
      <c r="AC139" s="250">
        <f t="shared" si="16"/>
        <v>2003</v>
      </c>
      <c r="AE139" s="276"/>
      <c r="AF139" s="119"/>
      <c r="AG139" s="119"/>
      <c r="AH139" s="277"/>
      <c r="AI139" s="277"/>
      <c r="AJ139" s="277"/>
    </row>
    <row r="140" spans="2:36" ht="13.5" customHeight="1">
      <c r="B140" s="69">
        <v>1</v>
      </c>
      <c r="C140" s="69">
        <v>138</v>
      </c>
      <c r="D140" s="237" t="s">
        <v>13</v>
      </c>
      <c r="E140" s="237" t="s">
        <v>1228</v>
      </c>
      <c r="F140" s="232" t="s">
        <v>45</v>
      </c>
      <c r="G140" s="232" t="s">
        <v>200</v>
      </c>
      <c r="H140" s="232" t="s">
        <v>185</v>
      </c>
      <c r="I140" s="238">
        <v>2003</v>
      </c>
      <c r="J140" s="238"/>
      <c r="K140" s="134">
        <f t="shared" si="15"/>
        <v>16</v>
      </c>
      <c r="L140" s="238">
        <v>2012</v>
      </c>
      <c r="M140" s="234">
        <v>90090</v>
      </c>
      <c r="N140" s="235">
        <f>293*3.28084</f>
        <v>961.28611999999998</v>
      </c>
      <c r="O140" s="235">
        <v>35</v>
      </c>
      <c r="P140" s="235">
        <v>2150</v>
      </c>
      <c r="Q140" s="235">
        <v>350</v>
      </c>
      <c r="R140" s="235">
        <f t="shared" si="14"/>
        <v>162.79069767441862</v>
      </c>
      <c r="S140" s="235">
        <f>ROUND(R140*CPI!$B$120/VLOOKUP($I140,CPI!$A$1:$B$122,2,FALSE)/1000,2)*1000</f>
        <v>220</v>
      </c>
      <c r="T140" s="232" t="s">
        <v>228</v>
      </c>
      <c r="U140" s="232" t="s">
        <v>265</v>
      </c>
      <c r="V140" s="232"/>
      <c r="W140" s="256" t="e">
        <f t="shared" si="13"/>
        <v>#DIV/0!</v>
      </c>
      <c r="X140" s="257"/>
      <c r="Y140" s="257"/>
      <c r="Z140" s="257"/>
      <c r="AA140" s="257"/>
      <c r="AB140" s="257"/>
      <c r="AC140" s="250">
        <f t="shared" si="16"/>
        <v>2003</v>
      </c>
      <c r="AE140" s="276"/>
      <c r="AF140" s="119"/>
      <c r="AG140" s="119"/>
      <c r="AH140" s="277"/>
      <c r="AI140" s="277"/>
      <c r="AJ140" s="277"/>
    </row>
    <row r="141" spans="2:36" ht="13.5" customHeight="1">
      <c r="B141" s="69">
        <v>1</v>
      </c>
      <c r="C141" s="69">
        <v>139</v>
      </c>
      <c r="D141" s="237" t="s">
        <v>11</v>
      </c>
      <c r="E141" s="237" t="s">
        <v>1229</v>
      </c>
      <c r="F141" s="232" t="s">
        <v>45</v>
      </c>
      <c r="G141" s="232" t="s">
        <v>200</v>
      </c>
      <c r="H141" s="232" t="s">
        <v>185</v>
      </c>
      <c r="I141" s="238">
        <v>2004</v>
      </c>
      <c r="J141" s="238"/>
      <c r="K141" s="134">
        <f t="shared" si="15"/>
        <v>15</v>
      </c>
      <c r="L141" s="238">
        <v>2016</v>
      </c>
      <c r="M141" s="234">
        <v>90090</v>
      </c>
      <c r="N141" s="235">
        <f>293*3.28084</f>
        <v>961.28611999999998</v>
      </c>
      <c r="O141" s="235">
        <v>36</v>
      </c>
      <c r="P141" s="235">
        <v>2114</v>
      </c>
      <c r="Q141" s="235">
        <v>350</v>
      </c>
      <c r="R141" s="235">
        <f t="shared" si="14"/>
        <v>165.56291390728478</v>
      </c>
      <c r="S141" s="235">
        <f>ROUND(R141*CPI!$B$120/VLOOKUP($I141,CPI!$A$1:$B$122,2,FALSE)/1000,2)*1000</f>
        <v>220</v>
      </c>
      <c r="T141" s="232" t="s">
        <v>228</v>
      </c>
      <c r="U141" s="232" t="s">
        <v>265</v>
      </c>
      <c r="V141" s="232"/>
      <c r="W141" s="256" t="e">
        <f t="shared" si="13"/>
        <v>#DIV/0!</v>
      </c>
      <c r="X141" s="257"/>
      <c r="Y141" s="257"/>
      <c r="Z141" s="257"/>
      <c r="AA141" s="257"/>
      <c r="AB141" s="257"/>
      <c r="AC141" s="250">
        <f t="shared" si="16"/>
        <v>2004</v>
      </c>
      <c r="AE141" s="276"/>
      <c r="AF141" s="119"/>
      <c r="AG141" s="119"/>
      <c r="AH141" s="277"/>
      <c r="AI141" s="277"/>
      <c r="AJ141" s="277"/>
    </row>
    <row r="142" spans="2:36" ht="13.5" customHeight="1">
      <c r="B142" s="69">
        <v>1</v>
      </c>
      <c r="C142" s="69">
        <v>140</v>
      </c>
      <c r="D142" s="237" t="s">
        <v>10</v>
      </c>
      <c r="E142" s="237" t="s">
        <v>1230</v>
      </c>
      <c r="F142" s="232" t="s">
        <v>45</v>
      </c>
      <c r="G142" s="232" t="s">
        <v>200</v>
      </c>
      <c r="H142" s="232" t="s">
        <v>185</v>
      </c>
      <c r="I142" s="238">
        <v>2006</v>
      </c>
      <c r="J142" s="238"/>
      <c r="K142" s="134">
        <f t="shared" si="15"/>
        <v>13</v>
      </c>
      <c r="L142" s="238">
        <v>2015</v>
      </c>
      <c r="M142" s="234">
        <v>154407</v>
      </c>
      <c r="N142" s="235">
        <f>338*3.28084</f>
        <v>1108.92392</v>
      </c>
      <c r="O142" s="235">
        <v>34</v>
      </c>
      <c r="P142" s="235">
        <v>3784</v>
      </c>
      <c r="Q142" s="235">
        <v>800</v>
      </c>
      <c r="R142" s="235">
        <f t="shared" si="14"/>
        <v>211.41649048625794</v>
      </c>
      <c r="S142" s="235">
        <f>ROUND(R142*CPI!$B$120/VLOOKUP($I142,CPI!$A$1:$B$122,2,FALSE)/1000,2)*1000</f>
        <v>260</v>
      </c>
      <c r="T142" s="232" t="s">
        <v>262</v>
      </c>
      <c r="U142" s="232" t="s">
        <v>221</v>
      </c>
      <c r="V142" s="232"/>
      <c r="W142" s="256" t="e">
        <f t="shared" si="13"/>
        <v>#DIV/0!</v>
      </c>
      <c r="X142" s="257"/>
      <c r="Y142" s="257"/>
      <c r="Z142" s="257"/>
      <c r="AA142" s="257"/>
      <c r="AB142" s="257"/>
      <c r="AC142" s="250">
        <f t="shared" si="16"/>
        <v>2006</v>
      </c>
      <c r="AE142" s="276"/>
      <c r="AF142" s="119"/>
      <c r="AG142" s="119"/>
      <c r="AH142" s="277"/>
      <c r="AI142" s="277"/>
      <c r="AJ142" s="277"/>
    </row>
    <row r="143" spans="2:36" ht="13.5" customHeight="1">
      <c r="B143" s="69">
        <v>1</v>
      </c>
      <c r="C143" s="69">
        <v>141</v>
      </c>
      <c r="D143" s="237" t="s">
        <v>9</v>
      </c>
      <c r="E143" s="237" t="s">
        <v>1231</v>
      </c>
      <c r="F143" s="232" t="s">
        <v>45</v>
      </c>
      <c r="G143" s="232" t="s">
        <v>200</v>
      </c>
      <c r="H143" s="232" t="s">
        <v>185</v>
      </c>
      <c r="I143" s="238">
        <v>2007</v>
      </c>
      <c r="J143" s="238"/>
      <c r="K143" s="134">
        <f t="shared" si="15"/>
        <v>12</v>
      </c>
      <c r="L143" s="238">
        <v>2016</v>
      </c>
      <c r="M143" s="234">
        <v>154407</v>
      </c>
      <c r="N143" s="235">
        <f>338*3.28084</f>
        <v>1108.92392</v>
      </c>
      <c r="O143" s="235">
        <v>35</v>
      </c>
      <c r="P143" s="235">
        <v>3630</v>
      </c>
      <c r="Q143" s="235">
        <v>800</v>
      </c>
      <c r="R143" s="235">
        <f t="shared" si="14"/>
        <v>220.38567493112947</v>
      </c>
      <c r="S143" s="235">
        <f>ROUND(R143*CPI!$B$120/VLOOKUP($I143,CPI!$A$1:$B$122,2,FALSE)/1000,2)*1000</f>
        <v>260</v>
      </c>
      <c r="T143" s="232" t="s">
        <v>262</v>
      </c>
      <c r="U143" s="232" t="s">
        <v>221</v>
      </c>
      <c r="V143" s="232"/>
      <c r="W143" s="256" t="e">
        <f t="shared" si="13"/>
        <v>#DIV/0!</v>
      </c>
      <c r="X143" s="257"/>
      <c r="Y143" s="257"/>
      <c r="Z143" s="257"/>
      <c r="AA143" s="257"/>
      <c r="AB143" s="257"/>
      <c r="AC143" s="250">
        <f t="shared" si="16"/>
        <v>2007</v>
      </c>
      <c r="AE143" s="276"/>
      <c r="AF143" s="119"/>
      <c r="AG143" s="119"/>
      <c r="AH143" s="277"/>
      <c r="AI143" s="277"/>
      <c r="AJ143" s="277"/>
    </row>
    <row r="144" spans="2:36" ht="13.5" customHeight="1">
      <c r="B144" s="69">
        <v>1</v>
      </c>
      <c r="C144" s="69">
        <v>142</v>
      </c>
      <c r="D144" s="237" t="s">
        <v>8</v>
      </c>
      <c r="E144" s="237" t="s">
        <v>1232</v>
      </c>
      <c r="F144" s="232" t="s">
        <v>45</v>
      </c>
      <c r="G144" s="232" t="s">
        <v>200</v>
      </c>
      <c r="H144" s="232" t="s">
        <v>185</v>
      </c>
      <c r="I144" s="238">
        <v>2008</v>
      </c>
      <c r="J144" s="238"/>
      <c r="K144" s="134">
        <f t="shared" si="15"/>
        <v>11</v>
      </c>
      <c r="L144" s="238">
        <v>2013</v>
      </c>
      <c r="M144" s="234">
        <v>154407</v>
      </c>
      <c r="N144" s="235">
        <f>338*3.28084</f>
        <v>1108.92392</v>
      </c>
      <c r="O144" s="235">
        <v>35</v>
      </c>
      <c r="P144" s="235">
        <v>3630</v>
      </c>
      <c r="Q144" s="235">
        <v>600</v>
      </c>
      <c r="R144" s="235">
        <f t="shared" si="14"/>
        <v>165.28925619834712</v>
      </c>
      <c r="S144" s="235">
        <f>ROUND(R144*CPI!$B$120/VLOOKUP($I144,CPI!$A$1:$B$122,2,FALSE)/1000,2)*1000</f>
        <v>200</v>
      </c>
      <c r="T144" s="232" t="s">
        <v>262</v>
      </c>
      <c r="U144" s="232" t="s">
        <v>221</v>
      </c>
      <c r="V144" s="232"/>
      <c r="W144" s="256" t="e">
        <f t="shared" si="13"/>
        <v>#DIV/0!</v>
      </c>
      <c r="X144" s="257"/>
      <c r="Y144" s="257"/>
      <c r="Z144" s="257"/>
      <c r="AA144" s="257"/>
      <c r="AB144" s="257"/>
      <c r="AC144" s="250">
        <f t="shared" si="16"/>
        <v>2008</v>
      </c>
      <c r="AE144" s="276"/>
      <c r="AF144" s="119"/>
      <c r="AG144" s="119"/>
      <c r="AH144" s="277"/>
      <c r="AI144" s="277"/>
      <c r="AJ144" s="277"/>
    </row>
    <row r="145" spans="2:36" ht="13.5" customHeight="1">
      <c r="B145" s="69">
        <v>1</v>
      </c>
      <c r="C145" s="69">
        <v>143</v>
      </c>
      <c r="D145" s="237" t="s">
        <v>7</v>
      </c>
      <c r="E145" s="237" t="s">
        <v>1233</v>
      </c>
      <c r="F145" s="232" t="s">
        <v>45</v>
      </c>
      <c r="G145" s="232" t="s">
        <v>200</v>
      </c>
      <c r="H145" s="232" t="s">
        <v>185</v>
      </c>
      <c r="I145" s="238">
        <v>2009</v>
      </c>
      <c r="J145" s="238"/>
      <c r="K145" s="134">
        <f t="shared" si="15"/>
        <v>10</v>
      </c>
      <c r="L145" s="238">
        <v>2014</v>
      </c>
      <c r="M145" s="234">
        <v>225282</v>
      </c>
      <c r="N145" s="235">
        <f>360*3.28084</f>
        <v>1181.1024</v>
      </c>
      <c r="O145" s="235">
        <v>36</v>
      </c>
      <c r="P145" s="235">
        <v>5484</v>
      </c>
      <c r="Q145" s="235">
        <v>1400</v>
      </c>
      <c r="R145" s="235">
        <f t="shared" si="14"/>
        <v>255.28811086797958</v>
      </c>
      <c r="S145" s="235">
        <f>ROUND(R145*CPI!$B$120/VLOOKUP($I145,CPI!$A$1:$B$122,2,FALSE)/1000,2)*1000</f>
        <v>300</v>
      </c>
      <c r="T145" s="232" t="s">
        <v>262</v>
      </c>
      <c r="U145" s="232" t="s">
        <v>263</v>
      </c>
      <c r="V145" s="232"/>
      <c r="W145" s="256" t="e">
        <f t="shared" si="13"/>
        <v>#DIV/0!</v>
      </c>
      <c r="X145" s="257"/>
      <c r="Y145" s="257"/>
      <c r="Z145" s="257"/>
      <c r="AA145" s="257"/>
      <c r="AB145" s="257"/>
      <c r="AC145" s="250">
        <f t="shared" si="16"/>
        <v>2009</v>
      </c>
      <c r="AE145" s="276"/>
      <c r="AF145" s="119"/>
      <c r="AG145" s="119"/>
      <c r="AH145" s="277"/>
      <c r="AI145" s="277"/>
      <c r="AJ145" s="277"/>
    </row>
    <row r="146" spans="2:36" ht="13.5" customHeight="1">
      <c r="B146" s="69">
        <v>1</v>
      </c>
      <c r="C146" s="69">
        <v>144</v>
      </c>
      <c r="D146" s="237" t="s">
        <v>6</v>
      </c>
      <c r="E146" s="237" t="s">
        <v>1234</v>
      </c>
      <c r="F146" s="232" t="s">
        <v>45</v>
      </c>
      <c r="G146" s="232" t="s">
        <v>200</v>
      </c>
      <c r="H146" s="232" t="s">
        <v>185</v>
      </c>
      <c r="I146" s="238">
        <v>2010</v>
      </c>
      <c r="J146" s="238"/>
      <c r="K146" s="134">
        <f t="shared" si="15"/>
        <v>9</v>
      </c>
      <c r="L146" s="238">
        <v>2015</v>
      </c>
      <c r="M146" s="234">
        <v>225282</v>
      </c>
      <c r="N146" s="235">
        <f>360*3.28084</f>
        <v>1181.1024</v>
      </c>
      <c r="O146" s="235">
        <v>36</v>
      </c>
      <c r="P146" s="235">
        <v>5490</v>
      </c>
      <c r="Q146" s="235">
        <v>1200</v>
      </c>
      <c r="R146" s="235">
        <f t="shared" si="14"/>
        <v>218.5792349726776</v>
      </c>
      <c r="S146" s="235">
        <f>ROUND(R146*CPI!$B$120/VLOOKUP($I146,CPI!$A$1:$B$122,2,FALSE)/1000,2)*1000</f>
        <v>250</v>
      </c>
      <c r="T146" s="232" t="s">
        <v>262</v>
      </c>
      <c r="U146" s="232" t="s">
        <v>263</v>
      </c>
      <c r="V146" s="232"/>
      <c r="W146" s="256" t="e">
        <f t="shared" si="13"/>
        <v>#DIV/0!</v>
      </c>
      <c r="X146" s="257"/>
      <c r="Y146" s="257"/>
      <c r="Z146" s="257"/>
      <c r="AA146" s="257"/>
      <c r="AB146" s="257"/>
      <c r="AC146" s="250">
        <f t="shared" si="16"/>
        <v>2010</v>
      </c>
      <c r="AE146" s="276"/>
      <c r="AF146" s="119"/>
      <c r="AG146" s="119"/>
      <c r="AH146" s="277"/>
      <c r="AI146" s="277"/>
      <c r="AJ146" s="277"/>
    </row>
    <row r="147" spans="2:36" ht="13.5" customHeight="1">
      <c r="B147" s="69">
        <v>1</v>
      </c>
      <c r="C147" s="69">
        <v>145</v>
      </c>
      <c r="D147" s="233" t="s">
        <v>5</v>
      </c>
      <c r="E147" s="233" t="s">
        <v>1235</v>
      </c>
      <c r="F147" s="232" t="s">
        <v>45</v>
      </c>
      <c r="G147" s="232" t="s">
        <v>200</v>
      </c>
      <c r="H147" s="232" t="s">
        <v>185</v>
      </c>
      <c r="I147" s="238">
        <v>2014</v>
      </c>
      <c r="J147" s="238"/>
      <c r="K147" s="134">
        <f t="shared" si="15"/>
        <v>5</v>
      </c>
      <c r="L147" s="238"/>
      <c r="M147" s="234">
        <v>167800</v>
      </c>
      <c r="N147" s="235">
        <v>1142</v>
      </c>
      <c r="O147" s="235">
        <v>35</v>
      </c>
      <c r="P147" s="235">
        <v>4162</v>
      </c>
      <c r="Q147" s="235">
        <v>940</v>
      </c>
      <c r="R147" s="235">
        <f t="shared" si="14"/>
        <v>225.85295530994713</v>
      </c>
      <c r="S147" s="235">
        <f>ROUND(R147*CPI!$B$120/VLOOKUP($I147,CPI!$A$1:$B$122,2,FALSE)/1000,2)*1000</f>
        <v>240</v>
      </c>
      <c r="T147" s="232" t="s">
        <v>228</v>
      </c>
      <c r="U147" s="232" t="s">
        <v>264</v>
      </c>
      <c r="V147" s="232"/>
      <c r="W147" s="256" t="e">
        <f t="shared" si="13"/>
        <v>#DIV/0!</v>
      </c>
      <c r="X147" s="257"/>
      <c r="Y147" s="257"/>
      <c r="Z147" s="257"/>
      <c r="AA147" s="257"/>
      <c r="AB147" s="257"/>
      <c r="AC147" s="250">
        <f t="shared" si="16"/>
        <v>2014</v>
      </c>
      <c r="AE147" s="276"/>
      <c r="AF147" s="119"/>
      <c r="AG147" s="119"/>
      <c r="AH147" s="277"/>
      <c r="AI147" s="277"/>
      <c r="AJ147" s="277"/>
    </row>
    <row r="148" spans="2:36" ht="13.5" customHeight="1">
      <c r="B148" s="69">
        <v>1</v>
      </c>
      <c r="C148" s="69">
        <v>146</v>
      </c>
      <c r="D148" s="237" t="s">
        <v>4</v>
      </c>
      <c r="E148" s="237" t="s">
        <v>1236</v>
      </c>
      <c r="F148" s="232" t="s">
        <v>45</v>
      </c>
      <c r="G148" s="232" t="s">
        <v>200</v>
      </c>
      <c r="H148" s="232" t="s">
        <v>185</v>
      </c>
      <c r="I148" s="238">
        <v>2015</v>
      </c>
      <c r="J148" s="238"/>
      <c r="K148" s="134">
        <f t="shared" si="15"/>
        <v>4</v>
      </c>
      <c r="L148" s="238"/>
      <c r="M148" s="234">
        <v>167800</v>
      </c>
      <c r="N148" s="235">
        <f>348*3.28084</f>
        <v>1141.7323200000001</v>
      </c>
      <c r="O148" s="235">
        <v>35</v>
      </c>
      <c r="P148" s="235">
        <v>4162</v>
      </c>
      <c r="Q148" s="235">
        <v>940</v>
      </c>
      <c r="R148" s="235">
        <f t="shared" si="14"/>
        <v>225.85295530994713</v>
      </c>
      <c r="S148" s="235">
        <f>ROUND(R148*CPI!$B$120/VLOOKUP($I148,CPI!$A$1:$B$122,2,FALSE)/1000,2)*1000</f>
        <v>240</v>
      </c>
      <c r="T148" s="232" t="s">
        <v>228</v>
      </c>
      <c r="U148" s="232" t="s">
        <v>264</v>
      </c>
      <c r="V148" s="232"/>
      <c r="W148" s="256" t="e">
        <f t="shared" si="13"/>
        <v>#DIV/0!</v>
      </c>
      <c r="X148" s="257"/>
      <c r="Y148" s="257"/>
      <c r="Z148" s="257"/>
      <c r="AA148" s="257"/>
      <c r="AB148" s="257"/>
      <c r="AC148" s="250">
        <f t="shared" si="16"/>
        <v>2015</v>
      </c>
      <c r="AE148" s="276"/>
      <c r="AF148" s="119"/>
      <c r="AG148" s="119"/>
      <c r="AH148" s="277"/>
      <c r="AI148" s="277"/>
      <c r="AJ148" s="277"/>
    </row>
    <row r="149" spans="2:36" ht="13.5" customHeight="1">
      <c r="B149" s="69">
        <v>1</v>
      </c>
      <c r="C149" s="69">
        <v>147</v>
      </c>
      <c r="D149" s="237" t="s">
        <v>2</v>
      </c>
      <c r="E149" s="237" t="s">
        <v>1237</v>
      </c>
      <c r="F149" s="232" t="s">
        <v>45</v>
      </c>
      <c r="G149" s="232" t="s">
        <v>200</v>
      </c>
      <c r="H149" s="232" t="s">
        <v>185</v>
      </c>
      <c r="I149" s="238">
        <v>2016</v>
      </c>
      <c r="J149" s="238"/>
      <c r="K149" s="134">
        <f t="shared" si="15"/>
        <v>3</v>
      </c>
      <c r="L149" s="238"/>
      <c r="M149" s="234">
        <v>227000</v>
      </c>
      <c r="N149" s="235">
        <f>362*3.28084</f>
        <v>1187.66408</v>
      </c>
      <c r="O149" s="235">
        <v>36</v>
      </c>
      <c r="P149" s="235">
        <v>5475</v>
      </c>
      <c r="Q149" s="235">
        <v>1350</v>
      </c>
      <c r="R149" s="235">
        <f t="shared" si="14"/>
        <v>246.57534246575341</v>
      </c>
      <c r="S149" s="235">
        <f>ROUND(R149*CPI!$B$120/VLOOKUP($I149,CPI!$A$1:$B$122,2,FALSE)/1000,2)*1000</f>
        <v>260</v>
      </c>
      <c r="T149" s="232" t="s">
        <v>262</v>
      </c>
      <c r="U149" s="232" t="s">
        <v>263</v>
      </c>
      <c r="V149" s="232"/>
      <c r="W149" s="256" t="e">
        <f t="shared" si="13"/>
        <v>#DIV/0!</v>
      </c>
      <c r="X149" s="257"/>
      <c r="Y149" s="257"/>
      <c r="Z149" s="257"/>
      <c r="AA149" s="257"/>
      <c r="AB149" s="257"/>
      <c r="AC149" s="250">
        <f t="shared" si="16"/>
        <v>2016</v>
      </c>
      <c r="AE149" s="276"/>
      <c r="AF149" s="119"/>
      <c r="AG149" s="119"/>
      <c r="AH149" s="277"/>
      <c r="AI149" s="277"/>
      <c r="AJ149" s="277"/>
    </row>
    <row r="150" spans="2:36" ht="13.5" customHeight="1">
      <c r="B150" s="69">
        <v>1</v>
      </c>
      <c r="C150" s="69">
        <v>148</v>
      </c>
      <c r="D150" s="233" t="s">
        <v>3</v>
      </c>
      <c r="E150" s="233" t="s">
        <v>1238</v>
      </c>
      <c r="F150" s="232" t="s">
        <v>45</v>
      </c>
      <c r="G150" s="232" t="s">
        <v>200</v>
      </c>
      <c r="H150" s="232" t="s">
        <v>185</v>
      </c>
      <c r="I150" s="238">
        <v>2016</v>
      </c>
      <c r="J150" s="238"/>
      <c r="K150" s="134">
        <f t="shared" si="15"/>
        <v>3</v>
      </c>
      <c r="L150" s="238"/>
      <c r="M150" s="234">
        <v>167800</v>
      </c>
      <c r="N150" s="235">
        <f>348*3.28084</f>
        <v>1141.7323200000001</v>
      </c>
      <c r="O150" s="235">
        <v>35</v>
      </c>
      <c r="P150" s="235">
        <v>4162</v>
      </c>
      <c r="Q150" s="235">
        <v>950</v>
      </c>
      <c r="R150" s="235">
        <f t="shared" si="14"/>
        <v>228.25564632388276</v>
      </c>
      <c r="S150" s="235">
        <f>ROUND(R150*CPI!$B$120/VLOOKUP($I150,CPI!$A$1:$B$122,2,FALSE)/1000,2)*1000</f>
        <v>240</v>
      </c>
      <c r="T150" s="232" t="s">
        <v>228</v>
      </c>
      <c r="U150" s="232" t="s">
        <v>264</v>
      </c>
      <c r="V150" s="232"/>
      <c r="W150" s="256" t="e">
        <f t="shared" si="13"/>
        <v>#DIV/0!</v>
      </c>
      <c r="X150" s="257"/>
      <c r="Y150" s="257"/>
      <c r="Z150" s="257"/>
      <c r="AA150" s="257"/>
      <c r="AB150" s="257"/>
      <c r="AC150" s="250">
        <f t="shared" si="16"/>
        <v>2016</v>
      </c>
      <c r="AE150" s="276"/>
      <c r="AF150" s="119"/>
      <c r="AG150" s="119"/>
      <c r="AH150" s="277"/>
      <c r="AI150" s="277"/>
      <c r="AJ150" s="277"/>
    </row>
    <row r="151" spans="2:36" ht="13.5" customHeight="1">
      <c r="B151" s="69">
        <v>1</v>
      </c>
      <c r="C151" s="69">
        <v>149</v>
      </c>
      <c r="D151" s="253" t="s">
        <v>807</v>
      </c>
      <c r="E151" s="253" t="s">
        <v>1239</v>
      </c>
      <c r="F151" s="250" t="s">
        <v>45</v>
      </c>
      <c r="G151" s="250" t="s">
        <v>200</v>
      </c>
      <c r="H151" s="250" t="s">
        <v>185</v>
      </c>
      <c r="I151" s="254">
        <v>2018</v>
      </c>
      <c r="J151" s="254" t="s">
        <v>1042</v>
      </c>
      <c r="K151" s="134">
        <f t="shared" si="15"/>
        <v>1</v>
      </c>
      <c r="L151" s="254"/>
      <c r="M151" s="251">
        <v>227625</v>
      </c>
      <c r="N151" s="252">
        <v>1188</v>
      </c>
      <c r="O151" s="252">
        <v>36</v>
      </c>
      <c r="P151" s="252">
        <v>5400</v>
      </c>
      <c r="Q151" s="269">
        <v>1300</v>
      </c>
      <c r="R151" s="252">
        <f t="shared" si="14"/>
        <v>240.74074074074073</v>
      </c>
      <c r="S151" s="252">
        <f>ROUND(R151*CPI!$B$120/VLOOKUP($I151,CPI!$A$1:$B$140,2,FALSE)/1000,2)*1000</f>
        <v>240</v>
      </c>
      <c r="T151" s="250" t="s">
        <v>235</v>
      </c>
      <c r="U151" s="250" t="s">
        <v>263</v>
      </c>
      <c r="V151" s="250"/>
      <c r="W151" s="256"/>
      <c r="X151" s="257"/>
      <c r="Y151" s="257"/>
      <c r="Z151" s="257"/>
      <c r="AA151" s="257"/>
      <c r="AB151" s="257"/>
      <c r="AC151" s="250">
        <f t="shared" si="16"/>
        <v>2018</v>
      </c>
      <c r="AE151" s="276"/>
      <c r="AF151" s="119"/>
      <c r="AG151" s="119"/>
      <c r="AH151" s="277"/>
      <c r="AI151" s="277"/>
      <c r="AJ151" s="277"/>
    </row>
    <row r="152" spans="2:36" ht="13.5" customHeight="1">
      <c r="B152" s="69">
        <v>1</v>
      </c>
      <c r="C152" s="69">
        <v>150</v>
      </c>
      <c r="D152" s="253" t="s">
        <v>845</v>
      </c>
      <c r="E152" s="253" t="s">
        <v>1240</v>
      </c>
      <c r="F152" s="250" t="s">
        <v>45</v>
      </c>
      <c r="G152" s="250" t="s">
        <v>200</v>
      </c>
      <c r="H152" s="250" t="s">
        <v>185</v>
      </c>
      <c r="I152" s="254">
        <v>2019</v>
      </c>
      <c r="J152" s="254" t="s">
        <v>1046</v>
      </c>
      <c r="K152" s="134" t="str">
        <f t="shared" si="15"/>
        <v/>
      </c>
      <c r="L152" s="254"/>
      <c r="M152" s="251">
        <v>168600</v>
      </c>
      <c r="N152" s="252">
        <v>1142</v>
      </c>
      <c r="O152" s="252">
        <v>35</v>
      </c>
      <c r="P152" s="252">
        <v>4180</v>
      </c>
      <c r="Q152" s="252">
        <v>1010</v>
      </c>
      <c r="R152" s="252">
        <f t="shared" si="14"/>
        <v>241.62679425837322</v>
      </c>
      <c r="S152" s="252">
        <f>ROUND(R152*CPI!$B$120/VLOOKUP($I152,CPI!$A$1:$B$140,2,FALSE)/1000,2)*1000</f>
        <v>240</v>
      </c>
      <c r="T152" s="250" t="s">
        <v>228</v>
      </c>
      <c r="U152" s="250" t="s">
        <v>264</v>
      </c>
      <c r="V152" s="250"/>
      <c r="W152" s="256"/>
      <c r="X152" s="257"/>
      <c r="Y152" s="257"/>
      <c r="Z152" s="257"/>
      <c r="AA152" s="257"/>
      <c r="AB152" s="257"/>
      <c r="AC152" s="250" t="str">
        <f t="shared" si="16"/>
        <v/>
      </c>
      <c r="AE152" s="276"/>
      <c r="AF152" s="119"/>
      <c r="AG152" s="119"/>
      <c r="AH152" s="277"/>
      <c r="AI152" s="277"/>
      <c r="AJ152" s="277"/>
    </row>
    <row r="153" spans="2:36" ht="13.5" customHeight="1">
      <c r="B153" s="69">
        <v>1</v>
      </c>
      <c r="C153" s="69">
        <v>151</v>
      </c>
      <c r="D153" s="253" t="s">
        <v>850</v>
      </c>
      <c r="E153" s="253" t="s">
        <v>1241</v>
      </c>
      <c r="F153" s="250" t="s">
        <v>45</v>
      </c>
      <c r="G153" s="250" t="s">
        <v>200</v>
      </c>
      <c r="H153" s="250" t="s">
        <v>185</v>
      </c>
      <c r="I153" s="254">
        <v>2020</v>
      </c>
      <c r="J153" s="254" t="s">
        <v>1044</v>
      </c>
      <c r="K153" s="134" t="str">
        <f t="shared" si="15"/>
        <v/>
      </c>
      <c r="L153" s="254"/>
      <c r="M153" s="251">
        <v>167000</v>
      </c>
      <c r="N153" s="252">
        <v>1142</v>
      </c>
      <c r="O153" s="252">
        <v>35</v>
      </c>
      <c r="P153" s="252">
        <v>4100</v>
      </c>
      <c r="Q153" s="252">
        <v>950</v>
      </c>
      <c r="R153" s="252">
        <f t="shared" si="14"/>
        <v>231.70731707317074</v>
      </c>
      <c r="S153" s="252">
        <f>ROUND(R153*CPI!$B$120/VLOOKUP($I153,CPI!$A$1:$B$140,2,FALSE)/1000,2)*1000</f>
        <v>220</v>
      </c>
      <c r="T153" s="250" t="s">
        <v>228</v>
      </c>
      <c r="U153" s="250" t="s">
        <v>264</v>
      </c>
      <c r="V153" s="250"/>
      <c r="W153" s="256"/>
      <c r="X153" s="257"/>
      <c r="Y153" s="257"/>
      <c r="Z153" s="257"/>
      <c r="AA153" s="257"/>
      <c r="AB153" s="257"/>
      <c r="AC153" s="250" t="str">
        <f t="shared" si="16"/>
        <v/>
      </c>
      <c r="AE153" s="276"/>
      <c r="AF153" s="119"/>
      <c r="AG153" s="119"/>
      <c r="AH153" s="277"/>
      <c r="AI153" s="277"/>
      <c r="AJ153" s="277"/>
    </row>
    <row r="154" spans="2:36" ht="13.5" customHeight="1">
      <c r="B154" s="69">
        <v>1</v>
      </c>
      <c r="C154" s="69">
        <v>152</v>
      </c>
      <c r="D154" s="253" t="s">
        <v>854</v>
      </c>
      <c r="E154" s="253" t="s">
        <v>1242</v>
      </c>
      <c r="F154" s="250" t="s">
        <v>45</v>
      </c>
      <c r="G154" s="250" t="s">
        <v>200</v>
      </c>
      <c r="H154" s="250" t="s">
        <v>185</v>
      </c>
      <c r="I154" s="254">
        <v>2021</v>
      </c>
      <c r="J154" s="254" t="s">
        <v>1046</v>
      </c>
      <c r="K154" s="134" t="str">
        <f t="shared" si="15"/>
        <v/>
      </c>
      <c r="L154" s="254"/>
      <c r="M154" s="251">
        <v>227625</v>
      </c>
      <c r="N154" s="252">
        <v>1188</v>
      </c>
      <c r="O154" s="252">
        <v>36</v>
      </c>
      <c r="P154" s="252">
        <v>5400</v>
      </c>
      <c r="Q154" s="252">
        <v>1300</v>
      </c>
      <c r="R154" s="252">
        <f t="shared" si="14"/>
        <v>240.74074074074073</v>
      </c>
      <c r="S154" s="252">
        <f>ROUND(R154*CPI!$B$120/VLOOKUP($I154,CPI!$A$1:$B$140,2,FALSE)/1000,2)*1000</f>
        <v>230</v>
      </c>
      <c r="T154" s="250" t="s">
        <v>235</v>
      </c>
      <c r="U154" s="250" t="s">
        <v>263</v>
      </c>
      <c r="V154" s="250"/>
      <c r="W154" s="256"/>
      <c r="X154" s="257"/>
      <c r="Y154" s="257"/>
      <c r="Z154" s="257"/>
      <c r="AA154" s="257"/>
      <c r="AB154" s="257"/>
      <c r="AC154" s="250" t="str">
        <f t="shared" si="16"/>
        <v/>
      </c>
      <c r="AE154" s="276"/>
      <c r="AF154" s="119"/>
      <c r="AG154" s="119"/>
      <c r="AH154" s="277"/>
      <c r="AI154" s="277"/>
      <c r="AJ154" s="277"/>
    </row>
    <row r="155" spans="2:36" ht="13.5" customHeight="1">
      <c r="B155" s="69">
        <v>1</v>
      </c>
      <c r="C155" s="69">
        <v>153</v>
      </c>
      <c r="D155" s="253" t="s">
        <v>1056</v>
      </c>
      <c r="E155" s="253" t="s">
        <v>1243</v>
      </c>
      <c r="F155" s="250" t="s">
        <v>45</v>
      </c>
      <c r="G155" s="250" t="s">
        <v>200</v>
      </c>
      <c r="H155" s="250" t="s">
        <v>185</v>
      </c>
      <c r="I155" s="254">
        <v>2022</v>
      </c>
      <c r="J155" s="254" t="s">
        <v>1046</v>
      </c>
      <c r="K155" s="134" t="str">
        <f t="shared" si="15"/>
        <v/>
      </c>
      <c r="L155" s="254"/>
      <c r="M155" s="251">
        <v>200000</v>
      </c>
      <c r="N155" s="252"/>
      <c r="O155" s="252">
        <f>M155/P155</f>
        <v>40</v>
      </c>
      <c r="P155" s="252">
        <v>5000</v>
      </c>
      <c r="Q155" s="252">
        <v>1100</v>
      </c>
      <c r="R155" s="252">
        <f t="shared" si="14"/>
        <v>220</v>
      </c>
      <c r="S155" s="252">
        <f>ROUND(R155*CPI!$B$120/VLOOKUP($I155,CPI!$A$1:$B$140,2,FALSE)/1000,2)*1000</f>
        <v>200</v>
      </c>
      <c r="T155" s="250" t="s">
        <v>746</v>
      </c>
      <c r="U155" s="250" t="s">
        <v>1055</v>
      </c>
      <c r="V155" s="250"/>
      <c r="W155" s="256"/>
      <c r="X155" s="257"/>
      <c r="Y155" s="257"/>
      <c r="Z155" s="257"/>
      <c r="AA155" s="257"/>
      <c r="AB155" s="257"/>
      <c r="AC155" s="250" t="str">
        <f t="shared" si="16"/>
        <v/>
      </c>
      <c r="AE155" s="276"/>
      <c r="AF155" s="119"/>
      <c r="AG155" s="119"/>
      <c r="AH155" s="277"/>
      <c r="AI155" s="277"/>
      <c r="AJ155" s="277"/>
    </row>
    <row r="156" spans="2:36" ht="13.5" customHeight="1">
      <c r="B156" s="69">
        <v>1</v>
      </c>
      <c r="C156" s="69">
        <v>154</v>
      </c>
      <c r="D156" s="253" t="s">
        <v>1057</v>
      </c>
      <c r="E156" s="253" t="s">
        <v>1244</v>
      </c>
      <c r="F156" s="250" t="s">
        <v>45</v>
      </c>
      <c r="G156" s="250" t="s">
        <v>200</v>
      </c>
      <c r="H156" s="250" t="s">
        <v>185</v>
      </c>
      <c r="I156" s="254">
        <v>2024</v>
      </c>
      <c r="J156" s="254" t="s">
        <v>1046</v>
      </c>
      <c r="K156" s="134" t="str">
        <f t="shared" si="15"/>
        <v/>
      </c>
      <c r="L156" s="254"/>
      <c r="M156" s="251">
        <v>200000</v>
      </c>
      <c r="N156" s="252"/>
      <c r="O156" s="252">
        <f>M156/P156</f>
        <v>40</v>
      </c>
      <c r="P156" s="252">
        <v>5000</v>
      </c>
      <c r="Q156" s="252">
        <v>1100</v>
      </c>
      <c r="R156" s="252">
        <f t="shared" si="14"/>
        <v>220</v>
      </c>
      <c r="S156" s="252">
        <f>ROUND(R156*CPI!$B$120/VLOOKUP($I156,CPI!$A$1:$B$140,2,FALSE)/1000,2)*1000</f>
        <v>200</v>
      </c>
      <c r="T156" s="250" t="s">
        <v>746</v>
      </c>
      <c r="U156" s="250" t="s">
        <v>1055</v>
      </c>
      <c r="V156" s="250"/>
      <c r="W156" s="256"/>
      <c r="X156" s="257"/>
      <c r="Y156" s="257"/>
      <c r="Z156" s="257"/>
      <c r="AA156" s="257"/>
      <c r="AB156" s="257"/>
      <c r="AC156" s="250" t="str">
        <f t="shared" si="16"/>
        <v/>
      </c>
      <c r="AE156" s="276"/>
      <c r="AF156" s="119"/>
      <c r="AG156" s="119"/>
      <c r="AH156" s="277"/>
      <c r="AI156" s="277"/>
      <c r="AJ156" s="277"/>
    </row>
    <row r="157" spans="2:36" ht="13.5" customHeight="1">
      <c r="B157" s="69">
        <v>1</v>
      </c>
      <c r="C157" s="69">
        <v>155</v>
      </c>
      <c r="D157" s="233" t="s">
        <v>763</v>
      </c>
      <c r="E157" s="233" t="s">
        <v>1245</v>
      </c>
      <c r="F157" s="232" t="s">
        <v>45</v>
      </c>
      <c r="G157" s="232" t="s">
        <v>794</v>
      </c>
      <c r="H157" s="232" t="s">
        <v>198</v>
      </c>
      <c r="I157" s="238">
        <v>1999</v>
      </c>
      <c r="J157" s="238"/>
      <c r="K157" s="134">
        <f t="shared" si="15"/>
        <v>20</v>
      </c>
      <c r="L157" s="238">
        <v>2017</v>
      </c>
      <c r="M157" s="234">
        <v>1610</v>
      </c>
      <c r="N157" s="235">
        <v>210</v>
      </c>
      <c r="O157" s="235">
        <v>33</v>
      </c>
      <c r="P157" s="235">
        <v>24</v>
      </c>
      <c r="Q157" s="235"/>
      <c r="R157" s="235"/>
      <c r="S157" s="235"/>
      <c r="T157" s="232" t="s">
        <v>765</v>
      </c>
      <c r="U157" s="232" t="s">
        <v>248</v>
      </c>
      <c r="V157" s="232"/>
      <c r="W157" s="256"/>
      <c r="X157" s="257"/>
      <c r="Y157" s="257"/>
      <c r="Z157" s="257"/>
      <c r="AA157" s="257"/>
      <c r="AB157" s="257"/>
      <c r="AC157" s="250">
        <f t="shared" si="16"/>
        <v>1999</v>
      </c>
      <c r="AE157" s="276"/>
      <c r="AF157" s="119"/>
      <c r="AG157" s="119"/>
      <c r="AH157" s="277"/>
      <c r="AI157" s="277"/>
      <c r="AJ157" s="277"/>
    </row>
    <row r="158" spans="2:36" ht="13.5" customHeight="1">
      <c r="B158" s="69">
        <v>1</v>
      </c>
      <c r="C158" s="69">
        <v>156</v>
      </c>
      <c r="D158" s="233" t="s">
        <v>33</v>
      </c>
      <c r="E158" s="233" t="s">
        <v>1246</v>
      </c>
      <c r="F158" s="232" t="s">
        <v>45</v>
      </c>
      <c r="G158" s="232" t="s">
        <v>201</v>
      </c>
      <c r="H158" s="232" t="s">
        <v>198</v>
      </c>
      <c r="I158" s="238">
        <v>2000</v>
      </c>
      <c r="J158" s="238"/>
      <c r="K158" s="134">
        <f t="shared" si="15"/>
        <v>19</v>
      </c>
      <c r="L158" s="238">
        <v>2016</v>
      </c>
      <c r="M158" s="234">
        <v>90963</v>
      </c>
      <c r="N158" s="235">
        <f>294*3.28084</f>
        <v>964.56695999999999</v>
      </c>
      <c r="O158" s="235">
        <v>35</v>
      </c>
      <c r="P158" s="235">
        <v>2158</v>
      </c>
      <c r="Q158" s="235">
        <v>350</v>
      </c>
      <c r="R158" s="235">
        <f>Q158/P158*1000</f>
        <v>162.18721037998145</v>
      </c>
      <c r="S158" s="235">
        <f>ROUND(R158*CPI!$B$120/VLOOKUP($I158,CPI!$A$1:$B$122,2,FALSE)/1000,2)*1000</f>
        <v>230</v>
      </c>
      <c r="T158" s="232" t="s">
        <v>241</v>
      </c>
      <c r="U158" s="232" t="s">
        <v>267</v>
      </c>
      <c r="V158" s="232"/>
      <c r="W158" s="256" t="e">
        <f>SUM(((X158/SUM(X158:AB158))*5),((Y158/SUM(X158:AB158))*4),((Z158/SUM(X158:AB158))*3),((AA158/SUM(X158:AB158))*2),((AB158/SUM(X158:AB158)*1)))</f>
        <v>#DIV/0!</v>
      </c>
      <c r="X158" s="257"/>
      <c r="Y158" s="257"/>
      <c r="Z158" s="257"/>
      <c r="AA158" s="257"/>
      <c r="AB158" s="257"/>
      <c r="AC158" s="250">
        <f t="shared" si="16"/>
        <v>2000</v>
      </c>
      <c r="AE158" s="276"/>
      <c r="AF158" s="119"/>
      <c r="AG158" s="119"/>
      <c r="AH158" s="277"/>
      <c r="AI158" s="277"/>
      <c r="AJ158" s="277"/>
    </row>
    <row r="159" spans="2:36" ht="13.5" customHeight="1">
      <c r="B159" s="69">
        <v>1</v>
      </c>
      <c r="C159" s="69">
        <v>157</v>
      </c>
      <c r="D159" s="237" t="s">
        <v>32</v>
      </c>
      <c r="E159" s="237" t="s">
        <v>1247</v>
      </c>
      <c r="F159" s="232" t="s">
        <v>45</v>
      </c>
      <c r="G159" s="232" t="s">
        <v>201</v>
      </c>
      <c r="H159" s="232" t="s">
        <v>198</v>
      </c>
      <c r="I159" s="238">
        <v>2001</v>
      </c>
      <c r="J159" s="238"/>
      <c r="K159" s="134">
        <f t="shared" si="15"/>
        <v>18</v>
      </c>
      <c r="L159" s="238">
        <v>2015</v>
      </c>
      <c r="M159" s="234">
        <v>90940</v>
      </c>
      <c r="N159" s="235">
        <f>294*3.28084</f>
        <v>964.56695999999999</v>
      </c>
      <c r="O159" s="235">
        <v>35</v>
      </c>
      <c r="P159" s="235">
        <v>2170</v>
      </c>
      <c r="Q159" s="235">
        <v>350</v>
      </c>
      <c r="R159" s="235">
        <f>Q159/P159*1000</f>
        <v>161.29032258064515</v>
      </c>
      <c r="S159" s="235">
        <f>ROUND(R159*CPI!$B$120/VLOOKUP($I159,CPI!$A$1:$B$122,2,FALSE)/1000,2)*1000</f>
        <v>230</v>
      </c>
      <c r="T159" s="232" t="s">
        <v>241</v>
      </c>
      <c r="U159" s="232" t="s">
        <v>267</v>
      </c>
      <c r="V159" s="232"/>
      <c r="W159" s="256" t="e">
        <f>SUM(((X159/SUM(X159:AB159))*5),((Y159/SUM(X159:AB159))*4),((Z159/SUM(X159:AB159))*3),((AA159/SUM(X159:AB159))*2),((AB159/SUM(X159:AB159)*1)))</f>
        <v>#DIV/0!</v>
      </c>
      <c r="X159" s="257"/>
      <c r="Y159" s="257"/>
      <c r="Z159" s="257"/>
      <c r="AA159" s="257"/>
      <c r="AB159" s="257"/>
      <c r="AC159" s="250">
        <f t="shared" si="16"/>
        <v>2001</v>
      </c>
      <c r="AE159" s="276"/>
      <c r="AF159" s="119"/>
      <c r="AG159" s="119"/>
      <c r="AH159" s="277"/>
      <c r="AI159" s="277"/>
      <c r="AJ159" s="277"/>
    </row>
    <row r="160" spans="2:36" ht="13.5" customHeight="1">
      <c r="B160" s="69">
        <v>1</v>
      </c>
      <c r="C160" s="69">
        <v>158</v>
      </c>
      <c r="D160" s="237" t="s">
        <v>31</v>
      </c>
      <c r="E160" s="237" t="s">
        <v>1248</v>
      </c>
      <c r="F160" s="232" t="s">
        <v>45</v>
      </c>
      <c r="G160" s="232" t="s">
        <v>201</v>
      </c>
      <c r="H160" s="232" t="s">
        <v>198</v>
      </c>
      <c r="I160" s="238">
        <v>2001</v>
      </c>
      <c r="J160" s="238"/>
      <c r="K160" s="134">
        <f t="shared" si="15"/>
        <v>18</v>
      </c>
      <c r="L160" s="238">
        <v>2016</v>
      </c>
      <c r="M160" s="234">
        <v>90940</v>
      </c>
      <c r="N160" s="235">
        <f>294*3.28084</f>
        <v>964.56695999999999</v>
      </c>
      <c r="O160" s="235">
        <v>35</v>
      </c>
      <c r="P160" s="235">
        <v>2158</v>
      </c>
      <c r="Q160" s="235">
        <v>350</v>
      </c>
      <c r="R160" s="235">
        <f>Q160/P160*1000</f>
        <v>162.18721037998145</v>
      </c>
      <c r="S160" s="235">
        <f>ROUND(R160*CPI!$B$120/VLOOKUP($I160,CPI!$A$1:$B$122,2,FALSE)/1000,2)*1000</f>
        <v>230</v>
      </c>
      <c r="T160" s="232" t="s">
        <v>241</v>
      </c>
      <c r="U160" s="232" t="s">
        <v>267</v>
      </c>
      <c r="V160" s="232"/>
      <c r="W160" s="256" t="e">
        <f>SUM(((X160/SUM(X160:AB160))*5),((Y160/SUM(X160:AB160))*4),((Z160/SUM(X160:AB160))*3),((AA160/SUM(X160:AB160))*2),((AB160/SUM(X160:AB160)*1)))</f>
        <v>#DIV/0!</v>
      </c>
      <c r="X160" s="257"/>
      <c r="Y160" s="257"/>
      <c r="Z160" s="257"/>
      <c r="AA160" s="257"/>
      <c r="AB160" s="257"/>
      <c r="AC160" s="250">
        <f t="shared" si="16"/>
        <v>2001</v>
      </c>
      <c r="AE160" s="276"/>
      <c r="AF160" s="119"/>
      <c r="AG160" s="119"/>
      <c r="AH160" s="277"/>
      <c r="AI160" s="277"/>
      <c r="AJ160" s="277"/>
    </row>
    <row r="161" spans="2:36" ht="13.5" customHeight="1">
      <c r="B161" s="69">
        <v>1</v>
      </c>
      <c r="C161" s="69">
        <v>159</v>
      </c>
      <c r="D161" s="233" t="s">
        <v>34</v>
      </c>
      <c r="E161" s="233" t="s">
        <v>1249</v>
      </c>
      <c r="F161" s="232" t="s">
        <v>45</v>
      </c>
      <c r="G161" s="232" t="s">
        <v>794</v>
      </c>
      <c r="H161" s="232" t="s">
        <v>198</v>
      </c>
      <c r="I161" s="238">
        <v>2001</v>
      </c>
      <c r="J161" s="238"/>
      <c r="K161" s="134">
        <f t="shared" si="15"/>
        <v>18</v>
      </c>
      <c r="L161" s="238">
        <v>2012</v>
      </c>
      <c r="M161" s="234">
        <v>2842</v>
      </c>
      <c r="N161" s="235">
        <f>88*3.28084</f>
        <v>288.71391999999997</v>
      </c>
      <c r="O161" s="235">
        <v>25</v>
      </c>
      <c r="P161" s="235">
        <v>96</v>
      </c>
      <c r="Q161" s="235">
        <v>35</v>
      </c>
      <c r="R161" s="235">
        <f>Q161/P161*1000</f>
        <v>364.58333333333331</v>
      </c>
      <c r="S161" s="235">
        <f>ROUND(R161*CPI!$B$120/VLOOKUP($I161,CPI!$A$1:$B$122,2,FALSE)/1000,2)*1000</f>
        <v>520</v>
      </c>
      <c r="T161" s="232" t="s">
        <v>269</v>
      </c>
      <c r="U161" s="232" t="s">
        <v>248</v>
      </c>
      <c r="V161" s="232"/>
      <c r="W161" s="256" t="e">
        <f>SUM(((X161/SUM(X161:AB161))*5),((Y161/SUM(X161:AB161))*4),((Z161/SUM(X161:AB161))*3),((AA161/SUM(X161:AB161))*2),((AB161/SUM(X161:AB161)*1)))</f>
        <v>#DIV/0!</v>
      </c>
      <c r="X161" s="257"/>
      <c r="Y161" s="257"/>
      <c r="Z161" s="257"/>
      <c r="AA161" s="257"/>
      <c r="AB161" s="257"/>
      <c r="AC161" s="250">
        <f t="shared" si="16"/>
        <v>2001</v>
      </c>
      <c r="AE161" s="276"/>
      <c r="AF161" s="119"/>
      <c r="AG161" s="119"/>
      <c r="AH161" s="277"/>
      <c r="AI161" s="277"/>
      <c r="AJ161" s="277"/>
    </row>
    <row r="162" spans="2:36" ht="13.5" customHeight="1">
      <c r="B162" s="69">
        <v>1</v>
      </c>
      <c r="C162" s="69">
        <v>160</v>
      </c>
      <c r="D162" s="237" t="s">
        <v>30</v>
      </c>
      <c r="E162" s="237" t="s">
        <v>1250</v>
      </c>
      <c r="F162" s="232" t="s">
        <v>45</v>
      </c>
      <c r="G162" s="232" t="s">
        <v>201</v>
      </c>
      <c r="H162" s="232" t="s">
        <v>198</v>
      </c>
      <c r="I162" s="238">
        <v>2002</v>
      </c>
      <c r="J162" s="238"/>
      <c r="K162" s="134">
        <f t="shared" si="15"/>
        <v>17</v>
      </c>
      <c r="L162" s="238">
        <v>2017</v>
      </c>
      <c r="M162" s="234">
        <v>90940</v>
      </c>
      <c r="N162" s="235">
        <f>294*3.28084</f>
        <v>964.56695999999999</v>
      </c>
      <c r="O162" s="235">
        <v>35</v>
      </c>
      <c r="P162" s="235">
        <v>2130</v>
      </c>
      <c r="Q162" s="235">
        <v>350</v>
      </c>
      <c r="R162" s="235">
        <f>Q162/P162*1000</f>
        <v>164.3192488262911</v>
      </c>
      <c r="S162" s="235">
        <f>ROUND(R162*CPI!$B$120/VLOOKUP($I162,CPI!$A$1:$B$122,2,FALSE)/1000,2)*1000</f>
        <v>230</v>
      </c>
      <c r="T162" s="232" t="s">
        <v>241</v>
      </c>
      <c r="U162" s="232" t="s">
        <v>267</v>
      </c>
      <c r="V162" s="232"/>
      <c r="W162" s="256" t="e">
        <f>SUM(((X162/SUM(X162:AB162))*5),((Y162/SUM(X162:AB162))*4),((Z162/SUM(X162:AB162))*3),((AA162/SUM(X162:AB162))*2),((AB162/SUM(X162:AB162)*1)))</f>
        <v>#DIV/0!</v>
      </c>
      <c r="X162" s="257"/>
      <c r="Y162" s="257"/>
      <c r="Z162" s="257"/>
      <c r="AA162" s="257"/>
      <c r="AB162" s="257"/>
      <c r="AC162" s="250">
        <f t="shared" si="16"/>
        <v>2002</v>
      </c>
      <c r="AE162" s="276"/>
      <c r="AF162" s="119"/>
      <c r="AG162" s="119"/>
      <c r="AH162" s="277"/>
      <c r="AI162" s="277"/>
      <c r="AJ162" s="277"/>
    </row>
    <row r="163" spans="2:36" ht="13.5" customHeight="1">
      <c r="B163" s="69">
        <v>1</v>
      </c>
      <c r="C163" s="69">
        <v>161</v>
      </c>
      <c r="D163" s="233" t="s">
        <v>764</v>
      </c>
      <c r="E163" s="233" t="s">
        <v>1251</v>
      </c>
      <c r="F163" s="232" t="s">
        <v>45</v>
      </c>
      <c r="G163" s="232" t="s">
        <v>794</v>
      </c>
      <c r="H163" s="232" t="s">
        <v>198</v>
      </c>
      <c r="I163" s="238">
        <v>2007</v>
      </c>
      <c r="J163" s="238"/>
      <c r="K163" s="134">
        <f t="shared" si="15"/>
        <v>12</v>
      </c>
      <c r="L163" s="238">
        <v>2017</v>
      </c>
      <c r="M163" s="234">
        <v>319</v>
      </c>
      <c r="N163" s="235">
        <v>98</v>
      </c>
      <c r="O163" s="235">
        <v>19</v>
      </c>
      <c r="P163" s="235">
        <v>8</v>
      </c>
      <c r="Q163" s="235"/>
      <c r="R163" s="235"/>
      <c r="S163" s="235"/>
      <c r="T163" s="232" t="s">
        <v>765</v>
      </c>
      <c r="U163" s="232" t="s">
        <v>248</v>
      </c>
      <c r="V163" s="232"/>
      <c r="W163" s="256"/>
      <c r="X163" s="257"/>
      <c r="Y163" s="257"/>
      <c r="Z163" s="257"/>
      <c r="AA163" s="257"/>
      <c r="AB163" s="257"/>
      <c r="AC163" s="250">
        <f t="shared" si="16"/>
        <v>2007</v>
      </c>
      <c r="AE163" s="276"/>
      <c r="AF163" s="119"/>
      <c r="AG163" s="119"/>
      <c r="AH163" s="277"/>
      <c r="AI163" s="277"/>
      <c r="AJ163" s="277"/>
    </row>
    <row r="164" spans="2:36" ht="13.5" customHeight="1">
      <c r="B164" s="69">
        <v>1</v>
      </c>
      <c r="C164" s="69">
        <v>162</v>
      </c>
      <c r="D164" s="237" t="s">
        <v>29</v>
      </c>
      <c r="E164" s="237" t="s">
        <v>1252</v>
      </c>
      <c r="F164" s="232" t="s">
        <v>45</v>
      </c>
      <c r="G164" s="232" t="s">
        <v>201</v>
      </c>
      <c r="H164" s="232" t="s">
        <v>198</v>
      </c>
      <c r="I164" s="238">
        <v>2008</v>
      </c>
      <c r="J164" s="238"/>
      <c r="K164" s="134">
        <f t="shared" si="15"/>
        <v>11</v>
      </c>
      <c r="L164" s="238">
        <v>2016</v>
      </c>
      <c r="M164" s="234">
        <v>121878</v>
      </c>
      <c r="N164" s="235">
        <f>317*3.28084</f>
        <v>1040.02628</v>
      </c>
      <c r="O164" s="235">
        <v>36</v>
      </c>
      <c r="P164" s="235">
        <v>2850</v>
      </c>
      <c r="Q164" s="235">
        <v>640</v>
      </c>
      <c r="R164" s="235">
        <f t="shared" ref="R164:R195" si="17">Q164/P164*1000</f>
        <v>224.56140350877195</v>
      </c>
      <c r="S164" s="235">
        <f>ROUND(R164*CPI!$B$120/VLOOKUP($I164,CPI!$A$1:$B$122,2,FALSE)/1000,2)*1000</f>
        <v>270</v>
      </c>
      <c r="T164" s="232" t="s">
        <v>228</v>
      </c>
      <c r="U164" s="232" t="s">
        <v>268</v>
      </c>
      <c r="V164" s="232"/>
      <c r="W164" s="256" t="e">
        <f>SUM(((X164/SUM(X164:AB164))*5),((Y164/SUM(X164:AB164))*4),((Z164/SUM(X164:AB164))*3),((AA164/SUM(X164:AB164))*2),((AB164/SUM(X164:AB164)*1)))</f>
        <v>#DIV/0!</v>
      </c>
      <c r="X164" s="257"/>
      <c r="Y164" s="257"/>
      <c r="Z164" s="257"/>
      <c r="AA164" s="257"/>
      <c r="AB164" s="257"/>
      <c r="AC164" s="250">
        <f t="shared" si="16"/>
        <v>2008</v>
      </c>
      <c r="AE164" s="276"/>
      <c r="AF164" s="119"/>
      <c r="AG164" s="119"/>
      <c r="AH164" s="277"/>
      <c r="AI164" s="277"/>
      <c r="AJ164" s="277"/>
    </row>
    <row r="165" spans="2:36" ht="13.5" customHeight="1">
      <c r="B165" s="69">
        <v>1</v>
      </c>
      <c r="C165" s="69">
        <v>163</v>
      </c>
      <c r="D165" s="237" t="s">
        <v>28</v>
      </c>
      <c r="E165" s="237" t="s">
        <v>1253</v>
      </c>
      <c r="F165" s="232" t="s">
        <v>45</v>
      </c>
      <c r="G165" s="232" t="s">
        <v>201</v>
      </c>
      <c r="H165" s="232" t="s">
        <v>198</v>
      </c>
      <c r="I165" s="238">
        <v>2009</v>
      </c>
      <c r="J165" s="238"/>
      <c r="K165" s="134">
        <f t="shared" si="15"/>
        <v>10</v>
      </c>
      <c r="L165" s="238">
        <v>2014</v>
      </c>
      <c r="M165" s="234">
        <v>121878</v>
      </c>
      <c r="N165" s="235">
        <v>1040</v>
      </c>
      <c r="O165" s="235">
        <v>36</v>
      </c>
      <c r="P165" s="235">
        <v>2850</v>
      </c>
      <c r="Q165" s="235">
        <v>750</v>
      </c>
      <c r="R165" s="235">
        <f t="shared" si="17"/>
        <v>263.15789473684208</v>
      </c>
      <c r="S165" s="235">
        <f>ROUND(R165*CPI!$B$120/VLOOKUP($I165,CPI!$A$1:$B$122,2,FALSE)/1000,2)*1000</f>
        <v>300</v>
      </c>
      <c r="T165" s="232" t="s">
        <v>228</v>
      </c>
      <c r="U165" s="232" t="s">
        <v>268</v>
      </c>
      <c r="V165" s="232"/>
      <c r="W165" s="256" t="e">
        <f>SUM(((X165/SUM(X165:AB165))*5),((Y165/SUM(X165:AB165))*4),((Z165/SUM(X165:AB165))*3),((AA165/SUM(X165:AB165))*2),((AB165/SUM(X165:AB165)*1)))</f>
        <v>#DIV/0!</v>
      </c>
      <c r="X165" s="257"/>
      <c r="Y165" s="257"/>
      <c r="Z165" s="257"/>
      <c r="AA165" s="257"/>
      <c r="AB165" s="257"/>
      <c r="AC165" s="250">
        <f t="shared" si="16"/>
        <v>2009</v>
      </c>
      <c r="AE165" s="276"/>
      <c r="AF165" s="119"/>
      <c r="AG165" s="119"/>
      <c r="AH165" s="277"/>
      <c r="AI165" s="277"/>
      <c r="AJ165" s="277"/>
    </row>
    <row r="166" spans="2:36" ht="13.5" customHeight="1">
      <c r="B166" s="69">
        <v>1</v>
      </c>
      <c r="C166" s="69">
        <v>164</v>
      </c>
      <c r="D166" s="237" t="s">
        <v>27</v>
      </c>
      <c r="E166" s="237" t="s">
        <v>1254</v>
      </c>
      <c r="F166" s="232" t="s">
        <v>45</v>
      </c>
      <c r="G166" s="232" t="s">
        <v>201</v>
      </c>
      <c r="H166" s="232" t="s">
        <v>198</v>
      </c>
      <c r="I166" s="238">
        <v>2010</v>
      </c>
      <c r="J166" s="238"/>
      <c r="K166" s="134">
        <f t="shared" si="15"/>
        <v>9</v>
      </c>
      <c r="L166" s="238">
        <v>2015</v>
      </c>
      <c r="M166" s="234">
        <v>121878</v>
      </c>
      <c r="N166" s="235">
        <f>317*3.28084</f>
        <v>1040.02628</v>
      </c>
      <c r="O166" s="235">
        <v>36</v>
      </c>
      <c r="P166" s="235">
        <v>2850</v>
      </c>
      <c r="Q166" s="235">
        <v>750</v>
      </c>
      <c r="R166" s="235">
        <f t="shared" si="17"/>
        <v>263.15789473684208</v>
      </c>
      <c r="S166" s="235">
        <f>ROUND(R166*CPI!$B$120/VLOOKUP($I166,CPI!$A$1:$B$122,2,FALSE)/1000,2)*1000</f>
        <v>300</v>
      </c>
      <c r="T166" s="232" t="s">
        <v>228</v>
      </c>
      <c r="U166" s="232" t="s">
        <v>268</v>
      </c>
      <c r="V166" s="232"/>
      <c r="W166" s="256" t="e">
        <f>SUM(((X166/SUM(X166:AB166))*5),((Y166/SUM(X166:AB166))*4),((Z166/SUM(X166:AB166))*3),((AA166/SUM(X166:AB166))*2),((AB166/SUM(X166:AB166)*1)))</f>
        <v>#DIV/0!</v>
      </c>
      <c r="X166" s="257"/>
      <c r="Y166" s="257"/>
      <c r="Z166" s="257"/>
      <c r="AA166" s="257"/>
      <c r="AB166" s="257"/>
      <c r="AC166" s="250">
        <f t="shared" si="16"/>
        <v>2010</v>
      </c>
      <c r="AE166" s="276"/>
      <c r="AF166" s="119"/>
      <c r="AG166" s="119"/>
      <c r="AH166" s="277"/>
      <c r="AI166" s="277"/>
      <c r="AJ166" s="277"/>
    </row>
    <row r="167" spans="2:36" ht="13.5" customHeight="1">
      <c r="B167" s="69">
        <v>1</v>
      </c>
      <c r="C167" s="69">
        <v>165</v>
      </c>
      <c r="D167" s="237" t="s">
        <v>26</v>
      </c>
      <c r="E167" s="237" t="s">
        <v>1255</v>
      </c>
      <c r="F167" s="232" t="s">
        <v>45</v>
      </c>
      <c r="G167" s="232" t="s">
        <v>201</v>
      </c>
      <c r="H167" s="232" t="s">
        <v>198</v>
      </c>
      <c r="I167" s="238">
        <v>2011</v>
      </c>
      <c r="J167" s="238"/>
      <c r="K167" s="134">
        <f t="shared" si="15"/>
        <v>8</v>
      </c>
      <c r="L167" s="238">
        <v>2015</v>
      </c>
      <c r="M167" s="234">
        <v>122210</v>
      </c>
      <c r="N167" s="235">
        <f>315*3.28084</f>
        <v>1033.4646</v>
      </c>
      <c r="O167" s="235">
        <v>35</v>
      </c>
      <c r="P167" s="235">
        <v>2886</v>
      </c>
      <c r="Q167" s="235">
        <v>640</v>
      </c>
      <c r="R167" s="235">
        <f t="shared" si="17"/>
        <v>221.76022176022175</v>
      </c>
      <c r="S167" s="235">
        <f>ROUND(R167*CPI!$B$120/VLOOKUP($I167,CPI!$A$1:$B$122,2,FALSE)/1000,2)*1000</f>
        <v>250</v>
      </c>
      <c r="T167" s="232" t="s">
        <v>228</v>
      </c>
      <c r="U167" s="232" t="s">
        <v>268</v>
      </c>
      <c r="V167" s="232"/>
      <c r="W167" s="256" t="e">
        <f>SUM(((X167/SUM(X167:AB167))*5),((Y167/SUM(X167:AB167))*4),((Z167/SUM(X167:AB167))*3),((AA167/SUM(X167:AB167))*2),((AB167/SUM(X167:AB167)*1)))</f>
        <v>#DIV/0!</v>
      </c>
      <c r="X167" s="257"/>
      <c r="Y167" s="257"/>
      <c r="Z167" s="257"/>
      <c r="AA167" s="257"/>
      <c r="AB167" s="257"/>
      <c r="AC167" s="250">
        <f t="shared" si="16"/>
        <v>2011</v>
      </c>
      <c r="AE167" s="276"/>
      <c r="AF167" s="119"/>
      <c r="AG167" s="119"/>
      <c r="AH167" s="277"/>
      <c r="AI167" s="277"/>
      <c r="AJ167" s="277"/>
    </row>
    <row r="168" spans="2:36" ht="13.5" customHeight="1">
      <c r="B168" s="69">
        <v>1</v>
      </c>
      <c r="C168" s="69">
        <v>166</v>
      </c>
      <c r="D168" s="237" t="s">
        <v>25</v>
      </c>
      <c r="E168" s="237" t="s">
        <v>1256</v>
      </c>
      <c r="F168" s="232" t="s">
        <v>45</v>
      </c>
      <c r="G168" s="232" t="s">
        <v>201</v>
      </c>
      <c r="H168" s="232" t="s">
        <v>198</v>
      </c>
      <c r="I168" s="238">
        <v>2012</v>
      </c>
      <c r="J168" s="238"/>
      <c r="K168" s="134">
        <f t="shared" si="15"/>
        <v>7</v>
      </c>
      <c r="L168" s="238">
        <v>2017</v>
      </c>
      <c r="M168" s="234">
        <v>125366</v>
      </c>
      <c r="N168" s="235">
        <f>319*3.28084</f>
        <v>1046.5879600000001</v>
      </c>
      <c r="O168" s="235">
        <v>34</v>
      </c>
      <c r="P168" s="235">
        <v>3046</v>
      </c>
      <c r="Q168" s="235">
        <v>640</v>
      </c>
      <c r="R168" s="235">
        <f t="shared" si="17"/>
        <v>210.11162179908078</v>
      </c>
      <c r="S168" s="235">
        <f>ROUND(R168*CPI!$B$120/VLOOKUP($I168,CPI!$A$1:$B$122,2,FALSE)/1000,2)*1000</f>
        <v>230</v>
      </c>
      <c r="T168" s="232" t="s">
        <v>228</v>
      </c>
      <c r="U168" s="232" t="s">
        <v>268</v>
      </c>
      <c r="V168" s="232"/>
      <c r="W168" s="256" t="e">
        <f>SUM(((X168/SUM(X168:AB168))*5),((Y168/SUM(X168:AB168))*4),((Z168/SUM(X168:AB168))*3),((AA168/SUM(X168:AB168))*2),((AB168/SUM(X168:AB168)*1)))</f>
        <v>#DIV/0!</v>
      </c>
      <c r="X168" s="257"/>
      <c r="Y168" s="257"/>
      <c r="Z168" s="257"/>
      <c r="AA168" s="257"/>
      <c r="AB168" s="257"/>
      <c r="AC168" s="250">
        <f t="shared" si="16"/>
        <v>2012</v>
      </c>
      <c r="AE168" s="276"/>
      <c r="AF168" s="119"/>
      <c r="AG168" s="119"/>
      <c r="AH168" s="277"/>
      <c r="AI168" s="277"/>
      <c r="AJ168" s="277"/>
    </row>
    <row r="169" spans="2:36" ht="13.5" customHeight="1">
      <c r="B169" s="69">
        <v>1</v>
      </c>
      <c r="C169" s="69">
        <v>167</v>
      </c>
      <c r="D169" s="253" t="s">
        <v>742</v>
      </c>
      <c r="E169" s="253" t="s">
        <v>1257</v>
      </c>
      <c r="F169" s="250" t="s">
        <v>45</v>
      </c>
      <c r="G169" s="250" t="s">
        <v>201</v>
      </c>
      <c r="H169" s="250" t="s">
        <v>198</v>
      </c>
      <c r="I169" s="254">
        <v>2018</v>
      </c>
      <c r="J169" s="254" t="s">
        <v>1044</v>
      </c>
      <c r="K169" s="134">
        <f t="shared" si="15"/>
        <v>1</v>
      </c>
      <c r="L169" s="254"/>
      <c r="M169" s="251">
        <v>117000</v>
      </c>
      <c r="N169" s="252">
        <v>984</v>
      </c>
      <c r="O169" s="252">
        <v>40</v>
      </c>
      <c r="P169" s="252">
        <v>2900</v>
      </c>
      <c r="Q169" s="252">
        <v>900</v>
      </c>
      <c r="R169" s="252">
        <f t="shared" si="17"/>
        <v>310.34482758620692</v>
      </c>
      <c r="S169" s="252">
        <f>ROUND(R169*CPI!$B$120/VLOOKUP($I169,CPI!$A$1:$B$140,2,FALSE)/1000,2)*1000</f>
        <v>310</v>
      </c>
      <c r="T169" s="250" t="s">
        <v>235</v>
      </c>
      <c r="U169" s="250" t="s">
        <v>766</v>
      </c>
      <c r="V169" s="250"/>
      <c r="W169" s="256"/>
      <c r="X169" s="257"/>
      <c r="Y169" s="257"/>
      <c r="Z169" s="257"/>
      <c r="AA169" s="257"/>
      <c r="AB169" s="257"/>
      <c r="AC169" s="250">
        <f t="shared" si="16"/>
        <v>2018</v>
      </c>
      <c r="AE169" s="276">
        <v>43425</v>
      </c>
      <c r="AF169" s="119" t="s">
        <v>1074</v>
      </c>
      <c r="AG169" s="119" t="s">
        <v>1075</v>
      </c>
      <c r="AH169" s="277">
        <v>599</v>
      </c>
      <c r="AI169" s="277">
        <v>3</v>
      </c>
      <c r="AJ169" s="277">
        <f>AH169/AI169</f>
        <v>199.66666666666666</v>
      </c>
    </row>
    <row r="170" spans="2:36" ht="13.5" customHeight="1">
      <c r="B170" s="69">
        <v>1</v>
      </c>
      <c r="C170" s="69">
        <v>168</v>
      </c>
      <c r="D170" s="253" t="s">
        <v>931</v>
      </c>
      <c r="E170" s="253" t="s">
        <v>1258</v>
      </c>
      <c r="F170" s="250" t="s">
        <v>45</v>
      </c>
      <c r="G170" s="250" t="s">
        <v>794</v>
      </c>
      <c r="H170" s="250" t="s">
        <v>198</v>
      </c>
      <c r="I170" s="254">
        <v>2019</v>
      </c>
      <c r="J170" s="254" t="s">
        <v>1046</v>
      </c>
      <c r="K170" s="134" t="str">
        <f t="shared" si="15"/>
        <v/>
      </c>
      <c r="L170" s="254"/>
      <c r="M170" s="251">
        <v>5739</v>
      </c>
      <c r="N170" s="252"/>
      <c r="O170" s="252">
        <f>M170/P170</f>
        <v>57.39</v>
      </c>
      <c r="P170" s="252">
        <v>100</v>
      </c>
      <c r="Q170" s="252">
        <v>75</v>
      </c>
      <c r="R170" s="252">
        <f t="shared" si="17"/>
        <v>750</v>
      </c>
      <c r="S170" s="252">
        <f>ROUND(R170*CPI!$B$120/VLOOKUP($I170,CPI!$A$1:$B$140,2,FALSE)/1000,2)*1000</f>
        <v>740</v>
      </c>
      <c r="T170" s="250" t="s">
        <v>932</v>
      </c>
      <c r="U170" s="250" t="s">
        <v>248</v>
      </c>
      <c r="V170" s="250"/>
      <c r="W170" s="256"/>
      <c r="X170" s="257"/>
      <c r="Y170" s="257"/>
      <c r="Z170" s="257"/>
      <c r="AA170" s="257"/>
      <c r="AB170" s="257"/>
      <c r="AC170" s="250" t="str">
        <f t="shared" si="16"/>
        <v/>
      </c>
      <c r="AE170" s="276">
        <v>43611</v>
      </c>
      <c r="AF170" s="119" t="s">
        <v>1076</v>
      </c>
      <c r="AG170" s="119" t="s">
        <v>1077</v>
      </c>
      <c r="AH170" s="277">
        <v>12499</v>
      </c>
      <c r="AI170" s="277">
        <v>7</v>
      </c>
      <c r="AJ170" s="277">
        <f>AH170/AI170</f>
        <v>1785.5714285714287</v>
      </c>
    </row>
    <row r="171" spans="2:36" ht="13.5" customHeight="1">
      <c r="B171" s="69">
        <v>1</v>
      </c>
      <c r="C171" s="69">
        <v>169</v>
      </c>
      <c r="D171" s="253" t="s">
        <v>745</v>
      </c>
      <c r="E171" s="253" t="s">
        <v>1259</v>
      </c>
      <c r="F171" s="250" t="s">
        <v>45</v>
      </c>
      <c r="G171" s="250" t="s">
        <v>201</v>
      </c>
      <c r="H171" s="250" t="s">
        <v>198</v>
      </c>
      <c r="I171" s="254">
        <v>2020</v>
      </c>
      <c r="J171" s="254" t="s">
        <v>1046</v>
      </c>
      <c r="K171" s="134" t="str">
        <f t="shared" si="15"/>
        <v/>
      </c>
      <c r="L171" s="254"/>
      <c r="M171" s="251">
        <v>117000</v>
      </c>
      <c r="N171" s="252">
        <v>984</v>
      </c>
      <c r="O171" s="252">
        <v>40</v>
      </c>
      <c r="P171" s="252">
        <v>2900</v>
      </c>
      <c r="Q171" s="252">
        <v>900</v>
      </c>
      <c r="R171" s="252">
        <f t="shared" si="17"/>
        <v>310.34482758620692</v>
      </c>
      <c r="S171" s="252">
        <f>ROUND(R171*CPI!$B$120/VLOOKUP($I171,CPI!$A$1:$B$140,2,FALSE)/1000,2)*1000</f>
        <v>300</v>
      </c>
      <c r="T171" s="250" t="s">
        <v>235</v>
      </c>
      <c r="U171" s="250" t="s">
        <v>766</v>
      </c>
      <c r="V171" s="250"/>
      <c r="W171" s="256"/>
      <c r="X171" s="257"/>
      <c r="Y171" s="257"/>
      <c r="Z171" s="257"/>
      <c r="AA171" s="257"/>
      <c r="AB171" s="257"/>
      <c r="AC171" s="250" t="str">
        <f t="shared" si="16"/>
        <v/>
      </c>
      <c r="AE171" s="276"/>
      <c r="AF171" s="119"/>
      <c r="AG171" s="119"/>
      <c r="AH171" s="277"/>
      <c r="AI171" s="277"/>
      <c r="AJ171" s="277"/>
    </row>
    <row r="172" spans="2:36" ht="13.5" customHeight="1">
      <c r="B172" s="69">
        <v>1</v>
      </c>
      <c r="C172" s="69">
        <v>170</v>
      </c>
      <c r="D172" s="253" t="s">
        <v>855</v>
      </c>
      <c r="E172" s="253" t="s">
        <v>1260</v>
      </c>
      <c r="F172" s="250" t="s">
        <v>45</v>
      </c>
      <c r="G172" s="250" t="s">
        <v>201</v>
      </c>
      <c r="H172" s="250" t="s">
        <v>198</v>
      </c>
      <c r="I172" s="254">
        <v>2021</v>
      </c>
      <c r="J172" s="254" t="s">
        <v>1044</v>
      </c>
      <c r="K172" s="134" t="str">
        <f t="shared" si="15"/>
        <v/>
      </c>
      <c r="L172" s="254"/>
      <c r="M172" s="251">
        <v>117000</v>
      </c>
      <c r="N172" s="252">
        <v>984</v>
      </c>
      <c r="O172" s="252">
        <v>40</v>
      </c>
      <c r="P172" s="252">
        <v>2900</v>
      </c>
      <c r="Q172" s="252">
        <v>900</v>
      </c>
      <c r="R172" s="252">
        <f t="shared" si="17"/>
        <v>310.34482758620692</v>
      </c>
      <c r="S172" s="252">
        <f>ROUND(R172*CPI!$B$120/VLOOKUP($I172,CPI!$A$1:$B$140,2,FALSE)/1000,2)*1000</f>
        <v>290</v>
      </c>
      <c r="T172" s="250" t="s">
        <v>235</v>
      </c>
      <c r="U172" s="250" t="s">
        <v>766</v>
      </c>
      <c r="V172" s="250"/>
      <c r="W172" s="256"/>
      <c r="X172" s="257"/>
      <c r="Y172" s="257"/>
      <c r="Z172" s="257"/>
      <c r="AA172" s="257"/>
      <c r="AB172" s="257"/>
      <c r="AC172" s="250" t="str">
        <f t="shared" si="16"/>
        <v/>
      </c>
      <c r="AE172" s="276"/>
      <c r="AF172" s="119"/>
      <c r="AG172" s="119"/>
      <c r="AH172" s="277"/>
      <c r="AI172" s="277"/>
      <c r="AJ172" s="277"/>
    </row>
    <row r="173" spans="2:36" ht="13.5" customHeight="1">
      <c r="B173" s="69">
        <v>1</v>
      </c>
      <c r="C173" s="69">
        <v>171</v>
      </c>
      <c r="D173" s="253" t="s">
        <v>858</v>
      </c>
      <c r="E173" s="253" t="s">
        <v>1261</v>
      </c>
      <c r="F173" s="250" t="s">
        <v>45</v>
      </c>
      <c r="G173" s="250" t="s">
        <v>201</v>
      </c>
      <c r="H173" s="250" t="s">
        <v>198</v>
      </c>
      <c r="I173" s="254">
        <v>2022</v>
      </c>
      <c r="J173" s="254" t="s">
        <v>1044</v>
      </c>
      <c r="K173" s="134" t="str">
        <f t="shared" si="15"/>
        <v/>
      </c>
      <c r="L173" s="254"/>
      <c r="M173" s="251">
        <v>117000</v>
      </c>
      <c r="N173" s="252">
        <v>984</v>
      </c>
      <c r="O173" s="252">
        <v>40</v>
      </c>
      <c r="P173" s="252">
        <v>2900</v>
      </c>
      <c r="Q173" s="252">
        <v>900</v>
      </c>
      <c r="R173" s="252">
        <f t="shared" si="17"/>
        <v>310.34482758620692</v>
      </c>
      <c r="S173" s="252">
        <f>ROUND(R173*CPI!$B$120/VLOOKUP($I173,CPI!$A$1:$B$140,2,FALSE)/1000,2)*1000</f>
        <v>290</v>
      </c>
      <c r="T173" s="250" t="s">
        <v>235</v>
      </c>
      <c r="U173" s="250" t="s">
        <v>766</v>
      </c>
      <c r="V173" s="250"/>
      <c r="W173" s="256"/>
      <c r="X173" s="257"/>
      <c r="Y173" s="257"/>
      <c r="Z173" s="257"/>
      <c r="AA173" s="257"/>
      <c r="AB173" s="257"/>
      <c r="AC173" s="250" t="str">
        <f t="shared" si="16"/>
        <v/>
      </c>
      <c r="AE173" s="276"/>
      <c r="AF173" s="119"/>
      <c r="AG173" s="119"/>
      <c r="AH173" s="277"/>
      <c r="AI173" s="277"/>
      <c r="AJ173" s="277"/>
    </row>
    <row r="174" spans="2:36" ht="13.5" customHeight="1">
      <c r="B174" s="69">
        <v>1</v>
      </c>
      <c r="C174" s="69">
        <v>172</v>
      </c>
      <c r="D174" s="237" t="s">
        <v>35</v>
      </c>
      <c r="E174" s="237" t="s">
        <v>1262</v>
      </c>
      <c r="F174" s="232" t="s">
        <v>45</v>
      </c>
      <c r="G174" s="232" t="s">
        <v>201</v>
      </c>
      <c r="H174" s="232" t="s">
        <v>797</v>
      </c>
      <c r="I174" s="238">
        <v>2007</v>
      </c>
      <c r="J174" s="238"/>
      <c r="K174" s="134">
        <f t="shared" si="15"/>
        <v>12</v>
      </c>
      <c r="L174" s="238">
        <v>2016</v>
      </c>
      <c r="M174" s="234">
        <v>30277</v>
      </c>
      <c r="N174" s="235">
        <f>181*3.28084</f>
        <v>593.83204000000001</v>
      </c>
      <c r="O174" s="235">
        <v>39</v>
      </c>
      <c r="P174" s="235">
        <v>710</v>
      </c>
      <c r="Q174" s="270">
        <v>150</v>
      </c>
      <c r="R174" s="235">
        <f t="shared" si="17"/>
        <v>211.26760563380282</v>
      </c>
      <c r="S174" s="235">
        <f>ROUND(R174*CPI!$B$120/VLOOKUP($I174,CPI!$A$1:$B$122,2,FALSE)/1000,2)*1000</f>
        <v>250</v>
      </c>
      <c r="T174" s="232" t="s">
        <v>241</v>
      </c>
      <c r="U174" s="232" t="s">
        <v>240</v>
      </c>
      <c r="V174" s="232"/>
      <c r="W174" s="256" t="e">
        <f>SUM(((X174/SUM(X174:AB174))*5),((Y174/SUM(X174:AB174))*4),((Z174/SUM(X174:AB174))*3),((AA174/SUM(X174:AB174))*2),((AB174/SUM(X174:AB174)*1)))</f>
        <v>#DIV/0!</v>
      </c>
      <c r="X174" s="257"/>
      <c r="Y174" s="257"/>
      <c r="Z174" s="257"/>
      <c r="AA174" s="257"/>
      <c r="AB174" s="257"/>
      <c r="AC174" s="250">
        <f t="shared" si="16"/>
        <v>2007</v>
      </c>
      <c r="AE174" s="276"/>
      <c r="AF174" s="119"/>
      <c r="AG174" s="119"/>
      <c r="AH174" s="277"/>
      <c r="AI174" s="277"/>
      <c r="AJ174" s="277"/>
    </row>
    <row r="175" spans="2:36" ht="13.5" customHeight="1">
      <c r="B175" s="69">
        <v>1</v>
      </c>
      <c r="C175" s="69">
        <v>173</v>
      </c>
      <c r="D175" s="237" t="s">
        <v>36</v>
      </c>
      <c r="E175" s="237" t="s">
        <v>1263</v>
      </c>
      <c r="F175" s="232" t="s">
        <v>45</v>
      </c>
      <c r="G175" s="232" t="s">
        <v>201</v>
      </c>
      <c r="H175" s="232" t="s">
        <v>797</v>
      </c>
      <c r="I175" s="238">
        <v>2007</v>
      </c>
      <c r="J175" s="238"/>
      <c r="K175" s="134">
        <f t="shared" si="15"/>
        <v>12</v>
      </c>
      <c r="L175" s="238">
        <v>2016</v>
      </c>
      <c r="M175" s="234">
        <v>30277</v>
      </c>
      <c r="N175" s="235">
        <f>181*3.28084</f>
        <v>593.83204000000001</v>
      </c>
      <c r="O175" s="235">
        <v>39</v>
      </c>
      <c r="P175" s="235">
        <v>710</v>
      </c>
      <c r="Q175" s="270">
        <v>150</v>
      </c>
      <c r="R175" s="235">
        <f t="shared" si="17"/>
        <v>211.26760563380282</v>
      </c>
      <c r="S175" s="235">
        <f>ROUND(R175*CPI!$B$120/VLOOKUP($I175,CPI!$A$1:$B$122,2,FALSE)/1000,2)*1000</f>
        <v>250</v>
      </c>
      <c r="T175" s="232" t="s">
        <v>241</v>
      </c>
      <c r="U175" s="232" t="s">
        <v>240</v>
      </c>
      <c r="V175" s="232"/>
      <c r="W175" s="256" t="e">
        <f>SUM(((X175/SUM(X175:AB175))*5),((Y175/SUM(X175:AB175))*4),((Z175/SUM(X175:AB175))*3),((AA175/SUM(X175:AB175))*2),((AB175/SUM(X175:AB175)*1)))</f>
        <v>#DIV/0!</v>
      </c>
      <c r="X175" s="257"/>
      <c r="Y175" s="257"/>
      <c r="Z175" s="257"/>
      <c r="AA175" s="257"/>
      <c r="AB175" s="257"/>
      <c r="AC175" s="250">
        <f t="shared" si="16"/>
        <v>2007</v>
      </c>
      <c r="AE175" s="276"/>
      <c r="AF175" s="119"/>
      <c r="AG175" s="119"/>
      <c r="AH175" s="277"/>
      <c r="AI175" s="277"/>
      <c r="AJ175" s="277"/>
    </row>
    <row r="176" spans="2:36" ht="13.5" customHeight="1">
      <c r="B176" s="69">
        <v>1</v>
      </c>
      <c r="C176" s="69">
        <v>174</v>
      </c>
      <c r="D176" s="237" t="s">
        <v>975</v>
      </c>
      <c r="E176" s="237" t="s">
        <v>1264</v>
      </c>
      <c r="F176" s="232" t="s">
        <v>45</v>
      </c>
      <c r="G176" s="232" t="s">
        <v>201</v>
      </c>
      <c r="H176" s="232" t="s">
        <v>797</v>
      </c>
      <c r="I176" s="238">
        <v>2000</v>
      </c>
      <c r="J176" s="238"/>
      <c r="K176" s="134">
        <f t="shared" si="15"/>
        <v>19</v>
      </c>
      <c r="L176" s="238">
        <v>2016</v>
      </c>
      <c r="M176" s="234">
        <v>30277</v>
      </c>
      <c r="N176" s="235">
        <v>594</v>
      </c>
      <c r="O176" s="235">
        <v>39</v>
      </c>
      <c r="P176" s="235">
        <v>710</v>
      </c>
      <c r="Q176" s="270">
        <f>200</f>
        <v>200</v>
      </c>
      <c r="R176" s="235">
        <f t="shared" si="17"/>
        <v>281.69014084507046</v>
      </c>
      <c r="S176" s="235">
        <f>ROUND(R176*CPI!$B$120/VLOOKUP($I176,CPI!$A$1:$B$122,2,FALSE)/1000,2)*1000</f>
        <v>400</v>
      </c>
      <c r="T176" s="232" t="s">
        <v>241</v>
      </c>
      <c r="U176" s="232" t="s">
        <v>240</v>
      </c>
      <c r="V176" s="232"/>
      <c r="W176" s="256"/>
      <c r="X176" s="257"/>
      <c r="Y176" s="257"/>
      <c r="Z176" s="257"/>
      <c r="AA176" s="257"/>
      <c r="AB176" s="257"/>
      <c r="AC176" s="250">
        <f t="shared" si="16"/>
        <v>2000</v>
      </c>
      <c r="AE176" s="276"/>
      <c r="AF176" s="119"/>
      <c r="AG176" s="119"/>
      <c r="AH176" s="277"/>
      <c r="AI176" s="277"/>
      <c r="AJ176" s="277"/>
    </row>
    <row r="177" spans="2:36" ht="13.5" customHeight="1">
      <c r="B177" s="69">
        <v>1</v>
      </c>
      <c r="C177" s="69">
        <v>175</v>
      </c>
      <c r="D177" s="237" t="s">
        <v>841</v>
      </c>
      <c r="E177" s="297" t="s">
        <v>1493</v>
      </c>
      <c r="F177" s="232" t="s">
        <v>45</v>
      </c>
      <c r="G177" s="232" t="s">
        <v>200</v>
      </c>
      <c r="H177" s="232" t="s">
        <v>199</v>
      </c>
      <c r="I177" s="238">
        <v>1997</v>
      </c>
      <c r="J177" s="238"/>
      <c r="K177" s="134">
        <f t="shared" si="15"/>
        <v>22</v>
      </c>
      <c r="L177" s="238">
        <v>2011</v>
      </c>
      <c r="M177" s="234">
        <v>77302</v>
      </c>
      <c r="N177" s="235">
        <f>264*3.28084</f>
        <v>866.14175999999998</v>
      </c>
      <c r="O177" s="235">
        <v>40</v>
      </c>
      <c r="P177" s="235">
        <v>1912</v>
      </c>
      <c r="Q177" s="270">
        <v>320</v>
      </c>
      <c r="R177" s="235">
        <f t="shared" si="17"/>
        <v>167.36401673640165</v>
      </c>
      <c r="S177" s="235">
        <f>ROUND(R177*CPI!$B$120/VLOOKUP($I177,CPI!$A$1:$B$122,2,FALSE)/1000,2)*1000</f>
        <v>260</v>
      </c>
      <c r="T177" s="232" t="s">
        <v>228</v>
      </c>
      <c r="U177" s="232" t="s">
        <v>270</v>
      </c>
      <c r="V177" s="232"/>
      <c r="W177" s="256">
        <v>4.0999999999999996</v>
      </c>
      <c r="X177" s="257"/>
      <c r="Y177" s="257"/>
      <c r="Z177" s="257"/>
      <c r="AA177" s="257"/>
      <c r="AB177" s="257"/>
      <c r="AC177" s="250">
        <f t="shared" si="16"/>
        <v>1997</v>
      </c>
      <c r="AE177" s="276"/>
      <c r="AF177" s="119"/>
      <c r="AG177" s="119"/>
      <c r="AH177" s="277"/>
      <c r="AI177" s="277"/>
      <c r="AJ177" s="277"/>
    </row>
    <row r="178" spans="2:36" ht="13.5" customHeight="1">
      <c r="B178" s="69">
        <v>1</v>
      </c>
      <c r="C178" s="69">
        <v>176</v>
      </c>
      <c r="D178" s="237" t="s">
        <v>44</v>
      </c>
      <c r="E178" s="237" t="s">
        <v>1265</v>
      </c>
      <c r="F178" s="232" t="s">
        <v>45</v>
      </c>
      <c r="G178" s="232" t="s">
        <v>200</v>
      </c>
      <c r="H178" s="232" t="s">
        <v>199</v>
      </c>
      <c r="I178" s="238">
        <v>2014</v>
      </c>
      <c r="J178" s="238"/>
      <c r="K178" s="134">
        <f t="shared" si="15"/>
        <v>5</v>
      </c>
      <c r="L178" s="238"/>
      <c r="M178" s="234">
        <v>99430</v>
      </c>
      <c r="N178" s="235">
        <f>293*3.28084</f>
        <v>961.28611999999998</v>
      </c>
      <c r="O178" s="235">
        <v>40</v>
      </c>
      <c r="P178" s="235">
        <v>2506</v>
      </c>
      <c r="Q178" s="270">
        <v>525</v>
      </c>
      <c r="R178" s="235">
        <f t="shared" si="17"/>
        <v>209.49720670391062</v>
      </c>
      <c r="S178" s="235">
        <f>ROUND(R178*CPI!$B$120/VLOOKUP($I178,CPI!$A$1:$B$122,2,FALSE)/1000,2)*1000</f>
        <v>220</v>
      </c>
      <c r="T178" s="232" t="s">
        <v>228</v>
      </c>
      <c r="U178" s="232" t="s">
        <v>248</v>
      </c>
      <c r="V178" s="232"/>
      <c r="W178" s="256">
        <v>4.4000000000000004</v>
      </c>
      <c r="X178" s="257"/>
      <c r="Y178" s="257"/>
      <c r="Z178" s="257"/>
      <c r="AA178" s="257"/>
      <c r="AB178" s="257"/>
      <c r="AC178" s="250">
        <f t="shared" si="16"/>
        <v>2014</v>
      </c>
      <c r="AE178" s="276"/>
      <c r="AF178" s="119"/>
      <c r="AG178" s="119"/>
      <c r="AH178" s="277"/>
      <c r="AI178" s="277"/>
      <c r="AJ178" s="277"/>
    </row>
    <row r="179" spans="2:36" ht="13.5" customHeight="1">
      <c r="B179" s="69">
        <v>1</v>
      </c>
      <c r="C179" s="69">
        <v>177</v>
      </c>
      <c r="D179" s="237" t="s">
        <v>43</v>
      </c>
      <c r="E179" s="237" t="s">
        <v>1266</v>
      </c>
      <c r="F179" s="232" t="s">
        <v>45</v>
      </c>
      <c r="G179" s="232" t="s">
        <v>200</v>
      </c>
      <c r="H179" s="232" t="s">
        <v>199</v>
      </c>
      <c r="I179" s="238">
        <v>2015</v>
      </c>
      <c r="J179" s="238"/>
      <c r="K179" s="134">
        <f t="shared" si="15"/>
        <v>4</v>
      </c>
      <c r="L179" s="238"/>
      <c r="M179" s="234">
        <v>99500</v>
      </c>
      <c r="N179" s="235">
        <f>293*3.28084</f>
        <v>961.28611999999998</v>
      </c>
      <c r="O179" s="235">
        <v>40</v>
      </c>
      <c r="P179" s="235">
        <v>2506</v>
      </c>
      <c r="Q179" s="270">
        <v>525</v>
      </c>
      <c r="R179" s="235">
        <f t="shared" si="17"/>
        <v>209.49720670391062</v>
      </c>
      <c r="S179" s="235">
        <f>ROUND(R179*CPI!$B$120/VLOOKUP($I179,CPI!$A$1:$B$122,2,FALSE)/1000,2)*1000</f>
        <v>220</v>
      </c>
      <c r="T179" s="232" t="s">
        <v>228</v>
      </c>
      <c r="U179" s="232" t="s">
        <v>248</v>
      </c>
      <c r="V179" s="232"/>
      <c r="W179" s="256">
        <v>4.4000000000000004</v>
      </c>
      <c r="X179" s="257"/>
      <c r="Y179" s="257"/>
      <c r="Z179" s="257"/>
      <c r="AA179" s="257"/>
      <c r="AB179" s="257"/>
      <c r="AC179" s="250">
        <f t="shared" si="16"/>
        <v>2015</v>
      </c>
      <c r="AE179" s="276"/>
      <c r="AF179" s="119"/>
      <c r="AG179" s="119"/>
      <c r="AH179" s="277"/>
      <c r="AI179" s="277"/>
      <c r="AJ179" s="277"/>
    </row>
    <row r="180" spans="2:36" ht="13.5" customHeight="1">
      <c r="B180" s="69">
        <v>1</v>
      </c>
      <c r="C180" s="69">
        <v>178</v>
      </c>
      <c r="D180" s="237" t="s">
        <v>42</v>
      </c>
      <c r="E180" s="237" t="s">
        <v>1267</v>
      </c>
      <c r="F180" s="232" t="s">
        <v>45</v>
      </c>
      <c r="G180" s="232" t="s">
        <v>200</v>
      </c>
      <c r="H180" s="232" t="s">
        <v>199</v>
      </c>
      <c r="I180" s="238">
        <v>2016</v>
      </c>
      <c r="J180" s="238"/>
      <c r="K180" s="134">
        <f t="shared" si="15"/>
        <v>3</v>
      </c>
      <c r="L180" s="238"/>
      <c r="M180" s="234">
        <v>99500</v>
      </c>
      <c r="N180" s="235">
        <f>293*3.28084</f>
        <v>961.28611999999998</v>
      </c>
      <c r="O180" s="235">
        <v>40</v>
      </c>
      <c r="P180" s="235">
        <v>2534</v>
      </c>
      <c r="Q180" s="270">
        <v>625</v>
      </c>
      <c r="R180" s="235">
        <f t="shared" si="17"/>
        <v>246.64561957379638</v>
      </c>
      <c r="S180" s="235">
        <f>ROUND(R180*CPI!$B$120/VLOOKUP($I180,CPI!$A$1:$B$122,2,FALSE)/1000,2)*1000</f>
        <v>260</v>
      </c>
      <c r="T180" s="232" t="s">
        <v>228</v>
      </c>
      <c r="U180" s="232" t="s">
        <v>248</v>
      </c>
      <c r="V180" s="232"/>
      <c r="W180" s="256">
        <v>4.5</v>
      </c>
      <c r="X180" s="257"/>
      <c r="Y180" s="257"/>
      <c r="Z180" s="257"/>
      <c r="AA180" s="257"/>
      <c r="AB180" s="257"/>
      <c r="AC180" s="250">
        <f t="shared" si="16"/>
        <v>2016</v>
      </c>
      <c r="AE180" s="276"/>
      <c r="AF180" s="119"/>
      <c r="AG180" s="119"/>
      <c r="AH180" s="277"/>
      <c r="AI180" s="277"/>
      <c r="AJ180" s="277"/>
    </row>
    <row r="181" spans="2:36" ht="13.5" customHeight="1">
      <c r="B181" s="69">
        <v>1</v>
      </c>
      <c r="C181" s="69">
        <v>179</v>
      </c>
      <c r="D181" s="237" t="s">
        <v>442</v>
      </c>
      <c r="E181" s="237" t="s">
        <v>1268</v>
      </c>
      <c r="F181" s="232" t="s">
        <v>45</v>
      </c>
      <c r="G181" s="232" t="s">
        <v>200</v>
      </c>
      <c r="H181" s="232" t="s">
        <v>199</v>
      </c>
      <c r="I181" s="238">
        <v>2017</v>
      </c>
      <c r="J181" s="238"/>
      <c r="K181" s="134">
        <f t="shared" si="15"/>
        <v>2</v>
      </c>
      <c r="L181" s="238"/>
      <c r="M181" s="234">
        <v>99500</v>
      </c>
      <c r="N181" s="235">
        <v>968</v>
      </c>
      <c r="O181" s="235">
        <v>40</v>
      </c>
      <c r="P181" s="235">
        <v>2534</v>
      </c>
      <c r="Q181" s="270">
        <v>625</v>
      </c>
      <c r="R181" s="235">
        <f t="shared" si="17"/>
        <v>246.64561957379638</v>
      </c>
      <c r="S181" s="235">
        <f>ROUND(R181*CPI!$B$120/VLOOKUP($I181,CPI!$A$1:$B$140,2,FALSE)/1000,2)*1000</f>
        <v>250</v>
      </c>
      <c r="T181" s="232" t="s">
        <v>746</v>
      </c>
      <c r="U181" s="232" t="s">
        <v>248</v>
      </c>
      <c r="V181" s="232"/>
      <c r="W181" s="256">
        <v>4.5</v>
      </c>
      <c r="X181" s="257"/>
      <c r="Y181" s="257"/>
      <c r="Z181" s="257"/>
      <c r="AA181" s="257"/>
      <c r="AB181" s="257"/>
      <c r="AC181" s="250">
        <f t="shared" si="16"/>
        <v>2017</v>
      </c>
      <c r="AE181" s="276"/>
      <c r="AF181" s="119"/>
      <c r="AG181" s="119"/>
      <c r="AH181" s="277"/>
      <c r="AI181" s="277"/>
      <c r="AJ181" s="277"/>
    </row>
    <row r="182" spans="2:36" ht="13.5" customHeight="1">
      <c r="B182" s="69">
        <v>1</v>
      </c>
      <c r="C182" s="69">
        <v>180</v>
      </c>
      <c r="D182" s="253" t="s">
        <v>990</v>
      </c>
      <c r="E182" s="253" t="s">
        <v>1269</v>
      </c>
      <c r="F182" s="250" t="s">
        <v>45</v>
      </c>
      <c r="G182" s="250" t="s">
        <v>200</v>
      </c>
      <c r="H182" s="250" t="s">
        <v>199</v>
      </c>
      <c r="I182" s="254">
        <v>2018</v>
      </c>
      <c r="J182" s="254" t="s">
        <v>1046</v>
      </c>
      <c r="K182" s="134">
        <f t="shared" si="15"/>
        <v>1</v>
      </c>
      <c r="L182" s="254"/>
      <c r="M182" s="251">
        <v>110000</v>
      </c>
      <c r="N182" s="252"/>
      <c r="O182" s="252">
        <f>M182/P182</f>
        <v>37.931034482758619</v>
      </c>
      <c r="P182" s="252">
        <v>2900</v>
      </c>
      <c r="Q182" s="269">
        <v>625</v>
      </c>
      <c r="R182" s="252">
        <f t="shared" si="17"/>
        <v>215.51724137931032</v>
      </c>
      <c r="S182" s="252">
        <f>ROUND(R182*CPI!$B$120/VLOOKUP($I182,CPI!$A$1:$B$140,2,FALSE)/1000,2)*1000</f>
        <v>220</v>
      </c>
      <c r="T182" s="250" t="s">
        <v>746</v>
      </c>
      <c r="U182" s="250" t="s">
        <v>248</v>
      </c>
      <c r="V182" s="250"/>
      <c r="W182" s="256"/>
      <c r="X182" s="257"/>
      <c r="Y182" s="257"/>
      <c r="Z182" s="257"/>
      <c r="AA182" s="257"/>
      <c r="AB182" s="257"/>
      <c r="AC182" s="250">
        <f t="shared" si="16"/>
        <v>2018</v>
      </c>
      <c r="AE182" s="276"/>
      <c r="AF182" s="119"/>
      <c r="AG182" s="119"/>
      <c r="AH182" s="277"/>
      <c r="AI182" s="277"/>
      <c r="AJ182" s="277"/>
    </row>
    <row r="183" spans="2:36" ht="13.5" customHeight="1">
      <c r="B183" s="69">
        <v>1</v>
      </c>
      <c r="C183" s="69">
        <v>181</v>
      </c>
      <c r="D183" s="253" t="s">
        <v>840</v>
      </c>
      <c r="E183" s="298" t="s">
        <v>1494</v>
      </c>
      <c r="F183" s="250" t="s">
        <v>45</v>
      </c>
      <c r="G183" s="250" t="s">
        <v>200</v>
      </c>
      <c r="H183" s="250" t="s">
        <v>199</v>
      </c>
      <c r="I183" s="254">
        <v>2019</v>
      </c>
      <c r="J183" s="254" t="s">
        <v>1046</v>
      </c>
      <c r="K183" s="134" t="str">
        <f t="shared" si="15"/>
        <v/>
      </c>
      <c r="L183" s="254"/>
      <c r="M183" s="251">
        <v>110000</v>
      </c>
      <c r="N183" s="252"/>
      <c r="O183" s="252">
        <f>M183/P183</f>
        <v>37.931034482758619</v>
      </c>
      <c r="P183" s="252">
        <v>2900</v>
      </c>
      <c r="Q183" s="269">
        <v>625</v>
      </c>
      <c r="R183" s="252">
        <f t="shared" si="17"/>
        <v>215.51724137931032</v>
      </c>
      <c r="S183" s="252">
        <f>ROUND(R183*CPI!$B$120/VLOOKUP($I183,CPI!$A$1:$B$140,2,FALSE)/1000,2)*1000</f>
        <v>210</v>
      </c>
      <c r="T183" s="250" t="s">
        <v>746</v>
      </c>
      <c r="U183" s="250" t="s">
        <v>248</v>
      </c>
      <c r="V183" s="250"/>
      <c r="W183" s="256"/>
      <c r="X183" s="257"/>
      <c r="Y183" s="257"/>
      <c r="Z183" s="257"/>
      <c r="AA183" s="257"/>
      <c r="AB183" s="257"/>
      <c r="AC183" s="250" t="str">
        <f t="shared" si="16"/>
        <v/>
      </c>
      <c r="AE183" s="276"/>
      <c r="AF183" s="119"/>
      <c r="AG183" s="119"/>
      <c r="AH183" s="277"/>
      <c r="AI183" s="277"/>
      <c r="AJ183" s="277"/>
    </row>
    <row r="184" spans="2:36" ht="13.5" customHeight="1">
      <c r="B184" s="69">
        <v>1</v>
      </c>
      <c r="C184" s="69">
        <v>182</v>
      </c>
      <c r="D184" s="253" t="s">
        <v>973</v>
      </c>
      <c r="E184" s="253" t="s">
        <v>1270</v>
      </c>
      <c r="F184" s="250" t="s">
        <v>45</v>
      </c>
      <c r="G184" s="250" t="s">
        <v>200</v>
      </c>
      <c r="H184" s="250" t="s">
        <v>199</v>
      </c>
      <c r="I184" s="254">
        <v>2023</v>
      </c>
      <c r="J184" s="254" t="s">
        <v>1046</v>
      </c>
      <c r="K184" s="134" t="str">
        <f t="shared" si="15"/>
        <v/>
      </c>
      <c r="L184" s="254"/>
      <c r="M184" s="251">
        <v>110000</v>
      </c>
      <c r="N184" s="252"/>
      <c r="O184" s="252">
        <f>M184/P184</f>
        <v>37.931034482758619</v>
      </c>
      <c r="P184" s="252">
        <v>2900</v>
      </c>
      <c r="Q184" s="269">
        <v>625</v>
      </c>
      <c r="R184" s="252">
        <f t="shared" si="17"/>
        <v>215.51724137931032</v>
      </c>
      <c r="S184" s="252">
        <f>ROUND(R184*CPI!$B$120/VLOOKUP($I184,CPI!$A$1:$B$140,2,FALSE)/1000,2)*1000</f>
        <v>200</v>
      </c>
      <c r="T184" s="250" t="s">
        <v>746</v>
      </c>
      <c r="U184" s="250" t="s">
        <v>248</v>
      </c>
      <c r="V184" s="250"/>
      <c r="W184" s="256"/>
      <c r="X184" s="257"/>
      <c r="Y184" s="257"/>
      <c r="Z184" s="257"/>
      <c r="AA184" s="257"/>
      <c r="AB184" s="257"/>
      <c r="AC184" s="250" t="str">
        <f t="shared" si="16"/>
        <v/>
      </c>
      <c r="AE184" s="276"/>
      <c r="AF184" s="119"/>
      <c r="AG184" s="119"/>
      <c r="AH184" s="277"/>
      <c r="AI184" s="277"/>
      <c r="AJ184" s="277"/>
    </row>
    <row r="185" spans="2:36" ht="13.5" customHeight="1">
      <c r="B185" s="69">
        <v>1</v>
      </c>
      <c r="C185" s="69">
        <v>183</v>
      </c>
      <c r="D185" s="237" t="s">
        <v>39</v>
      </c>
      <c r="E185" s="237" t="s">
        <v>1271</v>
      </c>
      <c r="F185" s="232" t="s">
        <v>45</v>
      </c>
      <c r="G185" s="232" t="s">
        <v>200</v>
      </c>
      <c r="H185" s="232" t="s">
        <v>37</v>
      </c>
      <c r="I185" s="238">
        <v>1987</v>
      </c>
      <c r="J185" s="238"/>
      <c r="K185" s="134">
        <f t="shared" si="15"/>
        <v>32</v>
      </c>
      <c r="L185" s="238">
        <v>2015</v>
      </c>
      <c r="M185" s="234">
        <v>73529</v>
      </c>
      <c r="N185" s="235">
        <f>268*3.28084</f>
        <v>879.26512000000002</v>
      </c>
      <c r="O185" s="235">
        <v>31</v>
      </c>
      <c r="P185" s="235">
        <v>2733</v>
      </c>
      <c r="Q185" s="270">
        <v>183</v>
      </c>
      <c r="R185" s="235">
        <f t="shared" si="17"/>
        <v>66.959385290889131</v>
      </c>
      <c r="S185" s="235">
        <f>ROUND(R185*CPI!$B$120/VLOOKUP($I185,CPI!$A$1:$B$122,2,FALSE)/1000,2)*1000</f>
        <v>150</v>
      </c>
      <c r="T185" s="232" t="s">
        <v>241</v>
      </c>
      <c r="U185" s="232" t="s">
        <v>248</v>
      </c>
      <c r="V185" s="232"/>
      <c r="W185" s="256"/>
      <c r="X185" s="257"/>
      <c r="Y185" s="257"/>
      <c r="Z185" s="257"/>
      <c r="AA185" s="257"/>
      <c r="AB185" s="257"/>
      <c r="AC185" s="250">
        <f t="shared" si="16"/>
        <v>1987</v>
      </c>
      <c r="AE185" s="276"/>
      <c r="AF185" s="119"/>
      <c r="AG185" s="119"/>
      <c r="AH185" s="277"/>
      <c r="AI185" s="277"/>
      <c r="AJ185" s="277"/>
    </row>
    <row r="186" spans="2:36" ht="13.5" customHeight="1">
      <c r="B186" s="69">
        <v>1</v>
      </c>
      <c r="C186" s="69">
        <v>184</v>
      </c>
      <c r="D186" s="237" t="s">
        <v>38</v>
      </c>
      <c r="E186" s="237" t="s">
        <v>1272</v>
      </c>
      <c r="F186" s="232" t="s">
        <v>45</v>
      </c>
      <c r="G186" s="232" t="s">
        <v>200</v>
      </c>
      <c r="H186" s="232" t="s">
        <v>37</v>
      </c>
      <c r="I186" s="238">
        <v>1991</v>
      </c>
      <c r="J186" s="238"/>
      <c r="K186" s="134">
        <f t="shared" si="15"/>
        <v>28</v>
      </c>
      <c r="L186" s="238">
        <v>2013</v>
      </c>
      <c r="M186" s="234">
        <v>73937</v>
      </c>
      <c r="N186" s="235">
        <f>268*3.28084</f>
        <v>879.26512000000002</v>
      </c>
      <c r="O186" s="235">
        <v>31</v>
      </c>
      <c r="P186" s="235">
        <v>2733</v>
      </c>
      <c r="Q186" s="270">
        <v>300</v>
      </c>
      <c r="R186" s="235">
        <f t="shared" si="17"/>
        <v>109.76948408342481</v>
      </c>
      <c r="S186" s="235">
        <f>ROUND(R186*CPI!$B$120/VLOOKUP($I186,CPI!$A$1:$B$122,2,FALSE)/1000,2)*1000</f>
        <v>200</v>
      </c>
      <c r="T186" s="232" t="s">
        <v>241</v>
      </c>
      <c r="U186" s="232" t="s">
        <v>248</v>
      </c>
      <c r="V186" s="232"/>
      <c r="W186" s="256"/>
      <c r="X186" s="257"/>
      <c r="Y186" s="257"/>
      <c r="Z186" s="257"/>
      <c r="AA186" s="257"/>
      <c r="AB186" s="257"/>
      <c r="AC186" s="250">
        <f t="shared" si="16"/>
        <v>1991</v>
      </c>
      <c r="AE186" s="276"/>
      <c r="AF186" s="119"/>
      <c r="AG186" s="119"/>
      <c r="AH186" s="277"/>
      <c r="AI186" s="277"/>
      <c r="AJ186" s="277"/>
    </row>
    <row r="187" spans="2:36" ht="13.5" customHeight="1">
      <c r="B187" s="69">
        <v>1</v>
      </c>
      <c r="C187" s="69">
        <v>185</v>
      </c>
      <c r="D187" s="237" t="s">
        <v>40</v>
      </c>
      <c r="E187" s="237" t="s">
        <v>1273</v>
      </c>
      <c r="F187" s="232" t="s">
        <v>45</v>
      </c>
      <c r="G187" s="232" t="s">
        <v>200</v>
      </c>
      <c r="H187" s="232" t="s">
        <v>37</v>
      </c>
      <c r="I187" s="238">
        <v>1990</v>
      </c>
      <c r="J187" s="238"/>
      <c r="K187" s="134">
        <f t="shared" si="15"/>
        <v>29</v>
      </c>
      <c r="L187" s="238">
        <v>2013</v>
      </c>
      <c r="M187" s="234">
        <v>47427</v>
      </c>
      <c r="N187" s="235">
        <f>208*3.28084</f>
        <v>682.41471999999999</v>
      </c>
      <c r="O187" s="235">
        <v>34</v>
      </c>
      <c r="P187" s="235">
        <v>1506</v>
      </c>
      <c r="Q187" s="270">
        <v>185</v>
      </c>
      <c r="R187" s="235">
        <f t="shared" si="17"/>
        <v>122.84196547144755</v>
      </c>
      <c r="S187" s="235">
        <f>ROUND(R187*CPI!$B$120/VLOOKUP($I187,CPI!$A$1:$B$122,2,FALSE)/1000,2)*1000</f>
        <v>230</v>
      </c>
      <c r="T187" s="232" t="s">
        <v>228</v>
      </c>
      <c r="U187" s="232" t="s">
        <v>248</v>
      </c>
      <c r="V187" s="232"/>
      <c r="W187" s="256" t="e">
        <f>SUM(((X187/SUM(X187:AB187))*5),((Y187/SUM(X187:AB187))*4),((Z187/SUM(X187:AB187))*3),((AA187/SUM(X187:AB187))*2),((AB187/SUM(X187:AB187)*1)))</f>
        <v>#DIV/0!</v>
      </c>
      <c r="X187" s="257"/>
      <c r="Y187" s="257"/>
      <c r="Z187" s="257"/>
      <c r="AA187" s="257"/>
      <c r="AB187" s="257"/>
      <c r="AC187" s="250">
        <f t="shared" si="16"/>
        <v>1990</v>
      </c>
      <c r="AE187" s="276"/>
      <c r="AF187" s="119"/>
      <c r="AG187" s="119"/>
      <c r="AH187" s="277"/>
      <c r="AI187" s="277"/>
      <c r="AJ187" s="277"/>
    </row>
    <row r="188" spans="2:36" ht="13.5" customHeight="1">
      <c r="B188" s="69">
        <v>1</v>
      </c>
      <c r="C188" s="69">
        <v>186</v>
      </c>
      <c r="D188" s="237" t="s">
        <v>41</v>
      </c>
      <c r="E188" s="237" t="s">
        <v>1274</v>
      </c>
      <c r="F188" s="232" t="s">
        <v>45</v>
      </c>
      <c r="G188" s="232" t="s">
        <v>200</v>
      </c>
      <c r="H188" s="232" t="s">
        <v>37</v>
      </c>
      <c r="I188" s="238">
        <v>1992</v>
      </c>
      <c r="J188" s="238"/>
      <c r="K188" s="134">
        <f t="shared" si="15"/>
        <v>27</v>
      </c>
      <c r="L188" s="238">
        <v>2014</v>
      </c>
      <c r="M188" s="234">
        <v>47413</v>
      </c>
      <c r="N188" s="235">
        <f>208*3.28084</f>
        <v>682.41471999999999</v>
      </c>
      <c r="O188" s="235">
        <v>34</v>
      </c>
      <c r="P188" s="235">
        <v>1440</v>
      </c>
      <c r="Q188" s="270">
        <v>210</v>
      </c>
      <c r="R188" s="235">
        <f t="shared" si="17"/>
        <v>145.83333333333334</v>
      </c>
      <c r="S188" s="235">
        <f>ROUND(R188*CPI!$B$120/VLOOKUP($I188,CPI!$A$1:$B$122,2,FALSE)/1000,2)*1000</f>
        <v>260</v>
      </c>
      <c r="T188" s="232" t="s">
        <v>228</v>
      </c>
      <c r="U188" s="232" t="s">
        <v>248</v>
      </c>
      <c r="V188" s="232"/>
      <c r="W188" s="256"/>
      <c r="X188" s="257"/>
      <c r="Y188" s="257"/>
      <c r="Z188" s="257"/>
      <c r="AA188" s="257"/>
      <c r="AB188" s="257"/>
      <c r="AC188" s="250">
        <f t="shared" si="16"/>
        <v>1992</v>
      </c>
      <c r="AE188" s="276"/>
      <c r="AF188" s="119"/>
      <c r="AG188" s="119"/>
      <c r="AH188" s="277"/>
      <c r="AI188" s="277"/>
      <c r="AJ188" s="277"/>
    </row>
    <row r="189" spans="2:36" ht="13.5" customHeight="1">
      <c r="B189" s="69">
        <v>1</v>
      </c>
      <c r="C189" s="69">
        <v>187</v>
      </c>
      <c r="D189" s="233" t="s">
        <v>309</v>
      </c>
      <c r="E189" s="233" t="s">
        <v>1275</v>
      </c>
      <c r="F189" s="232" t="s">
        <v>45</v>
      </c>
      <c r="G189" s="232" t="s">
        <v>794</v>
      </c>
      <c r="H189" s="232" t="s">
        <v>316</v>
      </c>
      <c r="I189" s="232">
        <v>1989</v>
      </c>
      <c r="J189" s="232"/>
      <c r="K189" s="134">
        <f t="shared" si="15"/>
        <v>30</v>
      </c>
      <c r="L189" s="232">
        <v>2016</v>
      </c>
      <c r="M189" s="234">
        <v>5218</v>
      </c>
      <c r="N189" s="235">
        <f>102*3.28084</f>
        <v>334.64567999999997</v>
      </c>
      <c r="O189" s="235">
        <v>34</v>
      </c>
      <c r="P189" s="235">
        <v>128</v>
      </c>
      <c r="Q189" s="235">
        <v>45</v>
      </c>
      <c r="R189" s="235">
        <f t="shared" si="17"/>
        <v>351.5625</v>
      </c>
      <c r="S189" s="235">
        <f>ROUND(R189*CPI!$B$120/VLOOKUP($I189,CPI!$A$1:$B$122,2,FALSE)/1000,2)*1000</f>
        <v>700</v>
      </c>
      <c r="T189" s="232" t="s">
        <v>310</v>
      </c>
      <c r="U189" s="232" t="s">
        <v>248</v>
      </c>
      <c r="V189" s="232"/>
      <c r="W189" s="256" t="e">
        <f t="shared" ref="W189:W197" si="18">SUM(((X189/SUM(X189:AB189))*5),((Y189/SUM(X189:AB189))*4),((Z189/SUM(X189:AB189))*3),((AA189/SUM(X189:AB189))*2),((AB189/SUM(X189:AB189)*1)))</f>
        <v>#DIV/0!</v>
      </c>
      <c r="X189" s="257"/>
      <c r="Y189" s="257"/>
      <c r="Z189" s="257"/>
      <c r="AA189" s="257"/>
      <c r="AB189" s="257"/>
      <c r="AC189" s="250">
        <f t="shared" si="16"/>
        <v>1989</v>
      </c>
      <c r="AE189" s="276"/>
      <c r="AF189" s="119"/>
      <c r="AG189" s="119"/>
      <c r="AH189" s="277"/>
      <c r="AI189" s="277"/>
      <c r="AJ189" s="277"/>
    </row>
    <row r="190" spans="2:36" ht="13.5" customHeight="1">
      <c r="B190" s="69">
        <v>1</v>
      </c>
      <c r="C190" s="69">
        <v>188</v>
      </c>
      <c r="D190" s="233" t="s">
        <v>311</v>
      </c>
      <c r="E190" s="233" t="s">
        <v>1276</v>
      </c>
      <c r="F190" s="232" t="s">
        <v>45</v>
      </c>
      <c r="G190" s="232" t="s">
        <v>794</v>
      </c>
      <c r="H190" s="232" t="s">
        <v>316</v>
      </c>
      <c r="I190" s="232">
        <v>1989</v>
      </c>
      <c r="J190" s="232"/>
      <c r="K190" s="134">
        <f t="shared" si="15"/>
        <v>30</v>
      </c>
      <c r="L190" s="232">
        <v>2017</v>
      </c>
      <c r="M190" s="234">
        <v>6130</v>
      </c>
      <c r="N190" s="235">
        <f>108*3.28084</f>
        <v>354.33071999999999</v>
      </c>
      <c r="O190" s="235">
        <v>37</v>
      </c>
      <c r="P190" s="235">
        <v>136</v>
      </c>
      <c r="Q190" s="235">
        <v>50</v>
      </c>
      <c r="R190" s="235">
        <f t="shared" si="17"/>
        <v>367.64705882352945</v>
      </c>
      <c r="S190" s="235">
        <f>ROUND(R190*CPI!$B$120/VLOOKUP($I190,CPI!$A$1:$B$122,2,FALSE)/1000,2)*1000</f>
        <v>730</v>
      </c>
      <c r="T190" s="232" t="s">
        <v>312</v>
      </c>
      <c r="U190" s="232" t="s">
        <v>248</v>
      </c>
      <c r="V190" s="232"/>
      <c r="W190" s="256" t="e">
        <f t="shared" si="18"/>
        <v>#DIV/0!</v>
      </c>
      <c r="X190" s="257"/>
      <c r="Y190" s="257"/>
      <c r="Z190" s="257"/>
      <c r="AA190" s="257"/>
      <c r="AB190" s="257"/>
      <c r="AC190" s="250">
        <f t="shared" si="16"/>
        <v>1989</v>
      </c>
      <c r="AE190" s="276"/>
      <c r="AF190" s="119"/>
      <c r="AG190" s="119"/>
      <c r="AH190" s="277"/>
      <c r="AI190" s="277"/>
      <c r="AJ190" s="277"/>
    </row>
    <row r="191" spans="2:36" ht="13.5" customHeight="1">
      <c r="B191" s="69">
        <v>1</v>
      </c>
      <c r="C191" s="69">
        <v>189</v>
      </c>
      <c r="D191" s="233" t="s">
        <v>313</v>
      </c>
      <c r="E191" s="233" t="s">
        <v>1277</v>
      </c>
      <c r="F191" s="232" t="s">
        <v>45</v>
      </c>
      <c r="G191" s="232" t="s">
        <v>794</v>
      </c>
      <c r="H191" s="232" t="s">
        <v>316</v>
      </c>
      <c r="I191" s="232">
        <v>1990</v>
      </c>
      <c r="J191" s="232"/>
      <c r="K191" s="134">
        <f t="shared" si="15"/>
        <v>29</v>
      </c>
      <c r="L191" s="232">
        <v>2013</v>
      </c>
      <c r="M191" s="234">
        <v>4077</v>
      </c>
      <c r="N191" s="235">
        <f>88*3.28084</f>
        <v>288.71391999999997</v>
      </c>
      <c r="O191" s="235">
        <v>34</v>
      </c>
      <c r="P191" s="235">
        <v>100</v>
      </c>
      <c r="Q191" s="235">
        <v>35</v>
      </c>
      <c r="R191" s="235">
        <f t="shared" si="17"/>
        <v>350</v>
      </c>
      <c r="S191" s="235">
        <f>ROUND(R191*CPI!$B$120/VLOOKUP($I191,CPI!$A$1:$B$122,2,FALSE)/1000,2)*1000</f>
        <v>650</v>
      </c>
      <c r="T191" s="232" t="s">
        <v>212</v>
      </c>
      <c r="U191" s="232" t="s">
        <v>248</v>
      </c>
      <c r="V191" s="232"/>
      <c r="W191" s="256" t="e">
        <f t="shared" si="18"/>
        <v>#DIV/0!</v>
      </c>
      <c r="X191" s="257"/>
      <c r="Y191" s="257"/>
      <c r="Z191" s="257"/>
      <c r="AA191" s="257"/>
      <c r="AB191" s="257"/>
      <c r="AC191" s="250">
        <f t="shared" si="16"/>
        <v>1990</v>
      </c>
      <c r="AE191" s="276"/>
      <c r="AF191" s="119"/>
      <c r="AG191" s="119"/>
      <c r="AH191" s="277"/>
      <c r="AI191" s="277"/>
      <c r="AJ191" s="277"/>
    </row>
    <row r="192" spans="2:36" ht="13.5" customHeight="1">
      <c r="B192" s="69">
        <v>1</v>
      </c>
      <c r="C192" s="69">
        <v>190</v>
      </c>
      <c r="D192" s="233" t="s">
        <v>308</v>
      </c>
      <c r="E192" s="233" t="s">
        <v>1278</v>
      </c>
      <c r="F192" s="232" t="s">
        <v>45</v>
      </c>
      <c r="G192" s="232" t="s">
        <v>794</v>
      </c>
      <c r="H192" s="232" t="s">
        <v>316</v>
      </c>
      <c r="I192" s="232">
        <v>1994</v>
      </c>
      <c r="J192" s="232"/>
      <c r="K192" s="134">
        <f t="shared" si="15"/>
        <v>25</v>
      </c>
      <c r="L192" s="232">
        <v>2009</v>
      </c>
      <c r="M192" s="234">
        <v>16927</v>
      </c>
      <c r="N192" s="235">
        <f>155*3.28084</f>
        <v>508.53019999999998</v>
      </c>
      <c r="O192" s="235">
        <v>47</v>
      </c>
      <c r="P192" s="235">
        <v>302</v>
      </c>
      <c r="Q192" s="235">
        <v>125</v>
      </c>
      <c r="R192" s="235">
        <f t="shared" si="17"/>
        <v>413.90728476821192</v>
      </c>
      <c r="S192" s="235">
        <f>ROUND(R192*CPI!$B$120/VLOOKUP($I192,CPI!$A$1:$B$122,2,FALSE)/1000,2)*1000</f>
        <v>690</v>
      </c>
      <c r="T192" s="232" t="s">
        <v>115</v>
      </c>
      <c r="U192" s="232" t="s">
        <v>248</v>
      </c>
      <c r="V192" s="232"/>
      <c r="W192" s="256" t="e">
        <f t="shared" si="18"/>
        <v>#DIV/0!</v>
      </c>
      <c r="X192" s="257"/>
      <c r="Y192" s="257"/>
      <c r="Z192" s="257"/>
      <c r="AA192" s="257"/>
      <c r="AB192" s="257"/>
      <c r="AC192" s="250">
        <f t="shared" si="16"/>
        <v>1994</v>
      </c>
      <c r="AE192" s="276"/>
      <c r="AF192" s="119"/>
      <c r="AG192" s="119"/>
      <c r="AH192" s="277"/>
      <c r="AI192" s="277"/>
      <c r="AJ192" s="277"/>
    </row>
    <row r="193" spans="2:36" ht="13.5" customHeight="1">
      <c r="B193" s="69">
        <v>1</v>
      </c>
      <c r="C193" s="69">
        <v>191</v>
      </c>
      <c r="D193" s="233" t="s">
        <v>315</v>
      </c>
      <c r="E193" s="233" t="s">
        <v>1279</v>
      </c>
      <c r="F193" s="232" t="s">
        <v>45</v>
      </c>
      <c r="G193" s="232" t="s">
        <v>202</v>
      </c>
      <c r="H193" s="232" t="s">
        <v>316</v>
      </c>
      <c r="I193" s="232">
        <v>1995</v>
      </c>
      <c r="J193" s="232"/>
      <c r="K193" s="134">
        <f t="shared" si="15"/>
        <v>24</v>
      </c>
      <c r="L193" s="232">
        <v>2016</v>
      </c>
      <c r="M193" s="234">
        <v>17235</v>
      </c>
      <c r="N193" s="235">
        <f>155*3.28084</f>
        <v>508.53019999999998</v>
      </c>
      <c r="O193" s="235">
        <v>48</v>
      </c>
      <c r="P193" s="235">
        <v>296</v>
      </c>
      <c r="Q193" s="235">
        <v>125</v>
      </c>
      <c r="R193" s="235">
        <f t="shared" si="17"/>
        <v>422.29729729729729</v>
      </c>
      <c r="S193" s="235">
        <f>ROUND(R193*CPI!$B$120/VLOOKUP($I193,CPI!$A$1:$B$122,2,FALSE)/1000,2)*1000</f>
        <v>690</v>
      </c>
      <c r="T193" s="232" t="s">
        <v>115</v>
      </c>
      <c r="U193" s="232" t="s">
        <v>248</v>
      </c>
      <c r="V193" s="232"/>
      <c r="W193" s="256" t="e">
        <f t="shared" si="18"/>
        <v>#DIV/0!</v>
      </c>
      <c r="X193" s="257"/>
      <c r="Y193" s="257"/>
      <c r="Z193" s="257"/>
      <c r="AA193" s="257"/>
      <c r="AB193" s="257"/>
      <c r="AC193" s="250">
        <f t="shared" si="16"/>
        <v>1995</v>
      </c>
      <c r="AE193" s="276"/>
      <c r="AF193" s="119"/>
      <c r="AG193" s="119"/>
      <c r="AH193" s="277"/>
      <c r="AI193" s="277"/>
      <c r="AJ193" s="277"/>
    </row>
    <row r="194" spans="2:36" ht="13.5" customHeight="1">
      <c r="B194" s="69">
        <v>1</v>
      </c>
      <c r="C194" s="69">
        <v>192</v>
      </c>
      <c r="D194" s="233" t="s">
        <v>297</v>
      </c>
      <c r="E194" s="233" t="s">
        <v>1280</v>
      </c>
      <c r="F194" s="232" t="s">
        <v>45</v>
      </c>
      <c r="G194" s="232" t="s">
        <v>202</v>
      </c>
      <c r="H194" s="232" t="s">
        <v>316</v>
      </c>
      <c r="I194" s="232">
        <v>2000</v>
      </c>
      <c r="J194" s="232"/>
      <c r="K194" s="134">
        <f t="shared" si="15"/>
        <v>19</v>
      </c>
      <c r="L194" s="232">
        <v>2009</v>
      </c>
      <c r="M194" s="234">
        <v>28258</v>
      </c>
      <c r="N194" s="235">
        <f>186*3.28084</f>
        <v>610.23623999999995</v>
      </c>
      <c r="O194" s="235">
        <v>61</v>
      </c>
      <c r="P194" s="235">
        <v>388</v>
      </c>
      <c r="Q194" s="235">
        <v>150</v>
      </c>
      <c r="R194" s="235">
        <f t="shared" si="17"/>
        <v>386.59793814432993</v>
      </c>
      <c r="S194" s="235">
        <f>ROUND(R194*CPI!$B$120/VLOOKUP($I194,CPI!$A$1:$B$122,2,FALSE)/1000,2)*1000</f>
        <v>560</v>
      </c>
      <c r="T194" s="232" t="s">
        <v>115</v>
      </c>
      <c r="U194" s="232" t="s">
        <v>248</v>
      </c>
      <c r="V194" s="232"/>
      <c r="W194" s="256" t="e">
        <f t="shared" si="18"/>
        <v>#DIV/0!</v>
      </c>
      <c r="X194" s="257"/>
      <c r="Y194" s="257"/>
      <c r="Z194" s="257"/>
      <c r="AA194" s="257"/>
      <c r="AB194" s="257"/>
      <c r="AC194" s="250">
        <f t="shared" si="16"/>
        <v>2000</v>
      </c>
      <c r="AE194" s="276"/>
      <c r="AF194" s="119"/>
      <c r="AG194" s="119"/>
      <c r="AH194" s="277"/>
      <c r="AI194" s="277"/>
      <c r="AJ194" s="277"/>
    </row>
    <row r="195" spans="2:36" ht="13.5" customHeight="1">
      <c r="B195" s="69">
        <v>1</v>
      </c>
      <c r="C195" s="69">
        <v>193</v>
      </c>
      <c r="D195" s="233" t="s">
        <v>303</v>
      </c>
      <c r="E195" s="233" t="s">
        <v>1281</v>
      </c>
      <c r="F195" s="232" t="s">
        <v>45</v>
      </c>
      <c r="G195" s="232" t="s">
        <v>202</v>
      </c>
      <c r="H195" s="232" t="s">
        <v>316</v>
      </c>
      <c r="I195" s="232">
        <v>2001</v>
      </c>
      <c r="J195" s="232"/>
      <c r="K195" s="134">
        <f t="shared" si="15"/>
        <v>18</v>
      </c>
      <c r="L195" s="232">
        <v>2016</v>
      </c>
      <c r="M195" s="234">
        <v>28258</v>
      </c>
      <c r="N195" s="235">
        <f>186*3.28084</f>
        <v>610.23623999999995</v>
      </c>
      <c r="O195" s="235">
        <v>61</v>
      </c>
      <c r="P195" s="235">
        <v>388</v>
      </c>
      <c r="Q195" s="235">
        <v>150</v>
      </c>
      <c r="R195" s="235">
        <f t="shared" si="17"/>
        <v>386.59793814432993</v>
      </c>
      <c r="S195" s="235">
        <f>ROUND(R195*CPI!$B$120/VLOOKUP($I195,CPI!$A$1:$B$122,2,FALSE)/1000,2)*1000</f>
        <v>550</v>
      </c>
      <c r="T195" s="232" t="s">
        <v>115</v>
      </c>
      <c r="U195" s="232" t="s">
        <v>248</v>
      </c>
      <c r="V195" s="232"/>
      <c r="W195" s="256" t="e">
        <f t="shared" si="18"/>
        <v>#DIV/0!</v>
      </c>
      <c r="X195" s="257"/>
      <c r="Y195" s="257"/>
      <c r="Z195" s="257"/>
      <c r="AA195" s="257"/>
      <c r="AB195" s="257"/>
      <c r="AC195" s="250">
        <f t="shared" si="16"/>
        <v>2001</v>
      </c>
      <c r="AE195" s="276"/>
      <c r="AF195" s="119"/>
      <c r="AG195" s="119"/>
      <c r="AH195" s="277"/>
      <c r="AI195" s="277"/>
      <c r="AJ195" s="277"/>
    </row>
    <row r="196" spans="2:36" ht="13.5" customHeight="1">
      <c r="B196" s="69">
        <v>1</v>
      </c>
      <c r="C196" s="69">
        <v>194</v>
      </c>
      <c r="D196" s="233" t="s">
        <v>314</v>
      </c>
      <c r="E196" s="233" t="s">
        <v>1282</v>
      </c>
      <c r="F196" s="232" t="s">
        <v>45</v>
      </c>
      <c r="G196" s="232" t="s">
        <v>202</v>
      </c>
      <c r="H196" s="232" t="s">
        <v>316</v>
      </c>
      <c r="I196" s="232">
        <v>2009</v>
      </c>
      <c r="J196" s="232"/>
      <c r="K196" s="134">
        <f t="shared" si="15"/>
        <v>10</v>
      </c>
      <c r="L196" s="232">
        <v>2017</v>
      </c>
      <c r="M196" s="234">
        <v>39519</v>
      </c>
      <c r="N196" s="235">
        <v>692</v>
      </c>
      <c r="O196" s="235">
        <v>56</v>
      </c>
      <c r="P196" s="235">
        <v>608</v>
      </c>
      <c r="Q196" s="235">
        <f>250+61.66</f>
        <v>311.65999999999997</v>
      </c>
      <c r="R196" s="235">
        <f t="shared" ref="R196:R227" si="19">Q196/P196*1000</f>
        <v>512.59868421052624</v>
      </c>
      <c r="S196" s="235">
        <f>ROUND(R196*CPI!$B$120/VLOOKUP($I196,CPI!$A$1:$B$122,2,FALSE)/1000,2)*1000</f>
        <v>590</v>
      </c>
      <c r="T196" s="232" t="s">
        <v>212</v>
      </c>
      <c r="U196" s="232" t="s">
        <v>248</v>
      </c>
      <c r="V196" s="232"/>
      <c r="W196" s="256" t="e">
        <f t="shared" si="18"/>
        <v>#DIV/0!</v>
      </c>
      <c r="X196" s="257"/>
      <c r="Y196" s="257"/>
      <c r="Z196" s="257"/>
      <c r="AA196" s="257"/>
      <c r="AB196" s="257"/>
      <c r="AC196" s="250">
        <f t="shared" si="16"/>
        <v>2009</v>
      </c>
      <c r="AE196" s="276"/>
      <c r="AF196" s="119"/>
      <c r="AG196" s="119"/>
      <c r="AH196" s="277"/>
      <c r="AI196" s="277"/>
      <c r="AJ196" s="277"/>
    </row>
    <row r="197" spans="2:36" ht="15" customHeight="1">
      <c r="B197" s="69">
        <v>1</v>
      </c>
      <c r="C197" s="69">
        <v>195</v>
      </c>
      <c r="D197" s="233" t="s">
        <v>445</v>
      </c>
      <c r="E197" s="233" t="s">
        <v>1283</v>
      </c>
      <c r="F197" s="232" t="s">
        <v>45</v>
      </c>
      <c r="G197" s="232" t="s">
        <v>202</v>
      </c>
      <c r="H197" s="232" t="s">
        <v>316</v>
      </c>
      <c r="I197" s="232">
        <v>2017</v>
      </c>
      <c r="J197" s="232"/>
      <c r="K197" s="134">
        <f t="shared" ref="K197:K260" si="20">IF(ISNUMBER(AC197),$K$1-AC197+1,"")</f>
        <v>2</v>
      </c>
      <c r="L197" s="232"/>
      <c r="M197" s="234">
        <v>40700</v>
      </c>
      <c r="N197" s="235">
        <v>699</v>
      </c>
      <c r="O197" s="235">
        <v>59</v>
      </c>
      <c r="P197" s="235">
        <v>576</v>
      </c>
      <c r="Q197" s="235">
        <v>280</v>
      </c>
      <c r="R197" s="235">
        <f t="shared" si="19"/>
        <v>486.11111111111109</v>
      </c>
      <c r="S197" s="235">
        <f>ROUND(R197*CPI!$B$120/VLOOKUP($I197,CPI!$A$1:$B$140,2,FALSE)/1000,2)*1000</f>
        <v>500</v>
      </c>
      <c r="T197" s="232" t="s">
        <v>212</v>
      </c>
      <c r="U197" s="232" t="s">
        <v>248</v>
      </c>
      <c r="V197" s="232"/>
      <c r="W197" s="256" t="e">
        <f t="shared" si="18"/>
        <v>#DIV/0!</v>
      </c>
      <c r="X197" s="257"/>
      <c r="Y197" s="257"/>
      <c r="Z197" s="257"/>
      <c r="AA197" s="257"/>
      <c r="AB197" s="257"/>
      <c r="AC197" s="250">
        <f t="shared" ref="AC197:AC260" si="21">IF(I197&lt;=$K$1,I197,"")</f>
        <v>2017</v>
      </c>
      <c r="AE197" s="276"/>
      <c r="AF197" s="119"/>
      <c r="AG197" s="119"/>
      <c r="AH197" s="277"/>
      <c r="AI197" s="277"/>
      <c r="AJ197" s="277"/>
    </row>
    <row r="198" spans="2:36" ht="15" customHeight="1">
      <c r="B198" s="69">
        <v>1</v>
      </c>
      <c r="C198" s="69">
        <v>196</v>
      </c>
      <c r="D198" s="249" t="s">
        <v>853</v>
      </c>
      <c r="E198" s="249" t="s">
        <v>1284</v>
      </c>
      <c r="F198" s="250" t="s">
        <v>45</v>
      </c>
      <c r="G198" s="250" t="s">
        <v>202</v>
      </c>
      <c r="H198" s="250" t="s">
        <v>316</v>
      </c>
      <c r="I198" s="250">
        <v>2020</v>
      </c>
      <c r="J198" s="250" t="s">
        <v>1045</v>
      </c>
      <c r="K198" s="134" t="str">
        <f t="shared" si="20"/>
        <v/>
      </c>
      <c r="L198" s="250"/>
      <c r="M198" s="251">
        <v>40700</v>
      </c>
      <c r="N198" s="252">
        <v>699</v>
      </c>
      <c r="O198" s="252">
        <v>59</v>
      </c>
      <c r="P198" s="252">
        <v>596</v>
      </c>
      <c r="Q198" s="252">
        <v>370</v>
      </c>
      <c r="R198" s="252">
        <f t="shared" si="19"/>
        <v>620.80536912751677</v>
      </c>
      <c r="S198" s="252">
        <f>ROUND(R198*CPI!$B$120/VLOOKUP($I198,CPI!$A$1:$B$140,2,FALSE)/1000,2)*1000</f>
        <v>600</v>
      </c>
      <c r="T198" s="250" t="s">
        <v>212</v>
      </c>
      <c r="U198" s="250" t="s">
        <v>248</v>
      </c>
      <c r="V198" s="250"/>
      <c r="W198" s="256"/>
      <c r="X198" s="257"/>
      <c r="Y198" s="257"/>
      <c r="Z198" s="257"/>
      <c r="AA198" s="257"/>
      <c r="AB198" s="257"/>
      <c r="AC198" s="250" t="str">
        <f t="shared" si="21"/>
        <v/>
      </c>
      <c r="AE198" s="276"/>
      <c r="AF198" s="119"/>
      <c r="AG198" s="119"/>
      <c r="AH198" s="277"/>
      <c r="AI198" s="277"/>
      <c r="AJ198" s="277"/>
    </row>
    <row r="199" spans="2:36" ht="13.5" customHeight="1">
      <c r="B199" s="69">
        <v>1</v>
      </c>
      <c r="C199" s="69">
        <v>197</v>
      </c>
      <c r="D199" s="249" t="s">
        <v>908</v>
      </c>
      <c r="E199" s="249" t="s">
        <v>1285</v>
      </c>
      <c r="F199" s="250" t="s">
        <v>45</v>
      </c>
      <c r="G199" s="250" t="s">
        <v>202</v>
      </c>
      <c r="H199" s="250" t="s">
        <v>316</v>
      </c>
      <c r="I199" s="250">
        <v>2021</v>
      </c>
      <c r="J199" s="250" t="s">
        <v>1044</v>
      </c>
      <c r="K199" s="134" t="str">
        <f t="shared" si="20"/>
        <v/>
      </c>
      <c r="L199" s="250"/>
      <c r="M199" s="251">
        <v>40700</v>
      </c>
      <c r="N199" s="252">
        <v>699</v>
      </c>
      <c r="O199" s="252">
        <v>59</v>
      </c>
      <c r="P199" s="252">
        <v>596</v>
      </c>
      <c r="Q199" s="252">
        <v>380</v>
      </c>
      <c r="R199" s="252">
        <f t="shared" si="19"/>
        <v>637.58389261744958</v>
      </c>
      <c r="S199" s="252">
        <f>ROUND(R199*CPI!$B$120/VLOOKUP($I199,CPI!$A$1:$B$140,2,FALSE)/1000,2)*1000</f>
        <v>600</v>
      </c>
      <c r="T199" s="250" t="s">
        <v>212</v>
      </c>
      <c r="U199" s="250" t="s">
        <v>248</v>
      </c>
      <c r="V199" s="250"/>
      <c r="W199" s="256"/>
      <c r="X199" s="257"/>
      <c r="Y199" s="257"/>
      <c r="Z199" s="257"/>
      <c r="AA199" s="257"/>
      <c r="AB199" s="257"/>
      <c r="AC199" s="250" t="str">
        <f t="shared" si="21"/>
        <v/>
      </c>
      <c r="AE199" s="276"/>
      <c r="AF199" s="119"/>
      <c r="AG199" s="119"/>
      <c r="AH199" s="277"/>
      <c r="AI199" s="277"/>
      <c r="AJ199" s="277"/>
    </row>
    <row r="200" spans="2:36" ht="13.5" customHeight="1">
      <c r="B200" s="69">
        <v>1</v>
      </c>
      <c r="C200" s="69">
        <v>198</v>
      </c>
      <c r="D200" s="233" t="s">
        <v>59</v>
      </c>
      <c r="E200" s="233" t="s">
        <v>1286</v>
      </c>
      <c r="F200" s="232" t="s">
        <v>63</v>
      </c>
      <c r="G200" s="232" t="s">
        <v>200</v>
      </c>
      <c r="H200" s="232" t="s">
        <v>46</v>
      </c>
      <c r="I200" s="232">
        <v>1998</v>
      </c>
      <c r="J200" s="232"/>
      <c r="K200" s="134">
        <f t="shared" si="20"/>
        <v>21</v>
      </c>
      <c r="L200" s="232">
        <v>2017</v>
      </c>
      <c r="M200" s="234">
        <v>75904</v>
      </c>
      <c r="N200" s="235">
        <f>268*3.28084</f>
        <v>879.26512000000002</v>
      </c>
      <c r="O200" s="235">
        <v>31</v>
      </c>
      <c r="P200" s="235">
        <v>2012</v>
      </c>
      <c r="Q200" s="235">
        <v>350</v>
      </c>
      <c r="R200" s="235">
        <f t="shared" si="19"/>
        <v>173.95626242544731</v>
      </c>
      <c r="S200" s="235">
        <f>ROUND(R200*CPI!$B$120/VLOOKUP($I200,CPI!$A$1:$B$122,2,FALSE)/1000,2)*1000</f>
        <v>270</v>
      </c>
      <c r="T200" s="232" t="s">
        <v>228</v>
      </c>
      <c r="U200" s="232" t="s">
        <v>238</v>
      </c>
      <c r="V200" s="232"/>
      <c r="W200" s="256" t="e">
        <f t="shared" ref="W200:W213" si="22">SUM(((X200/SUM(X200:AB200))*5),((Y200/SUM(X200:AB200))*4),((Z200/SUM(X200:AB200))*3),((AA200/SUM(X200:AB200))*2),((AB200/SUM(X200:AB200)*1)))</f>
        <v>#DIV/0!</v>
      </c>
      <c r="X200" s="257"/>
      <c r="Y200" s="257"/>
      <c r="Z200" s="257"/>
      <c r="AA200" s="257"/>
      <c r="AB200" s="257"/>
      <c r="AC200" s="250">
        <f t="shared" si="21"/>
        <v>1998</v>
      </c>
      <c r="AE200" s="276"/>
      <c r="AF200" s="119"/>
      <c r="AG200" s="119"/>
      <c r="AH200" s="277"/>
      <c r="AI200" s="277"/>
      <c r="AJ200" s="277"/>
    </row>
    <row r="201" spans="2:36" ht="13.5" customHeight="1">
      <c r="B201" s="69">
        <v>1</v>
      </c>
      <c r="C201" s="69">
        <v>199</v>
      </c>
      <c r="D201" s="233" t="s">
        <v>58</v>
      </c>
      <c r="E201" s="233" t="s">
        <v>1287</v>
      </c>
      <c r="F201" s="232" t="s">
        <v>63</v>
      </c>
      <c r="G201" s="232" t="s">
        <v>200</v>
      </c>
      <c r="H201" s="232" t="s">
        <v>46</v>
      </c>
      <c r="I201" s="232">
        <v>1999</v>
      </c>
      <c r="J201" s="232"/>
      <c r="K201" s="134">
        <f t="shared" si="20"/>
        <v>20</v>
      </c>
      <c r="L201" s="232">
        <v>2017</v>
      </c>
      <c r="M201" s="234">
        <v>77104</v>
      </c>
      <c r="N201" s="235">
        <f>258*3.28084</f>
        <v>846.45672000000002</v>
      </c>
      <c r="O201" s="235">
        <v>32</v>
      </c>
      <c r="P201" s="235">
        <v>2004</v>
      </c>
      <c r="Q201" s="235">
        <v>330</v>
      </c>
      <c r="R201" s="235">
        <f t="shared" si="19"/>
        <v>164.67065868263472</v>
      </c>
      <c r="S201" s="235">
        <f>ROUND(R201*CPI!$B$120/VLOOKUP($I201,CPI!$A$1:$B$122,2,FALSE)/1000,2)*1000</f>
        <v>240</v>
      </c>
      <c r="T201" s="232" t="s">
        <v>236</v>
      </c>
      <c r="U201" s="232" t="s">
        <v>233</v>
      </c>
      <c r="V201" s="232"/>
      <c r="W201" s="256" t="e">
        <f t="shared" si="22"/>
        <v>#DIV/0!</v>
      </c>
      <c r="X201" s="257"/>
      <c r="Y201" s="257"/>
      <c r="Z201" s="257"/>
      <c r="AA201" s="257"/>
      <c r="AB201" s="257"/>
      <c r="AC201" s="250">
        <f t="shared" si="21"/>
        <v>1999</v>
      </c>
      <c r="AE201" s="276"/>
      <c r="AF201" s="119"/>
      <c r="AG201" s="119"/>
      <c r="AH201" s="277"/>
      <c r="AI201" s="277"/>
      <c r="AJ201" s="277"/>
    </row>
    <row r="202" spans="2:36" ht="13.5" customHeight="1">
      <c r="B202" s="69">
        <v>1</v>
      </c>
      <c r="C202" s="69">
        <v>200</v>
      </c>
      <c r="D202" s="233" t="s">
        <v>56</v>
      </c>
      <c r="E202" s="233" t="s">
        <v>1288</v>
      </c>
      <c r="F202" s="232" t="s">
        <v>63</v>
      </c>
      <c r="G202" s="232" t="s">
        <v>200</v>
      </c>
      <c r="H202" s="232" t="s">
        <v>46</v>
      </c>
      <c r="I202" s="232">
        <v>2001</v>
      </c>
      <c r="J202" s="232"/>
      <c r="K202" s="134">
        <f t="shared" si="20"/>
        <v>18</v>
      </c>
      <c r="L202" s="232">
        <v>2015</v>
      </c>
      <c r="M202" s="234">
        <v>91740</v>
      </c>
      <c r="N202" s="235">
        <f>294*3.28084</f>
        <v>964.56695999999999</v>
      </c>
      <c r="O202" s="235">
        <v>33</v>
      </c>
      <c r="P202" s="235">
        <v>2344</v>
      </c>
      <c r="Q202" s="235">
        <v>400</v>
      </c>
      <c r="R202" s="235">
        <f t="shared" si="19"/>
        <v>170.64846416382255</v>
      </c>
      <c r="S202" s="235">
        <f>ROUND(R202*CPI!$B$120/VLOOKUP($I202,CPI!$A$1:$B$122,2,FALSE)/1000,2)*1000</f>
        <v>240</v>
      </c>
      <c r="T202" s="232" t="s">
        <v>228</v>
      </c>
      <c r="U202" s="232" t="s">
        <v>230</v>
      </c>
      <c r="V202" s="232"/>
      <c r="W202" s="256" t="e">
        <f t="shared" si="22"/>
        <v>#DIV/0!</v>
      </c>
      <c r="X202" s="257"/>
      <c r="Y202" s="257"/>
      <c r="Z202" s="257"/>
      <c r="AA202" s="257"/>
      <c r="AB202" s="257"/>
      <c r="AC202" s="250">
        <f t="shared" si="21"/>
        <v>2001</v>
      </c>
      <c r="AE202" s="276"/>
      <c r="AF202" s="119"/>
      <c r="AG202" s="119"/>
      <c r="AH202" s="277"/>
      <c r="AI202" s="277"/>
      <c r="AJ202" s="277"/>
    </row>
    <row r="203" spans="2:36" ht="13.5" customHeight="1">
      <c r="B203" s="69">
        <v>1</v>
      </c>
      <c r="C203" s="69">
        <v>201</v>
      </c>
      <c r="D203" s="233" t="s">
        <v>57</v>
      </c>
      <c r="E203" s="233" t="s">
        <v>1289</v>
      </c>
      <c r="F203" s="232" t="s">
        <v>63</v>
      </c>
      <c r="G203" s="232" t="s">
        <v>200</v>
      </c>
      <c r="H203" s="232" t="s">
        <v>46</v>
      </c>
      <c r="I203" s="232">
        <v>2001</v>
      </c>
      <c r="J203" s="232"/>
      <c r="K203" s="134">
        <f t="shared" si="20"/>
        <v>18</v>
      </c>
      <c r="L203" s="232">
        <v>2016</v>
      </c>
      <c r="M203" s="234">
        <v>78309</v>
      </c>
      <c r="N203" s="235">
        <f>258*3.28084</f>
        <v>846.45672000000002</v>
      </c>
      <c r="O203" s="235">
        <v>34</v>
      </c>
      <c r="P203" s="235">
        <v>1936</v>
      </c>
      <c r="Q203" s="235">
        <v>330</v>
      </c>
      <c r="R203" s="235">
        <f t="shared" si="19"/>
        <v>170.45454545454544</v>
      </c>
      <c r="S203" s="235">
        <f>ROUND(R203*CPI!$B$120/VLOOKUP($I203,CPI!$A$1:$B$122,2,FALSE)/1000,2)*1000</f>
        <v>240</v>
      </c>
      <c r="T203" s="232" t="s">
        <v>228</v>
      </c>
      <c r="U203" s="232" t="s">
        <v>233</v>
      </c>
      <c r="V203" s="232"/>
      <c r="W203" s="256" t="e">
        <f t="shared" si="22"/>
        <v>#DIV/0!</v>
      </c>
      <c r="X203" s="257"/>
      <c r="Y203" s="257"/>
      <c r="Z203" s="257"/>
      <c r="AA203" s="257"/>
      <c r="AB203" s="257"/>
      <c r="AC203" s="250">
        <f t="shared" si="21"/>
        <v>2001</v>
      </c>
      <c r="AE203" s="276"/>
      <c r="AF203" s="119"/>
      <c r="AG203" s="119"/>
      <c r="AH203" s="277"/>
      <c r="AI203" s="277"/>
      <c r="AJ203" s="277"/>
    </row>
    <row r="204" spans="2:36" ht="13.5" customHeight="1">
      <c r="B204" s="69">
        <v>1</v>
      </c>
      <c r="C204" s="69">
        <v>202</v>
      </c>
      <c r="D204" s="236" t="s">
        <v>186</v>
      </c>
      <c r="E204" s="236" t="s">
        <v>1290</v>
      </c>
      <c r="F204" s="232" t="s">
        <v>63</v>
      </c>
      <c r="G204" s="232" t="s">
        <v>200</v>
      </c>
      <c r="H204" s="232" t="s">
        <v>46</v>
      </c>
      <c r="I204" s="232">
        <v>2002</v>
      </c>
      <c r="J204" s="232"/>
      <c r="K204" s="134">
        <f t="shared" si="20"/>
        <v>17</v>
      </c>
      <c r="L204" s="232">
        <v>2016</v>
      </c>
      <c r="M204" s="234">
        <v>92250</v>
      </c>
      <c r="N204" s="235">
        <f>294*3.28084</f>
        <v>964.56695999999999</v>
      </c>
      <c r="O204" s="235">
        <v>33</v>
      </c>
      <c r="P204" s="235">
        <v>2340</v>
      </c>
      <c r="Q204" s="235">
        <v>450</v>
      </c>
      <c r="R204" s="235">
        <f t="shared" si="19"/>
        <v>192.30769230769232</v>
      </c>
      <c r="S204" s="235">
        <f>ROUND(R204*CPI!$B$120/VLOOKUP($I204,CPI!$A$1:$B$122,2,FALSE)/1000,2)*1000</f>
        <v>270</v>
      </c>
      <c r="T204" s="232" t="s">
        <v>228</v>
      </c>
      <c r="U204" s="232" t="s">
        <v>230</v>
      </c>
      <c r="V204" s="232"/>
      <c r="W204" s="256" t="e">
        <f t="shared" si="22"/>
        <v>#DIV/0!</v>
      </c>
      <c r="X204" s="257"/>
      <c r="Y204" s="257"/>
      <c r="Z204" s="257"/>
      <c r="AA204" s="257"/>
      <c r="AB204" s="257"/>
      <c r="AC204" s="250">
        <f t="shared" si="21"/>
        <v>2002</v>
      </c>
      <c r="AE204" s="276"/>
      <c r="AF204" s="119"/>
      <c r="AG204" s="119"/>
      <c r="AH204" s="277"/>
      <c r="AI204" s="277"/>
      <c r="AJ204" s="277"/>
    </row>
    <row r="205" spans="2:36" ht="13.5" customHeight="1">
      <c r="B205" s="69">
        <v>1</v>
      </c>
      <c r="C205" s="69">
        <v>203</v>
      </c>
      <c r="D205" s="233" t="s">
        <v>54</v>
      </c>
      <c r="E205" s="233" t="s">
        <v>1291</v>
      </c>
      <c r="F205" s="232" t="s">
        <v>63</v>
      </c>
      <c r="G205" s="232" t="s">
        <v>200</v>
      </c>
      <c r="H205" s="232" t="s">
        <v>46</v>
      </c>
      <c r="I205" s="232">
        <v>2005</v>
      </c>
      <c r="J205" s="232"/>
      <c r="K205" s="134">
        <f t="shared" si="20"/>
        <v>14</v>
      </c>
      <c r="L205" s="232">
        <v>2014</v>
      </c>
      <c r="M205" s="234">
        <v>93502</v>
      </c>
      <c r="N205" s="235">
        <f>294*3.28084</f>
        <v>964.56695999999999</v>
      </c>
      <c r="O205" s="235">
        <v>33</v>
      </c>
      <c r="P205" s="235">
        <v>2388</v>
      </c>
      <c r="Q205" s="235">
        <v>390</v>
      </c>
      <c r="R205" s="235">
        <f t="shared" si="19"/>
        <v>163.31658291457288</v>
      </c>
      <c r="S205" s="235">
        <f>ROUND(R205*CPI!$B$120/VLOOKUP($I205,CPI!$A$1:$B$122,2,FALSE)/1000,2)*1000</f>
        <v>210</v>
      </c>
      <c r="T205" s="232" t="s">
        <v>228</v>
      </c>
      <c r="U205" s="232" t="s">
        <v>232</v>
      </c>
      <c r="V205" s="232"/>
      <c r="W205" s="256" t="e">
        <f t="shared" si="22"/>
        <v>#DIV/0!</v>
      </c>
      <c r="X205" s="257"/>
      <c r="Y205" s="257"/>
      <c r="Z205" s="257"/>
      <c r="AA205" s="257"/>
      <c r="AB205" s="257"/>
      <c r="AC205" s="250">
        <f t="shared" si="21"/>
        <v>2005</v>
      </c>
      <c r="AE205" s="276"/>
      <c r="AF205" s="119"/>
      <c r="AG205" s="119"/>
      <c r="AH205" s="277"/>
      <c r="AI205" s="277"/>
      <c r="AJ205" s="277"/>
    </row>
    <row r="206" spans="2:36" ht="13.5" customHeight="1">
      <c r="B206" s="69">
        <v>1</v>
      </c>
      <c r="C206" s="69">
        <v>204</v>
      </c>
      <c r="D206" s="233" t="s">
        <v>55</v>
      </c>
      <c r="E206" s="233" t="s">
        <v>1292</v>
      </c>
      <c r="F206" s="232" t="s">
        <v>63</v>
      </c>
      <c r="G206" s="232" t="s">
        <v>200</v>
      </c>
      <c r="H206" s="232" t="s">
        <v>46</v>
      </c>
      <c r="I206" s="232">
        <v>2005</v>
      </c>
      <c r="J206" s="232"/>
      <c r="K206" s="134">
        <f t="shared" si="20"/>
        <v>14</v>
      </c>
      <c r="L206" s="232">
        <v>2016</v>
      </c>
      <c r="M206" s="234">
        <v>80439</v>
      </c>
      <c r="N206" s="235">
        <f>280*3.28084</f>
        <v>918.63519999999994</v>
      </c>
      <c r="O206" s="235">
        <v>31</v>
      </c>
      <c r="P206" s="235">
        <v>2192</v>
      </c>
      <c r="Q206" s="235">
        <v>450</v>
      </c>
      <c r="R206" s="235">
        <f t="shared" si="19"/>
        <v>205.29197080291971</v>
      </c>
      <c r="S206" s="235">
        <f>ROUND(R206*CPI!$B$120/VLOOKUP($I206,CPI!$A$1:$B$122,2,FALSE)/1000,2)*1000</f>
        <v>260</v>
      </c>
      <c r="T206" s="232" t="s">
        <v>228</v>
      </c>
      <c r="U206" s="232" t="s">
        <v>239</v>
      </c>
      <c r="V206" s="232"/>
      <c r="W206" s="256" t="e">
        <f t="shared" si="22"/>
        <v>#DIV/0!</v>
      </c>
      <c r="X206" s="257"/>
      <c r="Y206" s="257"/>
      <c r="Z206" s="257"/>
      <c r="AA206" s="257"/>
      <c r="AB206" s="257"/>
      <c r="AC206" s="250">
        <f t="shared" si="21"/>
        <v>2005</v>
      </c>
      <c r="AE206" s="276"/>
      <c r="AF206" s="119"/>
      <c r="AG206" s="119"/>
      <c r="AH206" s="277"/>
      <c r="AI206" s="277"/>
      <c r="AJ206" s="277"/>
    </row>
    <row r="207" spans="2:36" ht="13.5" customHeight="1">
      <c r="B207" s="69">
        <v>1</v>
      </c>
      <c r="C207" s="69">
        <v>205</v>
      </c>
      <c r="D207" s="233" t="s">
        <v>52</v>
      </c>
      <c r="E207" s="233" t="s">
        <v>1293</v>
      </c>
      <c r="F207" s="232" t="s">
        <v>63</v>
      </c>
      <c r="G207" s="232" t="s">
        <v>200</v>
      </c>
      <c r="H207" s="232" t="s">
        <v>46</v>
      </c>
      <c r="I207" s="232">
        <v>2006</v>
      </c>
      <c r="J207" s="232"/>
      <c r="K207" s="134">
        <f t="shared" si="20"/>
        <v>13</v>
      </c>
      <c r="L207" s="232">
        <v>2017</v>
      </c>
      <c r="M207" s="234">
        <v>93558</v>
      </c>
      <c r="N207" s="235">
        <f>294*3.28084</f>
        <v>964.56695999999999</v>
      </c>
      <c r="O207" s="235">
        <v>32</v>
      </c>
      <c r="P207" s="235">
        <v>2402</v>
      </c>
      <c r="Q207" s="235">
        <v>500</v>
      </c>
      <c r="R207" s="235">
        <f t="shared" si="19"/>
        <v>208.15986677768524</v>
      </c>
      <c r="S207" s="235">
        <f>ROUND(R207*CPI!$B$120/VLOOKUP($I207,CPI!$A$1:$B$122,2,FALSE)/1000,2)*1000</f>
        <v>260</v>
      </c>
      <c r="T207" s="232" t="s">
        <v>228</v>
      </c>
      <c r="U207" s="232" t="s">
        <v>232</v>
      </c>
      <c r="V207" s="232"/>
      <c r="W207" s="256" t="e">
        <f t="shared" si="22"/>
        <v>#DIV/0!</v>
      </c>
      <c r="X207" s="257"/>
      <c r="Y207" s="257"/>
      <c r="Z207" s="257"/>
      <c r="AA207" s="257"/>
      <c r="AB207" s="257"/>
      <c r="AC207" s="250">
        <f t="shared" si="21"/>
        <v>2006</v>
      </c>
      <c r="AE207" s="276"/>
      <c r="AF207" s="119"/>
      <c r="AG207" s="119"/>
      <c r="AH207" s="277"/>
      <c r="AI207" s="277"/>
      <c r="AJ207" s="277"/>
    </row>
    <row r="208" spans="2:36" ht="13.5" customHeight="1">
      <c r="B208" s="69">
        <v>1</v>
      </c>
      <c r="C208" s="69">
        <v>206</v>
      </c>
      <c r="D208" s="233" t="s">
        <v>51</v>
      </c>
      <c r="E208" s="233" t="s">
        <v>1294</v>
      </c>
      <c r="F208" s="232" t="s">
        <v>63</v>
      </c>
      <c r="G208" s="232" t="s">
        <v>200</v>
      </c>
      <c r="H208" s="232" t="s">
        <v>46</v>
      </c>
      <c r="I208" s="232">
        <v>2007</v>
      </c>
      <c r="J208" s="232"/>
      <c r="K208" s="134">
        <f t="shared" si="20"/>
        <v>12</v>
      </c>
      <c r="L208" s="232">
        <v>2015</v>
      </c>
      <c r="M208" s="234">
        <v>93530</v>
      </c>
      <c r="N208" s="235">
        <f>294*3.28084</f>
        <v>964.56695999999999</v>
      </c>
      <c r="O208" s="235">
        <v>33</v>
      </c>
      <c r="P208" s="235">
        <v>2394</v>
      </c>
      <c r="Q208" s="235">
        <v>700</v>
      </c>
      <c r="R208" s="235">
        <f t="shared" si="19"/>
        <v>292.39766081871346</v>
      </c>
      <c r="S208" s="235">
        <f>ROUND(R208*CPI!$B$120/VLOOKUP($I208,CPI!$A$1:$B$122,2,FALSE)/1000,2)*1000</f>
        <v>350</v>
      </c>
      <c r="T208" s="232" t="s">
        <v>228</v>
      </c>
      <c r="U208" s="232" t="s">
        <v>232</v>
      </c>
      <c r="V208" s="232"/>
      <c r="W208" s="256" t="e">
        <f t="shared" si="22"/>
        <v>#DIV/0!</v>
      </c>
      <c r="X208" s="257"/>
      <c r="Y208" s="257"/>
      <c r="Z208" s="257"/>
      <c r="AA208" s="257"/>
      <c r="AB208" s="257"/>
      <c r="AC208" s="250">
        <f t="shared" si="21"/>
        <v>2007</v>
      </c>
      <c r="AE208" s="276"/>
      <c r="AF208" s="119"/>
      <c r="AG208" s="119"/>
      <c r="AH208" s="277"/>
      <c r="AI208" s="277"/>
      <c r="AJ208" s="277"/>
    </row>
    <row r="209" spans="2:36" ht="13.5" customHeight="1">
      <c r="B209" s="69">
        <v>1</v>
      </c>
      <c r="C209" s="69">
        <v>207</v>
      </c>
      <c r="D209" s="233" t="s">
        <v>53</v>
      </c>
      <c r="E209" s="233" t="s">
        <v>1295</v>
      </c>
      <c r="F209" s="232" t="s">
        <v>63</v>
      </c>
      <c r="G209" s="232" t="s">
        <v>200</v>
      </c>
      <c r="H209" s="232" t="s">
        <v>46</v>
      </c>
      <c r="I209" s="232">
        <v>2007</v>
      </c>
      <c r="J209" s="232"/>
      <c r="K209" s="134">
        <f t="shared" si="20"/>
        <v>12</v>
      </c>
      <c r="L209" s="232">
        <v>2017</v>
      </c>
      <c r="M209" s="234">
        <v>93530</v>
      </c>
      <c r="N209" s="235">
        <f>294*3.28084</f>
        <v>964.56695999999999</v>
      </c>
      <c r="O209" s="235">
        <v>33</v>
      </c>
      <c r="P209" s="235">
        <v>2394</v>
      </c>
      <c r="Q209" s="235">
        <v>390</v>
      </c>
      <c r="R209" s="235">
        <f t="shared" si="19"/>
        <v>162.90726817042605</v>
      </c>
      <c r="S209" s="235">
        <f>ROUND(R209*CPI!$B$120/VLOOKUP($I209,CPI!$A$1:$B$122,2,FALSE)/1000,2)*1000</f>
        <v>190</v>
      </c>
      <c r="T209" s="232" t="s">
        <v>228</v>
      </c>
      <c r="U209" s="232" t="s">
        <v>232</v>
      </c>
      <c r="V209" s="232"/>
      <c r="W209" s="256" t="e">
        <f t="shared" si="22"/>
        <v>#DIV/0!</v>
      </c>
      <c r="X209" s="257"/>
      <c r="Y209" s="257"/>
      <c r="Z209" s="257"/>
      <c r="AA209" s="257"/>
      <c r="AB209" s="257"/>
      <c r="AC209" s="250">
        <f t="shared" si="21"/>
        <v>2007</v>
      </c>
      <c r="AE209" s="276"/>
      <c r="AF209" s="119"/>
      <c r="AG209" s="119"/>
      <c r="AH209" s="277"/>
      <c r="AI209" s="277"/>
      <c r="AJ209" s="277"/>
    </row>
    <row r="210" spans="2:36" ht="13.5" customHeight="1">
      <c r="B210" s="69">
        <v>1</v>
      </c>
      <c r="C210" s="69">
        <v>208</v>
      </c>
      <c r="D210" s="233" t="s">
        <v>50</v>
      </c>
      <c r="E210" s="233" t="s">
        <v>1296</v>
      </c>
      <c r="F210" s="232" t="s">
        <v>63</v>
      </c>
      <c r="G210" s="232" t="s">
        <v>200</v>
      </c>
      <c r="H210" s="232" t="s">
        <v>46</v>
      </c>
      <c r="I210" s="232">
        <v>2010</v>
      </c>
      <c r="J210" s="232"/>
      <c r="K210" s="134">
        <f t="shared" si="20"/>
        <v>9</v>
      </c>
      <c r="L210" s="232">
        <v>2015</v>
      </c>
      <c r="M210" s="234">
        <v>155873</v>
      </c>
      <c r="N210" s="235">
        <f>329*3.28084</f>
        <v>1079.39636</v>
      </c>
      <c r="O210" s="235">
        <v>31</v>
      </c>
      <c r="P210" s="235">
        <v>4228</v>
      </c>
      <c r="Q210" s="235">
        <v>1200</v>
      </c>
      <c r="R210" s="235">
        <f t="shared" si="19"/>
        <v>283.82213812677389</v>
      </c>
      <c r="S210" s="235">
        <f>ROUND(R210*CPI!$B$120/VLOOKUP($I210,CPI!$A$1:$B$122,2,FALSE)/1000,2)*1000</f>
        <v>320</v>
      </c>
      <c r="T210" s="232" t="s">
        <v>235</v>
      </c>
      <c r="U210" s="232" t="s">
        <v>231</v>
      </c>
      <c r="V210" s="232"/>
      <c r="W210" s="256" t="e">
        <f t="shared" si="22"/>
        <v>#DIV/0!</v>
      </c>
      <c r="X210" s="257"/>
      <c r="Y210" s="257"/>
      <c r="Z210" s="257"/>
      <c r="AA210" s="257"/>
      <c r="AB210" s="257"/>
      <c r="AC210" s="250">
        <f t="shared" si="21"/>
        <v>2010</v>
      </c>
      <c r="AE210" s="276"/>
      <c r="AF210" s="119"/>
      <c r="AG210" s="119"/>
      <c r="AH210" s="277"/>
      <c r="AI210" s="277"/>
      <c r="AJ210" s="277"/>
    </row>
    <row r="211" spans="2:36" ht="13.5" customHeight="1">
      <c r="B211" s="69">
        <v>1</v>
      </c>
      <c r="C211" s="69">
        <v>209</v>
      </c>
      <c r="D211" s="233" t="s">
        <v>49</v>
      </c>
      <c r="E211" s="233" t="s">
        <v>1297</v>
      </c>
      <c r="F211" s="232" t="s">
        <v>63</v>
      </c>
      <c r="G211" s="232" t="s">
        <v>200</v>
      </c>
      <c r="H211" s="232" t="s">
        <v>46</v>
      </c>
      <c r="I211" s="232">
        <v>2013</v>
      </c>
      <c r="J211" s="232"/>
      <c r="K211" s="134">
        <f t="shared" si="20"/>
        <v>6</v>
      </c>
      <c r="L211" s="232"/>
      <c r="M211" s="234">
        <v>145655</v>
      </c>
      <c r="N211" s="235">
        <f>326*3.28084</f>
        <v>1069.55384</v>
      </c>
      <c r="O211" s="235">
        <v>30</v>
      </c>
      <c r="P211" s="235">
        <v>3957</v>
      </c>
      <c r="Q211" s="235">
        <v>840</v>
      </c>
      <c r="R211" s="235">
        <f t="shared" si="19"/>
        <v>212.28203184230478</v>
      </c>
      <c r="S211" s="235">
        <f>ROUND(R211*CPI!$B$120/VLOOKUP($I211,CPI!$A$1:$B$122,2,FALSE)/1000,2)*1000</f>
        <v>230</v>
      </c>
      <c r="T211" s="232" t="s">
        <v>228</v>
      </c>
      <c r="U211" s="232" t="s">
        <v>229</v>
      </c>
      <c r="V211" s="232"/>
      <c r="W211" s="256" t="e">
        <f t="shared" si="22"/>
        <v>#DIV/0!</v>
      </c>
      <c r="X211" s="257"/>
      <c r="Y211" s="257"/>
      <c r="Z211" s="257"/>
      <c r="AA211" s="257"/>
      <c r="AB211" s="257"/>
      <c r="AC211" s="250">
        <f t="shared" si="21"/>
        <v>2013</v>
      </c>
      <c r="AE211" s="276"/>
      <c r="AF211" s="119"/>
      <c r="AG211" s="119"/>
      <c r="AH211" s="277"/>
      <c r="AI211" s="277"/>
      <c r="AJ211" s="277"/>
    </row>
    <row r="212" spans="2:36" ht="13.5" customHeight="1">
      <c r="B212" s="69">
        <v>1</v>
      </c>
      <c r="C212" s="69">
        <v>210</v>
      </c>
      <c r="D212" s="233" t="s">
        <v>48</v>
      </c>
      <c r="E212" s="233" t="s">
        <v>1298</v>
      </c>
      <c r="F212" s="232" t="s">
        <v>63</v>
      </c>
      <c r="G212" s="232" t="s">
        <v>200</v>
      </c>
      <c r="H212" s="232" t="s">
        <v>46</v>
      </c>
      <c r="I212" s="232">
        <v>2014</v>
      </c>
      <c r="J212" s="232"/>
      <c r="K212" s="134">
        <f t="shared" si="20"/>
        <v>5</v>
      </c>
      <c r="L212" s="232"/>
      <c r="M212" s="234">
        <v>146600</v>
      </c>
      <c r="N212" s="235">
        <f>326*3.28084</f>
        <v>1069.55384</v>
      </c>
      <c r="O212" s="235">
        <v>30</v>
      </c>
      <c r="P212" s="235">
        <v>3957</v>
      </c>
      <c r="Q212" s="235">
        <v>840</v>
      </c>
      <c r="R212" s="235">
        <f t="shared" si="19"/>
        <v>212.28203184230478</v>
      </c>
      <c r="S212" s="235">
        <f>ROUND(R212*CPI!$B$120/VLOOKUP($I212,CPI!$A$1:$B$122,2,FALSE)/1000,2)*1000</f>
        <v>230</v>
      </c>
      <c r="T212" s="232" t="s">
        <v>228</v>
      </c>
      <c r="U212" s="232" t="s">
        <v>229</v>
      </c>
      <c r="V212" s="232"/>
      <c r="W212" s="256" t="e">
        <f t="shared" si="22"/>
        <v>#DIV/0!</v>
      </c>
      <c r="X212" s="257"/>
      <c r="Y212" s="257"/>
      <c r="Z212" s="257"/>
      <c r="AA212" s="257"/>
      <c r="AB212" s="257"/>
      <c r="AC212" s="250">
        <f t="shared" si="21"/>
        <v>2014</v>
      </c>
      <c r="AE212" s="276"/>
      <c r="AF212" s="119"/>
      <c r="AG212" s="119"/>
      <c r="AH212" s="277"/>
      <c r="AI212" s="277"/>
      <c r="AJ212" s="277"/>
    </row>
    <row r="213" spans="2:36" ht="13.5" customHeight="1">
      <c r="B213" s="69">
        <v>1</v>
      </c>
      <c r="C213" s="69">
        <v>211</v>
      </c>
      <c r="D213" s="233" t="s">
        <v>47</v>
      </c>
      <c r="E213" s="233" t="s">
        <v>1299</v>
      </c>
      <c r="F213" s="232" t="s">
        <v>63</v>
      </c>
      <c r="G213" s="232" t="s">
        <v>200</v>
      </c>
      <c r="H213" s="232" t="s">
        <v>46</v>
      </c>
      <c r="I213" s="232">
        <v>2015</v>
      </c>
      <c r="J213" s="232"/>
      <c r="K213" s="134">
        <f t="shared" si="20"/>
        <v>4</v>
      </c>
      <c r="L213" s="232"/>
      <c r="M213" s="234">
        <v>163000</v>
      </c>
      <c r="N213" s="235">
        <f>324*3.28084</f>
        <v>1062.99216</v>
      </c>
      <c r="O213" s="235">
        <v>32</v>
      </c>
      <c r="P213" s="235">
        <v>4266</v>
      </c>
      <c r="Q213" s="235">
        <v>920</v>
      </c>
      <c r="R213" s="235">
        <f t="shared" si="19"/>
        <v>215.6586966713549</v>
      </c>
      <c r="S213" s="235">
        <f>ROUND(R213*CPI!$B$120/VLOOKUP($I213,CPI!$A$1:$B$122,2,FALSE)/1000,2)*1000</f>
        <v>230</v>
      </c>
      <c r="T213" s="232" t="s">
        <v>228</v>
      </c>
      <c r="U213" s="232" t="s">
        <v>66</v>
      </c>
      <c r="V213" s="232"/>
      <c r="W213" s="256" t="e">
        <f t="shared" si="22"/>
        <v>#DIV/0!</v>
      </c>
      <c r="X213" s="257"/>
      <c r="Y213" s="257"/>
      <c r="Z213" s="257"/>
      <c r="AA213" s="257"/>
      <c r="AB213" s="257"/>
      <c r="AC213" s="250">
        <f t="shared" si="21"/>
        <v>2015</v>
      </c>
      <c r="AE213" s="276"/>
      <c r="AF213" s="119"/>
      <c r="AG213" s="119"/>
      <c r="AH213" s="277"/>
      <c r="AI213" s="277"/>
      <c r="AJ213" s="277"/>
    </row>
    <row r="214" spans="2:36" ht="13.5" customHeight="1">
      <c r="B214" s="69">
        <v>1</v>
      </c>
      <c r="C214" s="69">
        <v>212</v>
      </c>
      <c r="D214" s="233" t="s">
        <v>187</v>
      </c>
      <c r="E214" s="233" t="s">
        <v>1300</v>
      </c>
      <c r="F214" s="232" t="s">
        <v>63</v>
      </c>
      <c r="G214" s="232" t="s">
        <v>200</v>
      </c>
      <c r="H214" s="232" t="s">
        <v>46</v>
      </c>
      <c r="I214" s="232">
        <v>2017</v>
      </c>
      <c r="J214" s="232"/>
      <c r="K214" s="134">
        <f t="shared" si="20"/>
        <v>2</v>
      </c>
      <c r="L214" s="232"/>
      <c r="M214" s="234">
        <v>167400</v>
      </c>
      <c r="N214" s="235">
        <v>1070</v>
      </c>
      <c r="O214" s="235">
        <v>39</v>
      </c>
      <c r="P214" s="235">
        <v>4250</v>
      </c>
      <c r="Q214" s="235">
        <v>920</v>
      </c>
      <c r="R214" s="235">
        <f t="shared" si="19"/>
        <v>216.47058823529412</v>
      </c>
      <c r="S214" s="235">
        <f>ROUND(R214*CPI!$B$120/VLOOKUP($I214,CPI!$A$1:$B$140,2,FALSE)/1000,2)*1000</f>
        <v>220</v>
      </c>
      <c r="T214" s="232" t="s">
        <v>228</v>
      </c>
      <c r="U214" s="232" t="s">
        <v>66</v>
      </c>
      <c r="V214" s="232"/>
      <c r="W214" s="256"/>
      <c r="X214" s="257"/>
      <c r="Y214" s="257"/>
      <c r="Z214" s="257"/>
      <c r="AA214" s="257"/>
      <c r="AB214" s="257"/>
      <c r="AC214" s="250">
        <f t="shared" si="21"/>
        <v>2017</v>
      </c>
      <c r="AE214" s="276"/>
      <c r="AF214" s="119"/>
      <c r="AG214" s="119"/>
      <c r="AH214" s="277"/>
      <c r="AI214" s="277"/>
      <c r="AJ214" s="277"/>
    </row>
    <row r="215" spans="2:36" ht="13.5" customHeight="1">
      <c r="B215" s="69">
        <v>1</v>
      </c>
      <c r="C215" s="69">
        <v>213</v>
      </c>
      <c r="D215" s="249" t="s">
        <v>738</v>
      </c>
      <c r="E215" s="249" t="s">
        <v>1301</v>
      </c>
      <c r="F215" s="250" t="s">
        <v>63</v>
      </c>
      <c r="G215" s="250" t="s">
        <v>200</v>
      </c>
      <c r="H215" s="250" t="s">
        <v>46</v>
      </c>
      <c r="I215" s="250">
        <v>2018</v>
      </c>
      <c r="J215" s="250" t="s">
        <v>1045</v>
      </c>
      <c r="K215" s="134">
        <f t="shared" si="20"/>
        <v>1</v>
      </c>
      <c r="L215" s="250"/>
      <c r="M215" s="251">
        <v>164600</v>
      </c>
      <c r="N215" s="252">
        <v>1070</v>
      </c>
      <c r="O215" s="252">
        <v>32</v>
      </c>
      <c r="P215" s="252">
        <v>4200</v>
      </c>
      <c r="Q215" s="252">
        <v>1100</v>
      </c>
      <c r="R215" s="252">
        <f t="shared" si="19"/>
        <v>261.90476190476193</v>
      </c>
      <c r="S215" s="252">
        <f>ROUND(R215*CPI!$B$120/VLOOKUP($I215,CPI!$A$1:$B$140,2,FALSE)/1000,2)*1000</f>
        <v>260</v>
      </c>
      <c r="T215" s="250" t="s">
        <v>228</v>
      </c>
      <c r="U215" s="250" t="s">
        <v>66</v>
      </c>
      <c r="V215" s="250"/>
      <c r="W215" s="256"/>
      <c r="X215" s="258"/>
      <c r="Y215" s="258"/>
      <c r="Z215" s="258"/>
      <c r="AA215" s="258"/>
      <c r="AB215" s="258"/>
      <c r="AC215" s="250">
        <f t="shared" si="21"/>
        <v>2018</v>
      </c>
      <c r="AE215" s="276"/>
      <c r="AF215" s="119"/>
      <c r="AG215" s="119"/>
      <c r="AH215" s="277"/>
      <c r="AI215" s="277"/>
      <c r="AJ215" s="277"/>
    </row>
    <row r="216" spans="2:36" ht="13.5" customHeight="1">
      <c r="B216" s="69">
        <v>1</v>
      </c>
      <c r="C216" s="69">
        <v>214</v>
      </c>
      <c r="D216" s="249" t="s">
        <v>915</v>
      </c>
      <c r="E216" s="249" t="s">
        <v>1302</v>
      </c>
      <c r="F216" s="250" t="s">
        <v>63</v>
      </c>
      <c r="G216" s="250" t="s">
        <v>200</v>
      </c>
      <c r="H216" s="250" t="s">
        <v>46</v>
      </c>
      <c r="I216" s="250">
        <v>2019</v>
      </c>
      <c r="J216" s="250" t="s">
        <v>1044</v>
      </c>
      <c r="K216" s="134" t="str">
        <f t="shared" si="20"/>
        <v/>
      </c>
      <c r="L216" s="250"/>
      <c r="M216" s="251">
        <v>164600</v>
      </c>
      <c r="N216" s="252">
        <v>1070</v>
      </c>
      <c r="O216" s="252">
        <v>39</v>
      </c>
      <c r="P216" s="252">
        <v>4200</v>
      </c>
      <c r="Q216" s="252">
        <v>1100</v>
      </c>
      <c r="R216" s="252">
        <f t="shared" si="19"/>
        <v>261.90476190476193</v>
      </c>
      <c r="S216" s="252">
        <f>ROUND(R216*CPI!$B$120/VLOOKUP($I216,CPI!$A$1:$B$140,2,FALSE)/1000,2)*1000</f>
        <v>260</v>
      </c>
      <c r="T216" s="250" t="s">
        <v>228</v>
      </c>
      <c r="U216" s="250" t="s">
        <v>66</v>
      </c>
      <c r="V216" s="250"/>
      <c r="W216" s="256"/>
      <c r="X216" s="258"/>
      <c r="Y216" s="258"/>
      <c r="Z216" s="258"/>
      <c r="AA216" s="258"/>
      <c r="AB216" s="258"/>
      <c r="AC216" s="250" t="str">
        <f t="shared" si="21"/>
        <v/>
      </c>
      <c r="AE216" s="276">
        <v>43771</v>
      </c>
      <c r="AF216" s="119" t="s">
        <v>1078</v>
      </c>
      <c r="AG216" s="119" t="s">
        <v>1079</v>
      </c>
      <c r="AH216" s="277">
        <v>1199</v>
      </c>
      <c r="AI216" s="277">
        <v>11</v>
      </c>
      <c r="AJ216" s="277">
        <f>AH216/AI216</f>
        <v>109</v>
      </c>
    </row>
    <row r="217" spans="2:36" ht="13.5" customHeight="1">
      <c r="B217" s="69">
        <v>1</v>
      </c>
      <c r="C217" s="69">
        <v>215</v>
      </c>
      <c r="D217" s="249" t="s">
        <v>768</v>
      </c>
      <c r="E217" s="249" t="s">
        <v>1303</v>
      </c>
      <c r="F217" s="250" t="s">
        <v>63</v>
      </c>
      <c r="G217" s="250" t="s">
        <v>200</v>
      </c>
      <c r="H217" s="250" t="s">
        <v>46</v>
      </c>
      <c r="I217" s="250">
        <v>2022</v>
      </c>
      <c r="J217" s="274" t="s">
        <v>1043</v>
      </c>
      <c r="K217" s="134" t="str">
        <f t="shared" si="20"/>
        <v/>
      </c>
      <c r="L217" s="250"/>
      <c r="M217" s="251">
        <v>140000</v>
      </c>
      <c r="N217" s="252"/>
      <c r="O217" s="252">
        <f>M217/P217</f>
        <v>42.424242424242422</v>
      </c>
      <c r="P217" s="252">
        <v>3300</v>
      </c>
      <c r="Q217" s="252">
        <v>850</v>
      </c>
      <c r="R217" s="252">
        <f t="shared" si="19"/>
        <v>257.57575757575756</v>
      </c>
      <c r="S217" s="252">
        <f>ROUND(R217*CPI!$B$120/VLOOKUP($I217,CPI!$A$1:$B$140,2,FALSE)/1000,2)*1000</f>
        <v>240</v>
      </c>
      <c r="T217" s="250" t="s">
        <v>228</v>
      </c>
      <c r="U217" s="250" t="s">
        <v>1058</v>
      </c>
      <c r="V217" s="250"/>
      <c r="W217" s="256"/>
      <c r="X217" s="258"/>
      <c r="Y217" s="258"/>
      <c r="Z217" s="258"/>
      <c r="AA217" s="258"/>
      <c r="AB217" s="258"/>
      <c r="AC217" s="250" t="str">
        <f t="shared" si="21"/>
        <v/>
      </c>
      <c r="AE217" s="276"/>
      <c r="AF217" s="119"/>
      <c r="AG217" s="119"/>
      <c r="AH217" s="277"/>
      <c r="AI217" s="277"/>
      <c r="AJ217" s="277"/>
    </row>
    <row r="218" spans="2:36" ht="13.5" customHeight="1">
      <c r="B218" s="69">
        <v>1</v>
      </c>
      <c r="C218" s="69">
        <v>216</v>
      </c>
      <c r="D218" s="249" t="s">
        <v>769</v>
      </c>
      <c r="E218" s="249" t="s">
        <v>1304</v>
      </c>
      <c r="F218" s="250" t="s">
        <v>63</v>
      </c>
      <c r="G218" s="250" t="s">
        <v>200</v>
      </c>
      <c r="H218" s="250" t="s">
        <v>46</v>
      </c>
      <c r="I218" s="250">
        <v>2023</v>
      </c>
      <c r="J218" s="274" t="s">
        <v>1043</v>
      </c>
      <c r="K218" s="134" t="str">
        <f t="shared" si="20"/>
        <v/>
      </c>
      <c r="L218" s="250"/>
      <c r="M218" s="251">
        <v>140000</v>
      </c>
      <c r="N218" s="252"/>
      <c r="O218" s="252">
        <f>M218/P218</f>
        <v>42.424242424242422</v>
      </c>
      <c r="P218" s="252">
        <v>3300</v>
      </c>
      <c r="Q218" s="252">
        <v>850</v>
      </c>
      <c r="R218" s="252">
        <f t="shared" si="19"/>
        <v>257.57575757575756</v>
      </c>
      <c r="S218" s="252">
        <f>ROUND(R218*CPI!$B$120/VLOOKUP($I218,CPI!$A$1:$B$140,2,FALSE)/1000,2)*1000</f>
        <v>230</v>
      </c>
      <c r="T218" s="250" t="s">
        <v>228</v>
      </c>
      <c r="U218" s="250" t="s">
        <v>1058</v>
      </c>
      <c r="V218" s="250"/>
      <c r="W218" s="256"/>
      <c r="X218" s="258"/>
      <c r="Y218" s="258"/>
      <c r="Z218" s="258"/>
      <c r="AA218" s="258"/>
      <c r="AB218" s="258"/>
      <c r="AC218" s="250" t="str">
        <f t="shared" si="21"/>
        <v/>
      </c>
      <c r="AE218" s="276"/>
      <c r="AF218" s="119"/>
      <c r="AG218" s="119"/>
      <c r="AH218" s="277"/>
      <c r="AI218" s="277"/>
      <c r="AJ218" s="277"/>
    </row>
    <row r="219" spans="2:36" ht="13.5" customHeight="1">
      <c r="B219" s="69">
        <v>1</v>
      </c>
      <c r="C219" s="69">
        <v>217</v>
      </c>
      <c r="D219" s="249" t="s">
        <v>770</v>
      </c>
      <c r="E219" s="249" t="s">
        <v>1305</v>
      </c>
      <c r="F219" s="250" t="s">
        <v>63</v>
      </c>
      <c r="G219" s="250" t="s">
        <v>200</v>
      </c>
      <c r="H219" s="250" t="s">
        <v>46</v>
      </c>
      <c r="I219" s="250">
        <v>2024</v>
      </c>
      <c r="J219" s="274" t="s">
        <v>1043</v>
      </c>
      <c r="K219" s="134" t="str">
        <f t="shared" si="20"/>
        <v/>
      </c>
      <c r="L219" s="250"/>
      <c r="M219" s="251">
        <v>140000</v>
      </c>
      <c r="N219" s="252"/>
      <c r="O219" s="252">
        <f>M219/P219</f>
        <v>42.424242424242422</v>
      </c>
      <c r="P219" s="252">
        <v>3300</v>
      </c>
      <c r="Q219" s="252">
        <v>850</v>
      </c>
      <c r="R219" s="252">
        <f t="shared" si="19"/>
        <v>257.57575757575756</v>
      </c>
      <c r="S219" s="252">
        <f>ROUND(R219*CPI!$B$120/VLOOKUP($I219,CPI!$A$1:$B$140,2,FALSE)/1000,2)*1000</f>
        <v>230</v>
      </c>
      <c r="T219" s="250" t="s">
        <v>228</v>
      </c>
      <c r="U219" s="250" t="s">
        <v>1058</v>
      </c>
      <c r="V219" s="250"/>
      <c r="W219" s="256"/>
      <c r="X219" s="258"/>
      <c r="Y219" s="258"/>
      <c r="Z219" s="258"/>
      <c r="AA219" s="258"/>
      <c r="AB219" s="258"/>
      <c r="AC219" s="250" t="str">
        <f t="shared" si="21"/>
        <v/>
      </c>
      <c r="AE219" s="276"/>
      <c r="AF219" s="119"/>
      <c r="AG219" s="119"/>
      <c r="AH219" s="277"/>
      <c r="AI219" s="277"/>
      <c r="AJ219" s="277"/>
    </row>
    <row r="220" spans="2:36" ht="13.5" customHeight="1">
      <c r="B220" s="69">
        <v>1</v>
      </c>
      <c r="C220" s="69">
        <v>218</v>
      </c>
      <c r="D220" s="249" t="s">
        <v>771</v>
      </c>
      <c r="E220" s="249" t="s">
        <v>1306</v>
      </c>
      <c r="F220" s="250" t="s">
        <v>63</v>
      </c>
      <c r="G220" s="250" t="s">
        <v>200</v>
      </c>
      <c r="H220" s="250" t="s">
        <v>46</v>
      </c>
      <c r="I220" s="250">
        <v>2025</v>
      </c>
      <c r="J220" s="274" t="s">
        <v>1043</v>
      </c>
      <c r="K220" s="134" t="str">
        <f t="shared" si="20"/>
        <v/>
      </c>
      <c r="L220" s="250"/>
      <c r="M220" s="251">
        <v>140000</v>
      </c>
      <c r="N220" s="252"/>
      <c r="O220" s="252">
        <f>M220/P220</f>
        <v>42.424242424242422</v>
      </c>
      <c r="P220" s="252">
        <v>3300</v>
      </c>
      <c r="Q220" s="252">
        <v>850</v>
      </c>
      <c r="R220" s="252">
        <f t="shared" si="19"/>
        <v>257.57575757575756</v>
      </c>
      <c r="S220" s="252">
        <f>ROUND(R220*CPI!$B$120/VLOOKUP($I220,CPI!$A$1:$B$140,2,FALSE)/1000,2)*1000</f>
        <v>220</v>
      </c>
      <c r="T220" s="250" t="s">
        <v>228</v>
      </c>
      <c r="U220" s="250" t="s">
        <v>1058</v>
      </c>
      <c r="V220" s="250"/>
      <c r="W220" s="256"/>
      <c r="X220" s="258"/>
      <c r="Y220" s="258"/>
      <c r="Z220" s="258"/>
      <c r="AA220" s="258"/>
      <c r="AB220" s="258"/>
      <c r="AC220" s="250" t="str">
        <f t="shared" si="21"/>
        <v/>
      </c>
      <c r="AE220" s="276"/>
      <c r="AF220" s="119"/>
      <c r="AG220" s="119"/>
      <c r="AH220" s="277"/>
      <c r="AI220" s="277"/>
      <c r="AJ220" s="277"/>
    </row>
    <row r="221" spans="2:36" ht="13.5" customHeight="1">
      <c r="B221" s="69">
        <v>1</v>
      </c>
      <c r="C221" s="69">
        <v>219</v>
      </c>
      <c r="D221" s="233" t="s">
        <v>519</v>
      </c>
      <c r="E221" s="295" t="s">
        <v>1497</v>
      </c>
      <c r="F221" s="232" t="s">
        <v>63</v>
      </c>
      <c r="G221" s="232" t="s">
        <v>201</v>
      </c>
      <c r="H221" s="232" t="s">
        <v>196</v>
      </c>
      <c r="I221" s="232">
        <v>1998</v>
      </c>
      <c r="J221" s="232"/>
      <c r="K221" s="134">
        <f t="shared" si="20"/>
        <v>21</v>
      </c>
      <c r="L221" s="232">
        <v>2014</v>
      </c>
      <c r="M221" s="234">
        <v>30277</v>
      </c>
      <c r="N221" s="235">
        <f>181*3.28084</f>
        <v>593.83204000000001</v>
      </c>
      <c r="O221" s="235">
        <v>38</v>
      </c>
      <c r="P221" s="235">
        <v>698</v>
      </c>
      <c r="Q221" s="235">
        <v>200</v>
      </c>
      <c r="R221" s="235">
        <f t="shared" si="19"/>
        <v>286.53295128939828</v>
      </c>
      <c r="S221" s="235">
        <f>ROUND(R221*CPI!$B$120/VLOOKUP($I221,CPI!$A$1:$B$122,2,FALSE)/1000,2)*1000</f>
        <v>440</v>
      </c>
      <c r="T221" s="232" t="s">
        <v>241</v>
      </c>
      <c r="U221" s="232" t="s">
        <v>240</v>
      </c>
      <c r="V221" s="232"/>
      <c r="W221" s="256" t="e">
        <f t="shared" ref="W221:W230" si="23">SUM(((X221/SUM(X221:AB221))*5),((Y221/SUM(X221:AB221))*4),((Z221/SUM(X221:AB221))*3),((AA221/SUM(X221:AB221))*2),((AB221/SUM(X221:AB221)*1)))</f>
        <v>#DIV/0!</v>
      </c>
      <c r="X221" s="257"/>
      <c r="Y221" s="257"/>
      <c r="Z221" s="257"/>
      <c r="AA221" s="257"/>
      <c r="AB221" s="257"/>
      <c r="AC221" s="250">
        <f t="shared" si="21"/>
        <v>1998</v>
      </c>
      <c r="AE221" s="276"/>
      <c r="AF221" s="119"/>
      <c r="AG221" s="119"/>
      <c r="AH221" s="277"/>
      <c r="AI221" s="277"/>
      <c r="AJ221" s="277"/>
    </row>
    <row r="222" spans="2:36" ht="13.5" customHeight="1">
      <c r="B222" s="69">
        <v>1</v>
      </c>
      <c r="C222" s="69">
        <v>220</v>
      </c>
      <c r="D222" s="233" t="s">
        <v>522</v>
      </c>
      <c r="E222" s="295" t="s">
        <v>1499</v>
      </c>
      <c r="F222" s="232" t="s">
        <v>63</v>
      </c>
      <c r="G222" s="232" t="s">
        <v>201</v>
      </c>
      <c r="H222" s="232" t="s">
        <v>196</v>
      </c>
      <c r="I222" s="232">
        <v>2000</v>
      </c>
      <c r="J222" s="232"/>
      <c r="K222" s="134">
        <f t="shared" si="20"/>
        <v>19</v>
      </c>
      <c r="L222" s="232">
        <v>2014</v>
      </c>
      <c r="M222" s="234">
        <v>30277</v>
      </c>
      <c r="N222" s="235">
        <f>181*3.28084</f>
        <v>593.83204000000001</v>
      </c>
      <c r="O222" s="235">
        <v>38</v>
      </c>
      <c r="P222" s="235">
        <v>698</v>
      </c>
      <c r="Q222" s="235">
        <v>200</v>
      </c>
      <c r="R222" s="235">
        <f t="shared" si="19"/>
        <v>286.53295128939828</v>
      </c>
      <c r="S222" s="235">
        <f>ROUND(R222*CPI!$B$120/VLOOKUP($I222,CPI!$A$1:$B$122,2,FALSE)/1000,2)*1000</f>
        <v>410</v>
      </c>
      <c r="T222" s="232" t="s">
        <v>241</v>
      </c>
      <c r="U222" s="232" t="s">
        <v>240</v>
      </c>
      <c r="V222" s="232"/>
      <c r="W222" s="256" t="e">
        <f t="shared" si="23"/>
        <v>#DIV/0!</v>
      </c>
      <c r="X222" s="257"/>
      <c r="Y222" s="257"/>
      <c r="Z222" s="257"/>
      <c r="AA222" s="257"/>
      <c r="AB222" s="257"/>
      <c r="AC222" s="250">
        <f t="shared" si="21"/>
        <v>2000</v>
      </c>
      <c r="AE222" s="276"/>
      <c r="AF222" s="119"/>
      <c r="AG222" s="119"/>
      <c r="AH222" s="277"/>
      <c r="AI222" s="277"/>
      <c r="AJ222" s="277"/>
    </row>
    <row r="223" spans="2:36" ht="13.5" customHeight="1">
      <c r="B223" s="69">
        <v>1</v>
      </c>
      <c r="C223" s="69">
        <v>221</v>
      </c>
      <c r="D223" s="233" t="s">
        <v>529</v>
      </c>
      <c r="E223" s="295" t="s">
        <v>1502</v>
      </c>
      <c r="F223" s="232" t="s">
        <v>63</v>
      </c>
      <c r="G223" s="232" t="s">
        <v>201</v>
      </c>
      <c r="H223" s="232" t="s">
        <v>196</v>
      </c>
      <c r="I223" s="232">
        <v>2002</v>
      </c>
      <c r="J223" s="232"/>
      <c r="K223" s="134">
        <f t="shared" si="20"/>
        <v>17</v>
      </c>
      <c r="L223" s="232">
        <v>2016</v>
      </c>
      <c r="M223" s="234">
        <v>30277</v>
      </c>
      <c r="N223" s="235">
        <f>181*3.28084</f>
        <v>593.83204000000001</v>
      </c>
      <c r="O223" s="235">
        <v>38</v>
      </c>
      <c r="P223" s="235">
        <v>698</v>
      </c>
      <c r="Q223" s="235">
        <v>200</v>
      </c>
      <c r="R223" s="235">
        <f t="shared" si="19"/>
        <v>286.53295128939828</v>
      </c>
      <c r="S223" s="235">
        <f>ROUND(R223*CPI!$B$120/VLOOKUP($I223,CPI!$A$1:$B$122,2,FALSE)/1000,2)*1000</f>
        <v>400</v>
      </c>
      <c r="T223" s="232" t="s">
        <v>241</v>
      </c>
      <c r="U223" s="232" t="s">
        <v>240</v>
      </c>
      <c r="V223" s="232"/>
      <c r="W223" s="256" t="e">
        <f t="shared" si="23"/>
        <v>#DIV/0!</v>
      </c>
      <c r="X223" s="257"/>
      <c r="Y223" s="257"/>
      <c r="Z223" s="257"/>
      <c r="AA223" s="257"/>
      <c r="AB223" s="257"/>
      <c r="AC223" s="250">
        <f t="shared" si="21"/>
        <v>2002</v>
      </c>
      <c r="AE223" s="276"/>
      <c r="AF223" s="119"/>
      <c r="AG223" s="119"/>
      <c r="AH223" s="277"/>
      <c r="AI223" s="277"/>
      <c r="AJ223" s="277"/>
    </row>
    <row r="224" spans="2:36" ht="13.5" customHeight="1">
      <c r="B224" s="69">
        <v>1</v>
      </c>
      <c r="C224" s="69">
        <v>222</v>
      </c>
      <c r="D224" s="233" t="s">
        <v>530</v>
      </c>
      <c r="E224" s="295" t="s">
        <v>1500</v>
      </c>
      <c r="F224" s="232" t="s">
        <v>63</v>
      </c>
      <c r="G224" s="232" t="s">
        <v>201</v>
      </c>
      <c r="H224" s="232" t="s">
        <v>196</v>
      </c>
      <c r="I224" s="232">
        <v>2003</v>
      </c>
      <c r="J224" s="232"/>
      <c r="K224" s="134">
        <f t="shared" si="20"/>
        <v>16</v>
      </c>
      <c r="L224" s="232">
        <v>2014</v>
      </c>
      <c r="M224" s="234">
        <v>30277</v>
      </c>
      <c r="N224" s="235">
        <f>181*3.28084</f>
        <v>593.83204000000001</v>
      </c>
      <c r="O224" s="235">
        <v>38</v>
      </c>
      <c r="P224" s="235">
        <v>200</v>
      </c>
      <c r="Q224" s="235">
        <v>201</v>
      </c>
      <c r="R224" s="235">
        <f t="shared" si="19"/>
        <v>1004.9999999999999</v>
      </c>
      <c r="S224" s="235">
        <f>ROUND(R224*CPI!$B$120/VLOOKUP($I224,CPI!$A$1:$B$122,2,FALSE)/1000,2)*1000</f>
        <v>1360</v>
      </c>
      <c r="T224" s="232" t="s">
        <v>241</v>
      </c>
      <c r="U224" s="232" t="s">
        <v>240</v>
      </c>
      <c r="V224" s="232"/>
      <c r="W224" s="256" t="e">
        <f t="shared" si="23"/>
        <v>#DIV/0!</v>
      </c>
      <c r="X224" s="257"/>
      <c r="Y224" s="257"/>
      <c r="Z224" s="257"/>
      <c r="AA224" s="257"/>
      <c r="AB224" s="257"/>
      <c r="AC224" s="250">
        <f t="shared" si="21"/>
        <v>2003</v>
      </c>
      <c r="AE224" s="276"/>
      <c r="AF224" s="119"/>
      <c r="AG224" s="119"/>
      <c r="AH224" s="277"/>
      <c r="AI224" s="277"/>
      <c r="AJ224" s="277"/>
    </row>
    <row r="225" spans="2:36" ht="13.5" customHeight="1">
      <c r="B225" s="69">
        <v>1</v>
      </c>
      <c r="C225" s="69">
        <v>223</v>
      </c>
      <c r="D225" s="233" t="s">
        <v>531</v>
      </c>
      <c r="E225" s="295" t="s">
        <v>1498</v>
      </c>
      <c r="F225" s="232" t="s">
        <v>63</v>
      </c>
      <c r="G225" s="232" t="s">
        <v>201</v>
      </c>
      <c r="H225" s="232" t="s">
        <v>196</v>
      </c>
      <c r="I225" s="232">
        <v>2011</v>
      </c>
      <c r="J225" s="232"/>
      <c r="K225" s="134">
        <f t="shared" si="20"/>
        <v>8</v>
      </c>
      <c r="L225" s="232">
        <v>2016</v>
      </c>
      <c r="M225" s="234">
        <v>66084</v>
      </c>
      <c r="N225" s="235">
        <f>251*3.28084</f>
        <v>823.49084000000005</v>
      </c>
      <c r="O225" s="235">
        <v>46</v>
      </c>
      <c r="P225" s="235">
        <v>1258</v>
      </c>
      <c r="Q225" s="235">
        <v>500</v>
      </c>
      <c r="R225" s="235">
        <f t="shared" si="19"/>
        <v>397.45627980922097</v>
      </c>
      <c r="S225" s="235">
        <f>ROUND(R225*CPI!$B$120/VLOOKUP($I225,CPI!$A$1:$B$122,2,FALSE)/1000,2)*1000</f>
        <v>440</v>
      </c>
      <c r="T225" s="232" t="s">
        <v>212</v>
      </c>
      <c r="U225" s="232" t="s">
        <v>248</v>
      </c>
      <c r="V225" s="232"/>
      <c r="W225" s="256" t="e">
        <f t="shared" si="23"/>
        <v>#DIV/0!</v>
      </c>
      <c r="X225" s="257"/>
      <c r="Y225" s="257"/>
      <c r="Z225" s="257"/>
      <c r="AA225" s="257"/>
      <c r="AB225" s="257"/>
      <c r="AC225" s="250">
        <f t="shared" si="21"/>
        <v>2011</v>
      </c>
      <c r="AE225" s="276"/>
      <c r="AF225" s="119"/>
      <c r="AG225" s="119"/>
      <c r="AH225" s="277"/>
      <c r="AI225" s="277"/>
      <c r="AJ225" s="277"/>
    </row>
    <row r="226" spans="2:36" ht="13.5" customHeight="1">
      <c r="B226" s="69">
        <v>1</v>
      </c>
      <c r="C226" s="69">
        <v>224</v>
      </c>
      <c r="D226" s="233" t="s">
        <v>532</v>
      </c>
      <c r="E226" s="295" t="s">
        <v>1501</v>
      </c>
      <c r="F226" s="232" t="s">
        <v>63</v>
      </c>
      <c r="G226" s="232" t="s">
        <v>201</v>
      </c>
      <c r="H226" s="232" t="s">
        <v>196</v>
      </c>
      <c r="I226" s="232">
        <v>2012</v>
      </c>
      <c r="J226" s="232"/>
      <c r="K226" s="134">
        <f t="shared" si="20"/>
        <v>7</v>
      </c>
      <c r="L226" s="232">
        <v>2015</v>
      </c>
      <c r="M226" s="234">
        <v>66172</v>
      </c>
      <c r="N226" s="235">
        <f>251*3.28084</f>
        <v>823.49084000000005</v>
      </c>
      <c r="O226" s="235">
        <v>46</v>
      </c>
      <c r="P226" s="235">
        <v>1258</v>
      </c>
      <c r="Q226" s="235">
        <v>500</v>
      </c>
      <c r="R226" s="235">
        <f t="shared" si="19"/>
        <v>397.45627980922097</v>
      </c>
      <c r="S226" s="235">
        <f>ROUND(R226*CPI!$B$120/VLOOKUP($I226,CPI!$A$1:$B$122,2,FALSE)/1000,2)*1000</f>
        <v>430</v>
      </c>
      <c r="T226" s="232" t="s">
        <v>212</v>
      </c>
      <c r="U226" s="232" t="s">
        <v>248</v>
      </c>
      <c r="V226" s="232"/>
      <c r="W226" s="256" t="e">
        <f t="shared" si="23"/>
        <v>#DIV/0!</v>
      </c>
      <c r="X226" s="257"/>
      <c r="Y226" s="257"/>
      <c r="Z226" s="257"/>
      <c r="AA226" s="257"/>
      <c r="AB226" s="257"/>
      <c r="AC226" s="250">
        <f t="shared" si="21"/>
        <v>2012</v>
      </c>
      <c r="AE226" s="276"/>
      <c r="AF226" s="119"/>
      <c r="AG226" s="119"/>
      <c r="AH226" s="277"/>
      <c r="AI226" s="277"/>
      <c r="AJ226" s="277"/>
    </row>
    <row r="227" spans="2:36" ht="13.5" customHeight="1">
      <c r="B227" s="69">
        <v>1</v>
      </c>
      <c r="C227" s="69">
        <v>225</v>
      </c>
      <c r="D227" s="233" t="s">
        <v>62</v>
      </c>
      <c r="E227" s="233" t="s">
        <v>1307</v>
      </c>
      <c r="F227" s="232" t="s">
        <v>63</v>
      </c>
      <c r="G227" s="232" t="s">
        <v>202</v>
      </c>
      <c r="H227" s="232" t="s">
        <v>65</v>
      </c>
      <c r="I227" s="232">
        <v>1999</v>
      </c>
      <c r="J227" s="232"/>
      <c r="K227" s="134">
        <f t="shared" si="20"/>
        <v>20</v>
      </c>
      <c r="L227" s="232">
        <v>2016</v>
      </c>
      <c r="M227" s="234">
        <v>30000</v>
      </c>
      <c r="N227" s="235">
        <v>566</v>
      </c>
      <c r="O227" s="235">
        <v>51</v>
      </c>
      <c r="P227" s="235">
        <v>506</v>
      </c>
      <c r="Q227" s="235">
        <v>200</v>
      </c>
      <c r="R227" s="235">
        <f t="shared" si="19"/>
        <v>395.25691699604744</v>
      </c>
      <c r="S227" s="235">
        <f>ROUND(R227*CPI!$B$120/VLOOKUP($I227,CPI!$A$1:$B$122,2,FALSE)/1000,2)*1000</f>
        <v>590</v>
      </c>
      <c r="T227" s="232" t="s">
        <v>242</v>
      </c>
      <c r="U227" s="232" t="s">
        <v>248</v>
      </c>
      <c r="V227" s="232"/>
      <c r="W227" s="256" t="e">
        <f t="shared" si="23"/>
        <v>#DIV/0!</v>
      </c>
      <c r="X227" s="257"/>
      <c r="Y227" s="257"/>
      <c r="Z227" s="257"/>
      <c r="AA227" s="257"/>
      <c r="AB227" s="257"/>
      <c r="AC227" s="250">
        <f t="shared" si="21"/>
        <v>1999</v>
      </c>
      <c r="AE227" s="276"/>
      <c r="AF227" s="119"/>
      <c r="AG227" s="119"/>
      <c r="AH227" s="277"/>
      <c r="AI227" s="277"/>
      <c r="AJ227" s="277"/>
    </row>
    <row r="228" spans="2:36" ht="13.5" customHeight="1">
      <c r="B228" s="69">
        <v>1</v>
      </c>
      <c r="C228" s="69">
        <v>226</v>
      </c>
      <c r="D228" s="233" t="s">
        <v>61</v>
      </c>
      <c r="E228" s="233" t="s">
        <v>1308</v>
      </c>
      <c r="F228" s="232" t="s">
        <v>63</v>
      </c>
      <c r="G228" s="232" t="s">
        <v>202</v>
      </c>
      <c r="H228" s="232" t="s">
        <v>65</v>
      </c>
      <c r="I228" s="232">
        <v>2001</v>
      </c>
      <c r="J228" s="232"/>
      <c r="K228" s="134">
        <f t="shared" si="20"/>
        <v>18</v>
      </c>
      <c r="L228" s="232">
        <v>2017</v>
      </c>
      <c r="M228" s="234">
        <v>48075</v>
      </c>
      <c r="N228" s="235">
        <v>709</v>
      </c>
      <c r="O228" s="235">
        <v>60</v>
      </c>
      <c r="P228" s="235">
        <v>708</v>
      </c>
      <c r="Q228" s="235">
        <v>240</v>
      </c>
      <c r="R228" s="235">
        <f t="shared" ref="R228:R259" si="24">Q228/P228*1000</f>
        <v>338.9830508474576</v>
      </c>
      <c r="S228" s="235">
        <f>ROUND(R228*CPI!$B$120/VLOOKUP($I228,CPI!$A$1:$B$122,2,FALSE)/1000,2)*1000</f>
        <v>480</v>
      </c>
      <c r="T228" s="232" t="s">
        <v>241</v>
      </c>
      <c r="U228" s="232" t="s">
        <v>248</v>
      </c>
      <c r="V228" s="232"/>
      <c r="W228" s="256" t="e">
        <f t="shared" si="23"/>
        <v>#DIV/0!</v>
      </c>
      <c r="X228" s="257"/>
      <c r="Y228" s="257"/>
      <c r="Z228" s="257"/>
      <c r="AA228" s="257"/>
      <c r="AB228" s="257"/>
      <c r="AC228" s="250">
        <f t="shared" si="21"/>
        <v>2001</v>
      </c>
      <c r="AE228" s="276"/>
      <c r="AF228" s="119"/>
      <c r="AG228" s="119"/>
      <c r="AH228" s="277"/>
      <c r="AI228" s="277"/>
      <c r="AJ228" s="277"/>
    </row>
    <row r="229" spans="2:36" ht="13.5" customHeight="1">
      <c r="B229" s="69">
        <v>1</v>
      </c>
      <c r="C229" s="69">
        <v>227</v>
      </c>
      <c r="D229" s="233" t="s">
        <v>60</v>
      </c>
      <c r="E229" s="233" t="s">
        <v>1309</v>
      </c>
      <c r="F229" s="232" t="s">
        <v>63</v>
      </c>
      <c r="G229" s="232" t="s">
        <v>202</v>
      </c>
      <c r="H229" s="232" t="s">
        <v>65</v>
      </c>
      <c r="I229" s="232">
        <v>2003</v>
      </c>
      <c r="J229" s="232"/>
      <c r="K229" s="134">
        <f t="shared" si="20"/>
        <v>16</v>
      </c>
      <c r="L229" s="232">
        <v>2016</v>
      </c>
      <c r="M229" s="234">
        <v>42363</v>
      </c>
      <c r="N229" s="235">
        <f>206*3.28084</f>
        <v>675.85303999999996</v>
      </c>
      <c r="O229" s="235">
        <v>63</v>
      </c>
      <c r="P229" s="235">
        <v>706</v>
      </c>
      <c r="Q229" s="235">
        <v>240</v>
      </c>
      <c r="R229" s="235">
        <f t="shared" si="24"/>
        <v>339.94334277620396</v>
      </c>
      <c r="S229" s="235">
        <f>ROUND(R229*CPI!$B$120/VLOOKUP($I229,CPI!$A$1:$B$122,2,FALSE)/1000,2)*1000</f>
        <v>460</v>
      </c>
      <c r="T229" s="232" t="s">
        <v>243</v>
      </c>
      <c r="U229" s="232" t="s">
        <v>248</v>
      </c>
      <c r="V229" s="232"/>
      <c r="W229" s="256" t="e">
        <f t="shared" si="23"/>
        <v>#DIV/0!</v>
      </c>
      <c r="X229" s="257"/>
      <c r="Y229" s="257"/>
      <c r="Z229" s="257"/>
      <c r="AA229" s="257"/>
      <c r="AB229" s="257"/>
      <c r="AC229" s="250">
        <f t="shared" si="21"/>
        <v>2003</v>
      </c>
      <c r="AE229" s="276"/>
      <c r="AF229" s="119"/>
      <c r="AG229" s="119"/>
      <c r="AH229" s="277"/>
      <c r="AI229" s="277"/>
      <c r="AJ229" s="277"/>
    </row>
    <row r="230" spans="2:36" ht="13.5" customHeight="1">
      <c r="B230" s="69">
        <v>1</v>
      </c>
      <c r="C230" s="69">
        <v>228</v>
      </c>
      <c r="D230" s="233" t="s">
        <v>64</v>
      </c>
      <c r="E230" s="233" t="s">
        <v>1310</v>
      </c>
      <c r="F230" s="232" t="s">
        <v>63</v>
      </c>
      <c r="G230" s="232" t="s">
        <v>202</v>
      </c>
      <c r="H230" s="232" t="s">
        <v>65</v>
      </c>
      <c r="I230" s="232">
        <v>2016</v>
      </c>
      <c r="J230" s="232"/>
      <c r="K230" s="134">
        <f t="shared" si="20"/>
        <v>3</v>
      </c>
      <c r="L230" s="232"/>
      <c r="M230" s="234">
        <v>56000</v>
      </c>
      <c r="N230" s="235">
        <f>224*3.28084</f>
        <v>734.90815999999995</v>
      </c>
      <c r="O230" s="235">
        <v>68</v>
      </c>
      <c r="P230" s="235">
        <v>754</v>
      </c>
      <c r="Q230" s="235">
        <v>450</v>
      </c>
      <c r="R230" s="235">
        <f t="shared" si="24"/>
        <v>596.81697612732103</v>
      </c>
      <c r="S230" s="235">
        <f>ROUND(R230*CPI!$B$120/VLOOKUP($I230,CPI!$A$1:$B$122,2,FALSE)/1000,2)*1000</f>
        <v>620</v>
      </c>
      <c r="T230" s="232" t="s">
        <v>212</v>
      </c>
      <c r="U230" s="232" t="s">
        <v>248</v>
      </c>
      <c r="V230" s="232"/>
      <c r="W230" s="256" t="e">
        <f t="shared" si="23"/>
        <v>#DIV/0!</v>
      </c>
      <c r="X230" s="257"/>
      <c r="Y230" s="257"/>
      <c r="Z230" s="257"/>
      <c r="AA230" s="257"/>
      <c r="AB230" s="257"/>
      <c r="AC230" s="250">
        <f t="shared" si="21"/>
        <v>2016</v>
      </c>
      <c r="AE230" s="276"/>
      <c r="AF230" s="119"/>
      <c r="AG230" s="119"/>
      <c r="AH230" s="277"/>
      <c r="AI230" s="277"/>
      <c r="AJ230" s="277"/>
    </row>
    <row r="231" spans="2:36" ht="13.5" customHeight="1">
      <c r="B231" s="69">
        <v>1</v>
      </c>
      <c r="C231" s="69">
        <v>229</v>
      </c>
      <c r="D231" s="249" t="s">
        <v>922</v>
      </c>
      <c r="E231" s="249" t="s">
        <v>1311</v>
      </c>
      <c r="F231" s="250" t="s">
        <v>63</v>
      </c>
      <c r="G231" s="250" t="s">
        <v>202</v>
      </c>
      <c r="H231" s="250" t="s">
        <v>65</v>
      </c>
      <c r="I231" s="250">
        <v>2020</v>
      </c>
      <c r="J231" s="250" t="s">
        <v>1052</v>
      </c>
      <c r="K231" s="134" t="str">
        <f t="shared" si="20"/>
        <v/>
      </c>
      <c r="L231" s="250"/>
      <c r="M231" s="251">
        <v>54000</v>
      </c>
      <c r="N231" s="252"/>
      <c r="O231" s="252">
        <f>M231/P231</f>
        <v>73.170731707317074</v>
      </c>
      <c r="P231" s="252">
        <v>738</v>
      </c>
      <c r="Q231" s="252">
        <v>478</v>
      </c>
      <c r="R231" s="252">
        <f t="shared" si="24"/>
        <v>647.69647696476966</v>
      </c>
      <c r="S231" s="252">
        <f>ROUND(R231*CPI!$B$120/VLOOKUP($I231,CPI!$A$1:$B$140,2,FALSE)/1000,2)*1000</f>
        <v>620</v>
      </c>
      <c r="T231" s="250" t="s">
        <v>212</v>
      </c>
      <c r="U231" s="250" t="s">
        <v>248</v>
      </c>
      <c r="V231" s="250"/>
      <c r="W231" s="256"/>
      <c r="X231" s="258"/>
      <c r="Y231" s="258"/>
      <c r="Z231" s="258"/>
      <c r="AA231" s="258"/>
      <c r="AB231" s="258"/>
      <c r="AC231" s="250" t="str">
        <f t="shared" si="21"/>
        <v/>
      </c>
      <c r="AE231" s="276">
        <v>43868</v>
      </c>
      <c r="AF231" s="119" t="s">
        <v>1080</v>
      </c>
      <c r="AG231" s="119" t="s">
        <v>1079</v>
      </c>
      <c r="AH231" s="277">
        <v>8999</v>
      </c>
      <c r="AI231" s="277">
        <v>14</v>
      </c>
      <c r="AJ231" s="277">
        <f>AH231/AI231</f>
        <v>642.78571428571433</v>
      </c>
    </row>
    <row r="232" spans="2:36" ht="13.5" customHeight="1">
      <c r="B232" s="69">
        <v>1</v>
      </c>
      <c r="C232" s="69">
        <v>230</v>
      </c>
      <c r="D232" s="233" t="s">
        <v>159</v>
      </c>
      <c r="E232" s="233" t="s">
        <v>1312</v>
      </c>
      <c r="F232" s="232" t="s">
        <v>184</v>
      </c>
      <c r="G232" s="232" t="s">
        <v>200</v>
      </c>
      <c r="H232" s="232" t="s">
        <v>184</v>
      </c>
      <c r="I232" s="232">
        <v>2001</v>
      </c>
      <c r="J232" s="232"/>
      <c r="K232" s="134">
        <f t="shared" si="20"/>
        <v>18</v>
      </c>
      <c r="L232" s="232">
        <v>2014</v>
      </c>
      <c r="M232" s="234">
        <v>58625</v>
      </c>
      <c r="N232" s="235">
        <f>251*3.28084</f>
        <v>823.49084000000005</v>
      </c>
      <c r="O232" s="235">
        <v>28</v>
      </c>
      <c r="P232" s="235">
        <v>1950</v>
      </c>
      <c r="Q232" s="235">
        <v>250</v>
      </c>
      <c r="R232" s="235">
        <f t="shared" si="24"/>
        <v>128.2051282051282</v>
      </c>
      <c r="S232" s="235">
        <f>ROUND(R232*CPI!$B$120/VLOOKUP($I232,CPI!$A$1:$B$122,2,FALSE)/1000,2)*1000</f>
        <v>180</v>
      </c>
      <c r="T232" s="232" t="s">
        <v>241</v>
      </c>
      <c r="U232" s="232" t="s">
        <v>274</v>
      </c>
      <c r="V232" s="232"/>
      <c r="W232" s="256" t="e">
        <f t="shared" ref="W232:W244" si="25">SUM(((X232/SUM(X232:AB232))*5),((Y232/SUM(X232:AB232))*4),((Z232/SUM(X232:AB232))*3),((AA232/SUM(X232:AB232))*2),((AB232/SUM(X232:AB232)*1)))</f>
        <v>#DIV/0!</v>
      </c>
      <c r="X232" s="257"/>
      <c r="Y232" s="257"/>
      <c r="Z232" s="257"/>
      <c r="AA232" s="257"/>
      <c r="AB232" s="257"/>
      <c r="AC232" s="250">
        <f t="shared" si="21"/>
        <v>2001</v>
      </c>
      <c r="AE232" s="276"/>
      <c r="AF232" s="119"/>
      <c r="AG232" s="119"/>
      <c r="AH232" s="277"/>
      <c r="AI232" s="277"/>
      <c r="AJ232" s="277"/>
    </row>
    <row r="233" spans="2:36" ht="13.5" customHeight="1">
      <c r="B233" s="69">
        <v>1</v>
      </c>
      <c r="C233" s="69">
        <v>231</v>
      </c>
      <c r="D233" s="233" t="s">
        <v>166</v>
      </c>
      <c r="E233" s="233" t="s">
        <v>1313</v>
      </c>
      <c r="F233" s="232" t="s">
        <v>184</v>
      </c>
      <c r="G233" s="232" t="s">
        <v>200</v>
      </c>
      <c r="H233" s="232" t="s">
        <v>184</v>
      </c>
      <c r="I233" s="232">
        <v>2002</v>
      </c>
      <c r="J233" s="232"/>
      <c r="K233" s="134">
        <f t="shared" si="20"/>
        <v>17</v>
      </c>
      <c r="L233" s="232">
        <v>2015</v>
      </c>
      <c r="M233" s="234">
        <v>58625</v>
      </c>
      <c r="N233" s="235">
        <f>251*3.28084</f>
        <v>823.49084000000005</v>
      </c>
      <c r="O233" s="235">
        <v>28</v>
      </c>
      <c r="P233" s="235">
        <v>1950</v>
      </c>
      <c r="Q233" s="235">
        <v>250</v>
      </c>
      <c r="R233" s="235">
        <f t="shared" si="24"/>
        <v>128.2051282051282</v>
      </c>
      <c r="S233" s="235">
        <f>ROUND(R233*CPI!$B$120/VLOOKUP($I233,CPI!$A$1:$B$122,2,FALSE)/1000,2)*1000</f>
        <v>180</v>
      </c>
      <c r="T233" s="232" t="s">
        <v>241</v>
      </c>
      <c r="U233" s="232" t="s">
        <v>274</v>
      </c>
      <c r="V233" s="232"/>
      <c r="W233" s="256" t="e">
        <f t="shared" si="25"/>
        <v>#DIV/0!</v>
      </c>
      <c r="X233" s="257"/>
      <c r="Y233" s="257"/>
      <c r="Z233" s="257"/>
      <c r="AA233" s="257"/>
      <c r="AB233" s="257"/>
      <c r="AC233" s="250">
        <f t="shared" si="21"/>
        <v>2002</v>
      </c>
      <c r="AE233" s="276"/>
      <c r="AF233" s="119"/>
      <c r="AG233" s="119"/>
      <c r="AH233" s="277"/>
      <c r="AI233" s="277"/>
      <c r="AJ233" s="277"/>
    </row>
    <row r="234" spans="2:36" ht="13.5" customHeight="1">
      <c r="B234" s="69">
        <v>1</v>
      </c>
      <c r="C234" s="69">
        <v>232</v>
      </c>
      <c r="D234" s="233" t="s">
        <v>171</v>
      </c>
      <c r="E234" s="233" t="s">
        <v>1314</v>
      </c>
      <c r="F234" s="232" t="s">
        <v>184</v>
      </c>
      <c r="G234" s="232" t="s">
        <v>200</v>
      </c>
      <c r="H234" s="232" t="s">
        <v>184</v>
      </c>
      <c r="I234" s="232">
        <v>2003</v>
      </c>
      <c r="J234" s="232"/>
      <c r="K234" s="134">
        <f t="shared" si="20"/>
        <v>16</v>
      </c>
      <c r="L234" s="232">
        <v>2015</v>
      </c>
      <c r="M234" s="234">
        <v>59058</v>
      </c>
      <c r="N234" s="235">
        <f>251*3.28084</f>
        <v>823.49084000000005</v>
      </c>
      <c r="O234" s="235">
        <v>25</v>
      </c>
      <c r="P234" s="235">
        <v>1976</v>
      </c>
      <c r="Q234" s="235">
        <v>250</v>
      </c>
      <c r="R234" s="235">
        <f t="shared" si="24"/>
        <v>126.51821862348179</v>
      </c>
      <c r="S234" s="235">
        <f>ROUND(R234*CPI!$B$120/VLOOKUP($I234,CPI!$A$1:$B$122,2,FALSE)/1000,2)*1000</f>
        <v>170</v>
      </c>
      <c r="T234" s="232" t="s">
        <v>241</v>
      </c>
      <c r="U234" s="232" t="s">
        <v>274</v>
      </c>
      <c r="V234" s="232"/>
      <c r="W234" s="256" t="e">
        <f t="shared" si="25"/>
        <v>#DIV/0!</v>
      </c>
      <c r="X234" s="257"/>
      <c r="Y234" s="257"/>
      <c r="Z234" s="257"/>
      <c r="AA234" s="257"/>
      <c r="AB234" s="257"/>
      <c r="AC234" s="250">
        <f t="shared" si="21"/>
        <v>2003</v>
      </c>
      <c r="AE234" s="276"/>
      <c r="AF234" s="119"/>
      <c r="AG234" s="119"/>
      <c r="AH234" s="277"/>
      <c r="AI234" s="277"/>
      <c r="AJ234" s="277"/>
    </row>
    <row r="235" spans="2:36" ht="13.5" customHeight="1">
      <c r="B235" s="69">
        <v>1</v>
      </c>
      <c r="C235" s="69">
        <v>233</v>
      </c>
      <c r="D235" s="233" t="s">
        <v>172</v>
      </c>
      <c r="E235" s="233" t="s">
        <v>1315</v>
      </c>
      <c r="F235" s="232" t="s">
        <v>184</v>
      </c>
      <c r="G235" s="232" t="s">
        <v>200</v>
      </c>
      <c r="H235" s="232" t="s">
        <v>184</v>
      </c>
      <c r="I235" s="232">
        <v>2004</v>
      </c>
      <c r="J235" s="232"/>
      <c r="K235" s="134">
        <f t="shared" si="20"/>
        <v>15</v>
      </c>
      <c r="L235" s="232">
        <v>2015</v>
      </c>
      <c r="M235" s="234">
        <v>59058</v>
      </c>
      <c r="N235" s="235">
        <f>251*3.28084</f>
        <v>823.49084000000005</v>
      </c>
      <c r="O235" s="235">
        <v>23</v>
      </c>
      <c r="P235" s="235">
        <v>2142</v>
      </c>
      <c r="Q235" s="235">
        <v>270</v>
      </c>
      <c r="R235" s="235">
        <f t="shared" si="24"/>
        <v>126.05042016806722</v>
      </c>
      <c r="S235" s="235">
        <f>ROUND(R235*CPI!$B$120/VLOOKUP($I235,CPI!$A$1:$B$122,2,FALSE)/1000,2)*1000</f>
        <v>170</v>
      </c>
      <c r="T235" s="232" t="s">
        <v>241</v>
      </c>
      <c r="U235" s="232" t="s">
        <v>274</v>
      </c>
      <c r="V235" s="232"/>
      <c r="W235" s="256" t="e">
        <f t="shared" si="25"/>
        <v>#DIV/0!</v>
      </c>
      <c r="X235" s="257"/>
      <c r="Y235" s="257"/>
      <c r="Z235" s="257"/>
      <c r="AA235" s="257"/>
      <c r="AB235" s="257"/>
      <c r="AC235" s="250">
        <f t="shared" si="21"/>
        <v>2004</v>
      </c>
      <c r="AE235" s="276"/>
      <c r="AF235" s="119"/>
      <c r="AG235" s="119"/>
      <c r="AH235" s="277"/>
      <c r="AI235" s="277"/>
      <c r="AJ235" s="277"/>
    </row>
    <row r="236" spans="2:36" ht="13.5" customHeight="1">
      <c r="B236" s="69">
        <v>1</v>
      </c>
      <c r="C236" s="69">
        <v>234</v>
      </c>
      <c r="D236" s="233" t="s">
        <v>168</v>
      </c>
      <c r="E236" s="233" t="s">
        <v>1316</v>
      </c>
      <c r="F236" s="232" t="s">
        <v>184</v>
      </c>
      <c r="G236" s="232" t="s">
        <v>200</v>
      </c>
      <c r="H236" s="232" t="s">
        <v>184</v>
      </c>
      <c r="I236" s="232">
        <v>2006</v>
      </c>
      <c r="J236" s="232"/>
      <c r="K236" s="134">
        <f t="shared" si="20"/>
        <v>13</v>
      </c>
      <c r="L236" s="232"/>
      <c r="M236" s="234">
        <v>92409</v>
      </c>
      <c r="N236" s="235">
        <f>293*3.28084</f>
        <v>961.28611999999998</v>
      </c>
      <c r="O236" s="235">
        <v>29</v>
      </c>
      <c r="P236" s="235">
        <v>2550</v>
      </c>
      <c r="Q236" s="235">
        <v>360</v>
      </c>
      <c r="R236" s="235">
        <f t="shared" si="24"/>
        <v>141.1764705882353</v>
      </c>
      <c r="S236" s="235">
        <f>ROUND(R236*CPI!$B$120/VLOOKUP($I236,CPI!$A$1:$B$122,2,FALSE)/1000,2)*1000</f>
        <v>170</v>
      </c>
      <c r="T236" s="232" t="s">
        <v>241</v>
      </c>
      <c r="U236" s="232" t="s">
        <v>276</v>
      </c>
      <c r="V236" s="232"/>
      <c r="W236" s="256" t="e">
        <f t="shared" si="25"/>
        <v>#DIV/0!</v>
      </c>
      <c r="X236" s="257"/>
      <c r="Y236" s="257"/>
      <c r="Z236" s="257"/>
      <c r="AA236" s="257"/>
      <c r="AB236" s="257"/>
      <c r="AC236" s="250">
        <f t="shared" si="21"/>
        <v>2006</v>
      </c>
      <c r="AE236" s="276"/>
      <c r="AF236" s="119"/>
      <c r="AG236" s="119"/>
      <c r="AH236" s="277"/>
      <c r="AI236" s="277"/>
      <c r="AJ236" s="277"/>
    </row>
    <row r="237" spans="2:36" ht="13.5" customHeight="1">
      <c r="B237" s="69">
        <v>1</v>
      </c>
      <c r="C237" s="69">
        <v>235</v>
      </c>
      <c r="D237" s="233" t="s">
        <v>161</v>
      </c>
      <c r="E237" s="233" t="s">
        <v>1317</v>
      </c>
      <c r="F237" s="232" t="s">
        <v>184</v>
      </c>
      <c r="G237" s="232" t="s">
        <v>200</v>
      </c>
      <c r="H237" s="232" t="s">
        <v>184</v>
      </c>
      <c r="I237" s="232">
        <v>2007</v>
      </c>
      <c r="J237" s="232"/>
      <c r="K237" s="134">
        <f t="shared" si="20"/>
        <v>12</v>
      </c>
      <c r="L237" s="232"/>
      <c r="M237" s="234">
        <v>92409</v>
      </c>
      <c r="N237" s="235">
        <f>293*3.28084</f>
        <v>961.28611999999998</v>
      </c>
      <c r="O237" s="235">
        <v>29</v>
      </c>
      <c r="P237" s="235">
        <v>2550</v>
      </c>
      <c r="Q237" s="235">
        <v>480</v>
      </c>
      <c r="R237" s="235">
        <f t="shared" si="24"/>
        <v>188.23529411764704</v>
      </c>
      <c r="S237" s="235">
        <f>ROUND(R237*CPI!$B$120/VLOOKUP($I237,CPI!$A$1:$B$122,2,FALSE)/1000,2)*1000</f>
        <v>220</v>
      </c>
      <c r="T237" s="232" t="s">
        <v>241</v>
      </c>
      <c r="U237" s="232" t="s">
        <v>276</v>
      </c>
      <c r="V237" s="232"/>
      <c r="W237" s="256" t="e">
        <f t="shared" si="25"/>
        <v>#DIV/0!</v>
      </c>
      <c r="X237" s="257"/>
      <c r="Y237" s="257"/>
      <c r="Z237" s="257"/>
      <c r="AA237" s="257"/>
      <c r="AB237" s="257"/>
      <c r="AC237" s="250">
        <f t="shared" si="21"/>
        <v>2007</v>
      </c>
      <c r="AE237" s="276"/>
      <c r="AF237" s="119"/>
      <c r="AG237" s="119"/>
      <c r="AH237" s="277"/>
      <c r="AI237" s="277"/>
      <c r="AJ237" s="277"/>
    </row>
    <row r="238" spans="2:36" ht="13.5" customHeight="1">
      <c r="B238" s="69">
        <v>1</v>
      </c>
      <c r="C238" s="69">
        <v>236</v>
      </c>
      <c r="D238" s="233" t="s">
        <v>167</v>
      </c>
      <c r="E238" s="233" t="s">
        <v>1318</v>
      </c>
      <c r="F238" s="232" t="s">
        <v>184</v>
      </c>
      <c r="G238" s="232" t="s">
        <v>200</v>
      </c>
      <c r="H238" s="232" t="s">
        <v>184</v>
      </c>
      <c r="I238" s="232">
        <v>2008</v>
      </c>
      <c r="J238" s="232"/>
      <c r="K238" s="134">
        <f t="shared" si="20"/>
        <v>11</v>
      </c>
      <c r="L238" s="232"/>
      <c r="M238" s="234">
        <v>137936</v>
      </c>
      <c r="N238" s="235">
        <f>333*3.28084</f>
        <v>1092.51972</v>
      </c>
      <c r="O238" s="235">
        <v>35</v>
      </c>
      <c r="P238" s="235">
        <v>3274</v>
      </c>
      <c r="Q238" s="235">
        <v>550</v>
      </c>
      <c r="R238" s="235">
        <f t="shared" si="24"/>
        <v>167.99022602321321</v>
      </c>
      <c r="S238" s="235">
        <f>ROUND(R238*CPI!$B$120/VLOOKUP($I238,CPI!$A$1:$B$122,2,FALSE)/1000,2)*1000</f>
        <v>200</v>
      </c>
      <c r="T238" s="232" t="s">
        <v>235</v>
      </c>
      <c r="U238" s="232" t="s">
        <v>275</v>
      </c>
      <c r="V238" s="232"/>
      <c r="W238" s="256" t="e">
        <f t="shared" si="25"/>
        <v>#DIV/0!</v>
      </c>
      <c r="X238" s="257"/>
      <c r="Y238" s="257"/>
      <c r="Z238" s="257"/>
      <c r="AA238" s="257"/>
      <c r="AB238" s="257"/>
      <c r="AC238" s="250">
        <f t="shared" si="21"/>
        <v>2008</v>
      </c>
      <c r="AE238" s="276"/>
      <c r="AF238" s="119"/>
      <c r="AG238" s="119"/>
      <c r="AH238" s="277"/>
      <c r="AI238" s="277"/>
      <c r="AJ238" s="277"/>
    </row>
    <row r="239" spans="2:36" ht="13.5" customHeight="1">
      <c r="B239" s="69">
        <v>1</v>
      </c>
      <c r="C239" s="69">
        <v>237</v>
      </c>
      <c r="D239" s="233" t="s">
        <v>165</v>
      </c>
      <c r="E239" s="233" t="s">
        <v>1319</v>
      </c>
      <c r="F239" s="232" t="s">
        <v>184</v>
      </c>
      <c r="G239" s="232" t="s">
        <v>200</v>
      </c>
      <c r="H239" s="232" t="s">
        <v>184</v>
      </c>
      <c r="I239" s="232">
        <v>2008</v>
      </c>
      <c r="J239" s="232"/>
      <c r="K239" s="134">
        <f t="shared" si="20"/>
        <v>11</v>
      </c>
      <c r="L239" s="232">
        <v>2012</v>
      </c>
      <c r="M239" s="234">
        <v>92627</v>
      </c>
      <c r="N239" s="235">
        <f>293*3.28084</f>
        <v>961.28611999999998</v>
      </c>
      <c r="O239" s="235">
        <v>30</v>
      </c>
      <c r="P239" s="235">
        <v>2550</v>
      </c>
      <c r="Q239" s="235">
        <v>360</v>
      </c>
      <c r="R239" s="235">
        <f t="shared" si="24"/>
        <v>141.1764705882353</v>
      </c>
      <c r="S239" s="235">
        <f>ROUND(R239*CPI!$B$120/VLOOKUP($I239,CPI!$A$1:$B$122,2,FALSE)/1000,2)*1000</f>
        <v>170</v>
      </c>
      <c r="T239" s="232" t="s">
        <v>241</v>
      </c>
      <c r="U239" s="232" t="s">
        <v>276</v>
      </c>
      <c r="V239" s="232"/>
      <c r="W239" s="256" t="e">
        <f t="shared" si="25"/>
        <v>#DIV/0!</v>
      </c>
      <c r="X239" s="257"/>
      <c r="Y239" s="257"/>
      <c r="Z239" s="257"/>
      <c r="AA239" s="257"/>
      <c r="AB239" s="257"/>
      <c r="AC239" s="250">
        <f t="shared" si="21"/>
        <v>2008</v>
      </c>
      <c r="AE239" s="276"/>
      <c r="AF239" s="119"/>
      <c r="AG239" s="119"/>
      <c r="AH239" s="277"/>
      <c r="AI239" s="277"/>
      <c r="AJ239" s="277"/>
    </row>
    <row r="240" spans="2:36" ht="13.5" customHeight="1">
      <c r="B240" s="69">
        <v>1</v>
      </c>
      <c r="C240" s="69">
        <v>238</v>
      </c>
      <c r="D240" s="233" t="s">
        <v>170</v>
      </c>
      <c r="E240" s="233" t="s">
        <v>1320</v>
      </c>
      <c r="F240" s="232" t="s">
        <v>184</v>
      </c>
      <c r="G240" s="232" t="s">
        <v>200</v>
      </c>
      <c r="H240" s="232" t="s">
        <v>184</v>
      </c>
      <c r="I240" s="232">
        <v>2009</v>
      </c>
      <c r="J240" s="232"/>
      <c r="K240" s="134">
        <f t="shared" si="20"/>
        <v>10</v>
      </c>
      <c r="L240" s="232"/>
      <c r="M240" s="234">
        <v>137936</v>
      </c>
      <c r="N240" s="235">
        <f>333*3.28084</f>
        <v>1092.51972</v>
      </c>
      <c r="O240" s="235">
        <v>35</v>
      </c>
      <c r="P240" s="235">
        <v>3270</v>
      </c>
      <c r="Q240" s="235">
        <v>550</v>
      </c>
      <c r="R240" s="235">
        <f t="shared" si="24"/>
        <v>168.19571865443424</v>
      </c>
      <c r="S240" s="235">
        <f>ROUND(R240*CPI!$B$120/VLOOKUP($I240,CPI!$A$1:$B$122,2,FALSE)/1000,2)*1000</f>
        <v>190</v>
      </c>
      <c r="T240" s="232" t="s">
        <v>235</v>
      </c>
      <c r="U240" s="232" t="s">
        <v>275</v>
      </c>
      <c r="V240" s="232"/>
      <c r="W240" s="256" t="e">
        <f t="shared" si="25"/>
        <v>#DIV/0!</v>
      </c>
      <c r="X240" s="257"/>
      <c r="Y240" s="257"/>
      <c r="Z240" s="257"/>
      <c r="AA240" s="257"/>
      <c r="AB240" s="257"/>
      <c r="AC240" s="250">
        <f t="shared" si="21"/>
        <v>2009</v>
      </c>
      <c r="AE240" s="276"/>
      <c r="AF240" s="119"/>
      <c r="AG240" s="119"/>
      <c r="AH240" s="277"/>
      <c r="AI240" s="277"/>
      <c r="AJ240" s="277"/>
    </row>
    <row r="241" spans="2:36" ht="13.5" customHeight="1">
      <c r="B241" s="69">
        <v>1</v>
      </c>
      <c r="C241" s="69">
        <v>239</v>
      </c>
      <c r="D241" s="233" t="s">
        <v>160</v>
      </c>
      <c r="E241" s="233" t="s">
        <v>1321</v>
      </c>
      <c r="F241" s="232" t="s">
        <v>184</v>
      </c>
      <c r="G241" s="232" t="s">
        <v>200</v>
      </c>
      <c r="H241" s="232" t="s">
        <v>184</v>
      </c>
      <c r="I241" s="232">
        <v>2010</v>
      </c>
      <c r="J241" s="232"/>
      <c r="K241" s="134">
        <f t="shared" si="20"/>
        <v>9</v>
      </c>
      <c r="L241" s="232"/>
      <c r="M241" s="234">
        <v>95128</v>
      </c>
      <c r="N241" s="235">
        <f>293*3.28084</f>
        <v>961.28611999999998</v>
      </c>
      <c r="O241" s="235">
        <v>30</v>
      </c>
      <c r="P241" s="235">
        <v>2506</v>
      </c>
      <c r="Q241" s="235">
        <v>550</v>
      </c>
      <c r="R241" s="235">
        <f t="shared" si="24"/>
        <v>219.4732641660016</v>
      </c>
      <c r="S241" s="235">
        <f>ROUND(R241*CPI!$B$120/VLOOKUP($I241,CPI!$A$1:$B$122,2,FALSE)/1000,2)*1000</f>
        <v>250</v>
      </c>
      <c r="T241" s="232" t="s">
        <v>235</v>
      </c>
      <c r="U241" s="232" t="s">
        <v>275</v>
      </c>
      <c r="V241" s="232"/>
      <c r="W241" s="256" t="e">
        <f t="shared" si="25"/>
        <v>#DIV/0!</v>
      </c>
      <c r="X241" s="257"/>
      <c r="Y241" s="257"/>
      <c r="Z241" s="257"/>
      <c r="AA241" s="257"/>
      <c r="AB241" s="257"/>
      <c r="AC241" s="250">
        <f t="shared" si="21"/>
        <v>2010</v>
      </c>
      <c r="AE241" s="276"/>
      <c r="AF241" s="119"/>
      <c r="AG241" s="119"/>
      <c r="AH241" s="277"/>
      <c r="AI241" s="277"/>
      <c r="AJ241" s="277"/>
    </row>
    <row r="242" spans="2:36" ht="13.5" customHeight="1">
      <c r="B242" s="69">
        <v>1</v>
      </c>
      <c r="C242" s="69">
        <v>240</v>
      </c>
      <c r="D242" s="233" t="s">
        <v>163</v>
      </c>
      <c r="E242" s="233" t="s">
        <v>1322</v>
      </c>
      <c r="F242" s="232" t="s">
        <v>184</v>
      </c>
      <c r="G242" s="232" t="s">
        <v>200</v>
      </c>
      <c r="H242" s="232" t="s">
        <v>184</v>
      </c>
      <c r="I242" s="232">
        <v>2012</v>
      </c>
      <c r="J242" s="232"/>
      <c r="K242" s="134">
        <f t="shared" si="20"/>
        <v>7</v>
      </c>
      <c r="L242" s="232">
        <v>2017</v>
      </c>
      <c r="M242" s="234">
        <v>139072</v>
      </c>
      <c r="N242" s="235">
        <f>333*3.28084</f>
        <v>1092.51972</v>
      </c>
      <c r="O242" s="235">
        <v>33</v>
      </c>
      <c r="P242" s="235">
        <v>3502</v>
      </c>
      <c r="Q242" s="235">
        <v>550</v>
      </c>
      <c r="R242" s="235">
        <f t="shared" si="24"/>
        <v>157.05311250713876</v>
      </c>
      <c r="S242" s="235">
        <f>ROUND(R242*CPI!$B$120/VLOOKUP($I242,CPI!$A$1:$B$122,2,FALSE)/1000,2)*1000</f>
        <v>170</v>
      </c>
      <c r="T242" s="232" t="s">
        <v>235</v>
      </c>
      <c r="U242" s="232" t="s">
        <v>275</v>
      </c>
      <c r="V242" s="232"/>
      <c r="W242" s="256" t="e">
        <f t="shared" si="25"/>
        <v>#DIV/0!</v>
      </c>
      <c r="X242" s="257"/>
      <c r="Y242" s="257"/>
      <c r="Z242" s="257"/>
      <c r="AA242" s="257"/>
      <c r="AB242" s="257"/>
      <c r="AC242" s="250">
        <f t="shared" si="21"/>
        <v>2012</v>
      </c>
      <c r="AE242" s="276"/>
      <c r="AF242" s="119"/>
      <c r="AG242" s="119"/>
      <c r="AH242" s="277"/>
      <c r="AI242" s="277"/>
      <c r="AJ242" s="277"/>
    </row>
    <row r="243" spans="2:36" ht="13.5" customHeight="1">
      <c r="B243" s="69">
        <v>1</v>
      </c>
      <c r="C243" s="69">
        <v>241</v>
      </c>
      <c r="D243" s="233" t="s">
        <v>169</v>
      </c>
      <c r="E243" s="233" t="s">
        <v>1323</v>
      </c>
      <c r="F243" s="232" t="s">
        <v>184</v>
      </c>
      <c r="G243" s="232" t="s">
        <v>200</v>
      </c>
      <c r="H243" s="232" t="s">
        <v>184</v>
      </c>
      <c r="I243" s="232">
        <v>2013</v>
      </c>
      <c r="J243" s="232"/>
      <c r="K243" s="134">
        <f t="shared" si="20"/>
        <v>6</v>
      </c>
      <c r="L243" s="232"/>
      <c r="M243" s="234">
        <v>139072</v>
      </c>
      <c r="N243" s="235">
        <f>333*3.28084</f>
        <v>1092.51972</v>
      </c>
      <c r="O243" s="235">
        <v>32</v>
      </c>
      <c r="P243" s="235">
        <v>3502</v>
      </c>
      <c r="Q243" s="235">
        <v>550</v>
      </c>
      <c r="R243" s="235">
        <f t="shared" si="24"/>
        <v>157.05311250713876</v>
      </c>
      <c r="S243" s="235">
        <f>ROUND(R243*CPI!$B$120/VLOOKUP($I243,CPI!$A$1:$B$122,2,FALSE)/1000,2)*1000</f>
        <v>170</v>
      </c>
      <c r="T243" s="232" t="s">
        <v>235</v>
      </c>
      <c r="U243" s="232" t="s">
        <v>275</v>
      </c>
      <c r="V243" s="232"/>
      <c r="W243" s="256" t="e">
        <f t="shared" si="25"/>
        <v>#DIV/0!</v>
      </c>
      <c r="X243" s="257"/>
      <c r="Y243" s="257"/>
      <c r="Z243" s="257"/>
      <c r="AA243" s="257"/>
      <c r="AB243" s="257"/>
      <c r="AC243" s="250">
        <f t="shared" si="21"/>
        <v>2013</v>
      </c>
      <c r="AE243" s="276"/>
      <c r="AF243" s="119"/>
      <c r="AG243" s="119"/>
      <c r="AH243" s="277"/>
      <c r="AI243" s="277"/>
      <c r="AJ243" s="277"/>
    </row>
    <row r="244" spans="2:36" ht="13.5" customHeight="1">
      <c r="B244" s="69">
        <v>1</v>
      </c>
      <c r="C244" s="69">
        <v>242</v>
      </c>
      <c r="D244" s="233" t="s">
        <v>164</v>
      </c>
      <c r="E244" s="233" t="s">
        <v>1324</v>
      </c>
      <c r="F244" s="232" t="s">
        <v>184</v>
      </c>
      <c r="G244" s="232" t="s">
        <v>200</v>
      </c>
      <c r="H244" s="232" t="s">
        <v>184</v>
      </c>
      <c r="I244" s="232">
        <v>2017</v>
      </c>
      <c r="J244" s="232" t="s">
        <v>1048</v>
      </c>
      <c r="K244" s="134">
        <f t="shared" si="20"/>
        <v>2</v>
      </c>
      <c r="L244" s="232"/>
      <c r="M244" s="234">
        <v>167600</v>
      </c>
      <c r="N244" s="235">
        <v>1033</v>
      </c>
      <c r="O244" s="235">
        <v>31</v>
      </c>
      <c r="P244" s="235">
        <v>4488</v>
      </c>
      <c r="Q244" s="235">
        <v>1000</v>
      </c>
      <c r="R244" s="235">
        <f t="shared" si="24"/>
        <v>222.81639928698752</v>
      </c>
      <c r="S244" s="235">
        <f>ROUND(R244*CPI!$B$120/VLOOKUP($I244,CPI!$A$1:$B$140,2,FALSE)/1000,2)*1000</f>
        <v>230</v>
      </c>
      <c r="T244" s="232" t="s">
        <v>262</v>
      </c>
      <c r="U244" s="232" t="s">
        <v>1059</v>
      </c>
      <c r="V244" s="232"/>
      <c r="W244" s="256" t="e">
        <f t="shared" si="25"/>
        <v>#DIV/0!</v>
      </c>
      <c r="X244" s="257"/>
      <c r="Y244" s="257"/>
      <c r="Z244" s="257"/>
      <c r="AA244" s="257"/>
      <c r="AB244" s="257"/>
      <c r="AC244" s="250">
        <f t="shared" si="21"/>
        <v>2017</v>
      </c>
      <c r="AE244" s="276"/>
      <c r="AF244" s="119"/>
      <c r="AG244" s="119"/>
      <c r="AH244" s="277"/>
      <c r="AI244" s="277"/>
      <c r="AJ244" s="277"/>
    </row>
    <row r="245" spans="2:36" ht="13.5" customHeight="1">
      <c r="B245" s="69">
        <v>1</v>
      </c>
      <c r="C245" s="69">
        <v>243</v>
      </c>
      <c r="D245" s="233" t="s">
        <v>173</v>
      </c>
      <c r="E245" s="233" t="s">
        <v>1325</v>
      </c>
      <c r="F245" s="232" t="s">
        <v>184</v>
      </c>
      <c r="G245" s="232" t="s">
        <v>200</v>
      </c>
      <c r="H245" s="232" t="s">
        <v>184</v>
      </c>
      <c r="I245" s="232">
        <v>2017</v>
      </c>
      <c r="J245" s="232" t="s">
        <v>1043</v>
      </c>
      <c r="K245" s="134">
        <f t="shared" si="20"/>
        <v>2</v>
      </c>
      <c r="L245" s="232"/>
      <c r="M245" s="234">
        <v>154000</v>
      </c>
      <c r="N245" s="235">
        <v>1060</v>
      </c>
      <c r="O245" s="235">
        <v>31</v>
      </c>
      <c r="P245" s="235">
        <v>4140</v>
      </c>
      <c r="Q245" s="235">
        <v>953</v>
      </c>
      <c r="R245" s="235">
        <f t="shared" si="24"/>
        <v>230.19323671497585</v>
      </c>
      <c r="S245" s="235">
        <f>ROUND(R245*CPI!$B$120/VLOOKUP($I245,CPI!$A$1:$B$140,2,FALSE)/1000,2)*1000</f>
        <v>230</v>
      </c>
      <c r="T245" s="232" t="s">
        <v>212</v>
      </c>
      <c r="U245" s="232" t="s">
        <v>1060</v>
      </c>
      <c r="V245" s="232"/>
      <c r="W245" s="256"/>
      <c r="X245" s="257"/>
      <c r="Y245" s="257"/>
      <c r="Z245" s="257"/>
      <c r="AA245" s="257"/>
      <c r="AB245" s="257"/>
      <c r="AC245" s="250">
        <f t="shared" si="21"/>
        <v>2017</v>
      </c>
      <c r="AE245" s="276"/>
      <c r="AF245" s="119"/>
      <c r="AG245" s="119"/>
      <c r="AH245" s="277"/>
      <c r="AI245" s="277"/>
      <c r="AJ245" s="277"/>
    </row>
    <row r="246" spans="2:36" ht="13.5" customHeight="1">
      <c r="B246" s="69">
        <v>1</v>
      </c>
      <c r="C246" s="69">
        <v>244</v>
      </c>
      <c r="D246" s="249" t="s">
        <v>162</v>
      </c>
      <c r="E246" s="249" t="s">
        <v>1326</v>
      </c>
      <c r="F246" s="250" t="s">
        <v>184</v>
      </c>
      <c r="G246" s="250" t="s">
        <v>200</v>
      </c>
      <c r="H246" s="250" t="s">
        <v>184</v>
      </c>
      <c r="I246" s="250">
        <v>2018</v>
      </c>
      <c r="J246" s="250" t="s">
        <v>1046</v>
      </c>
      <c r="K246" s="134">
        <f t="shared" si="20"/>
        <v>1</v>
      </c>
      <c r="L246" s="250"/>
      <c r="M246" s="251">
        <v>154000</v>
      </c>
      <c r="N246" s="252">
        <v>1060</v>
      </c>
      <c r="O246" s="252">
        <v>31</v>
      </c>
      <c r="P246" s="252">
        <v>4140</v>
      </c>
      <c r="Q246" s="252">
        <v>950</v>
      </c>
      <c r="R246" s="252">
        <f t="shared" si="24"/>
        <v>229.46859903381642</v>
      </c>
      <c r="S246" s="252">
        <f>ROUND(R246*CPI!$B$120/VLOOKUP($I246,CPI!$A$1:$B$140,2,FALSE)/1000,2)*1000</f>
        <v>230</v>
      </c>
      <c r="T246" s="250" t="s">
        <v>212</v>
      </c>
      <c r="U246" s="250" t="s">
        <v>1060</v>
      </c>
      <c r="V246" s="250"/>
      <c r="W246" s="256"/>
      <c r="X246" s="257"/>
      <c r="Y246" s="257"/>
      <c r="Z246" s="257"/>
      <c r="AA246" s="257"/>
      <c r="AB246" s="257"/>
      <c r="AC246" s="250">
        <f t="shared" si="21"/>
        <v>2018</v>
      </c>
      <c r="AE246" s="276"/>
      <c r="AF246" s="119"/>
      <c r="AG246" s="119"/>
      <c r="AH246" s="277"/>
      <c r="AI246" s="277"/>
      <c r="AJ246" s="277"/>
    </row>
    <row r="247" spans="2:36" ht="13.5" customHeight="1">
      <c r="B247" s="69">
        <v>1</v>
      </c>
      <c r="C247" s="69">
        <v>245</v>
      </c>
      <c r="D247" s="249" t="s">
        <v>919</v>
      </c>
      <c r="E247" s="295" t="s">
        <v>1495</v>
      </c>
      <c r="F247" s="250" t="s">
        <v>184</v>
      </c>
      <c r="G247" s="250" t="s">
        <v>200</v>
      </c>
      <c r="H247" s="250" t="s">
        <v>184</v>
      </c>
      <c r="I247" s="250">
        <v>2019</v>
      </c>
      <c r="J247" s="250" t="s">
        <v>1042</v>
      </c>
      <c r="K247" s="134" t="str">
        <f t="shared" si="20"/>
        <v/>
      </c>
      <c r="L247" s="250"/>
      <c r="M247" s="251">
        <v>167600</v>
      </c>
      <c r="N247" s="252"/>
      <c r="O247" s="252">
        <f t="shared" ref="O247:O256" si="26">M247/P247</f>
        <v>37.244444444444447</v>
      </c>
      <c r="P247" s="252">
        <v>4500</v>
      </c>
      <c r="Q247" s="252">
        <v>900</v>
      </c>
      <c r="R247" s="252">
        <f t="shared" si="24"/>
        <v>200</v>
      </c>
      <c r="S247" s="252">
        <f>ROUND(R247*CPI!$B$120/VLOOKUP($I247,CPI!$A$1:$B$140,2,FALSE)/1000,2)*1000</f>
        <v>200</v>
      </c>
      <c r="T247" s="250" t="s">
        <v>235</v>
      </c>
      <c r="U247" s="250" t="s">
        <v>1059</v>
      </c>
      <c r="V247" s="250"/>
      <c r="W247" s="256"/>
      <c r="X247" s="257"/>
      <c r="Y247" s="257"/>
      <c r="Z247" s="257"/>
      <c r="AA247" s="257"/>
      <c r="AB247" s="257"/>
      <c r="AC247" s="250" t="str">
        <f t="shared" si="21"/>
        <v/>
      </c>
      <c r="AE247" s="276">
        <v>43528</v>
      </c>
      <c r="AF247" s="119" t="s">
        <v>1078</v>
      </c>
      <c r="AG247" s="119" t="s">
        <v>191</v>
      </c>
      <c r="AH247" s="277">
        <v>649</v>
      </c>
      <c r="AI247" s="277">
        <v>8</v>
      </c>
      <c r="AJ247" s="277">
        <f>AH247/AI247</f>
        <v>81.125</v>
      </c>
    </row>
    <row r="248" spans="2:36" ht="13.5" customHeight="1">
      <c r="B248" s="69">
        <v>1</v>
      </c>
      <c r="C248" s="69">
        <v>246</v>
      </c>
      <c r="D248" s="249" t="s">
        <v>918</v>
      </c>
      <c r="E248" s="295" t="s">
        <v>1496</v>
      </c>
      <c r="F248" s="250" t="s">
        <v>184</v>
      </c>
      <c r="G248" s="250" t="s">
        <v>200</v>
      </c>
      <c r="H248" s="250" t="s">
        <v>184</v>
      </c>
      <c r="I248" s="250">
        <v>2019</v>
      </c>
      <c r="J248" s="250" t="s">
        <v>1044</v>
      </c>
      <c r="K248" s="134" t="str">
        <f t="shared" si="20"/>
        <v/>
      </c>
      <c r="L248" s="250"/>
      <c r="M248" s="251">
        <v>177100</v>
      </c>
      <c r="N248" s="252"/>
      <c r="O248" s="252">
        <f t="shared" si="26"/>
        <v>36.231587561374795</v>
      </c>
      <c r="P248" s="252">
        <v>4888</v>
      </c>
      <c r="Q248" s="252">
        <v>900</v>
      </c>
      <c r="R248" s="252">
        <f t="shared" si="24"/>
        <v>184.12438625204584</v>
      </c>
      <c r="S248" s="252">
        <f>ROUND(R248*CPI!$B$120/VLOOKUP($I248,CPI!$A$1:$B$140,2,FALSE)/1000,2)*1000</f>
        <v>180</v>
      </c>
      <c r="T248" s="250" t="s">
        <v>235</v>
      </c>
      <c r="U248" s="250" t="s">
        <v>453</v>
      </c>
      <c r="V248" s="250"/>
      <c r="W248" s="256"/>
      <c r="X248" s="257"/>
      <c r="Y248" s="257"/>
      <c r="Z248" s="257"/>
      <c r="AA248" s="257"/>
      <c r="AB248" s="257"/>
      <c r="AC248" s="250" t="str">
        <f t="shared" si="21"/>
        <v/>
      </c>
      <c r="AE248" s="276">
        <v>43785</v>
      </c>
      <c r="AF248" s="119" t="s">
        <v>1081</v>
      </c>
      <c r="AG248" s="119" t="s">
        <v>191</v>
      </c>
      <c r="AH248" s="277">
        <v>519</v>
      </c>
      <c r="AI248" s="277">
        <v>7</v>
      </c>
      <c r="AJ248" s="277">
        <f>AH248/AI248</f>
        <v>74.142857142857139</v>
      </c>
    </row>
    <row r="249" spans="2:36" ht="13.5" customHeight="1">
      <c r="B249" s="69">
        <v>1</v>
      </c>
      <c r="C249" s="69">
        <v>247</v>
      </c>
      <c r="D249" s="249" t="s">
        <v>924</v>
      </c>
      <c r="E249" s="249" t="s">
        <v>1327</v>
      </c>
      <c r="F249" s="250" t="s">
        <v>184</v>
      </c>
      <c r="G249" s="250" t="s">
        <v>200</v>
      </c>
      <c r="H249" s="250" t="s">
        <v>184</v>
      </c>
      <c r="I249" s="250">
        <v>2020</v>
      </c>
      <c r="J249" s="250" t="s">
        <v>1050</v>
      </c>
      <c r="K249" s="134" t="str">
        <f t="shared" si="20"/>
        <v/>
      </c>
      <c r="L249" s="250"/>
      <c r="M249" s="251">
        <v>177100</v>
      </c>
      <c r="N249" s="252"/>
      <c r="O249" s="252">
        <f t="shared" si="26"/>
        <v>36.231587561374795</v>
      </c>
      <c r="P249" s="252">
        <v>4888</v>
      </c>
      <c r="Q249" s="252">
        <v>900</v>
      </c>
      <c r="R249" s="252">
        <f t="shared" si="24"/>
        <v>184.12438625204584</v>
      </c>
      <c r="S249" s="252">
        <f>ROUND(R249*CPI!$B$120/VLOOKUP($I249,CPI!$A$1:$B$140,2,FALSE)/1000,2)*1000</f>
        <v>180</v>
      </c>
      <c r="T249" s="250" t="s">
        <v>235</v>
      </c>
      <c r="U249" s="250" t="s">
        <v>453</v>
      </c>
      <c r="V249" s="250"/>
      <c r="W249" s="256"/>
      <c r="X249" s="257"/>
      <c r="Y249" s="257"/>
      <c r="Z249" s="257"/>
      <c r="AA249" s="257"/>
      <c r="AB249" s="257"/>
      <c r="AC249" s="250" t="str">
        <f t="shared" si="21"/>
        <v/>
      </c>
      <c r="AE249" s="276"/>
      <c r="AF249" s="119"/>
      <c r="AG249" s="119"/>
      <c r="AH249" s="277"/>
      <c r="AI249" s="277"/>
      <c r="AJ249" s="277"/>
    </row>
    <row r="250" spans="2:36" ht="13.5" customHeight="1">
      <c r="B250" s="69">
        <v>1</v>
      </c>
      <c r="C250" s="69">
        <v>248</v>
      </c>
      <c r="D250" s="249" t="s">
        <v>953</v>
      </c>
      <c r="E250" s="249" t="s">
        <v>1328</v>
      </c>
      <c r="F250" s="250" t="s">
        <v>184</v>
      </c>
      <c r="G250" s="250" t="s">
        <v>200</v>
      </c>
      <c r="H250" s="250" t="s">
        <v>184</v>
      </c>
      <c r="I250" s="250">
        <v>2021</v>
      </c>
      <c r="J250" s="274" t="s">
        <v>1043</v>
      </c>
      <c r="K250" s="134" t="str">
        <f t="shared" si="20"/>
        <v/>
      </c>
      <c r="L250" s="250"/>
      <c r="M250" s="251">
        <v>168380</v>
      </c>
      <c r="N250" s="252"/>
      <c r="O250" s="252">
        <f t="shared" si="26"/>
        <v>36.925438596491226</v>
      </c>
      <c r="P250" s="252">
        <v>4560</v>
      </c>
      <c r="Q250" s="252">
        <v>1100</v>
      </c>
      <c r="R250" s="252">
        <f t="shared" si="24"/>
        <v>241.2280701754386</v>
      </c>
      <c r="S250" s="252">
        <f>ROUND(R250*CPI!$B$120/VLOOKUP($I250,CPI!$A$1:$B$140,2,FALSE)/1000,2)*1000</f>
        <v>230</v>
      </c>
      <c r="T250" s="250" t="s">
        <v>212</v>
      </c>
      <c r="U250" s="250" t="s">
        <v>1060</v>
      </c>
      <c r="V250" s="250"/>
      <c r="W250" s="256"/>
      <c r="X250" s="257"/>
      <c r="Y250" s="257"/>
      <c r="Z250" s="257"/>
      <c r="AA250" s="257"/>
      <c r="AB250" s="257"/>
      <c r="AC250" s="250" t="str">
        <f t="shared" si="21"/>
        <v/>
      </c>
      <c r="AE250" s="276"/>
      <c r="AF250" s="119"/>
      <c r="AG250" s="119"/>
      <c r="AH250" s="277"/>
      <c r="AI250" s="277"/>
      <c r="AJ250" s="277"/>
    </row>
    <row r="251" spans="2:36" ht="13.5" customHeight="1">
      <c r="B251" s="69">
        <v>1</v>
      </c>
      <c r="C251" s="69">
        <v>249</v>
      </c>
      <c r="D251" s="249" t="s">
        <v>772</v>
      </c>
      <c r="E251" s="249" t="s">
        <v>1329</v>
      </c>
      <c r="F251" s="250" t="s">
        <v>184</v>
      </c>
      <c r="G251" s="250" t="s">
        <v>200</v>
      </c>
      <c r="H251" s="250" t="s">
        <v>184</v>
      </c>
      <c r="I251" s="250">
        <v>2022</v>
      </c>
      <c r="J251" s="274" t="s">
        <v>1043</v>
      </c>
      <c r="K251" s="134" t="str">
        <f t="shared" si="20"/>
        <v/>
      </c>
      <c r="L251" s="250"/>
      <c r="M251" s="251">
        <v>200000</v>
      </c>
      <c r="N251" s="252"/>
      <c r="O251" s="252">
        <f t="shared" si="26"/>
        <v>37.037037037037038</v>
      </c>
      <c r="P251" s="252">
        <v>5400</v>
      </c>
      <c r="Q251" s="252">
        <v>1200</v>
      </c>
      <c r="R251" s="252">
        <f t="shared" si="24"/>
        <v>222.2222222222222</v>
      </c>
      <c r="S251" s="252">
        <f>ROUND(R251*CPI!$B$120/VLOOKUP($I251,CPI!$A$1:$B$140,2,FALSE)/1000,2)*1000</f>
        <v>210</v>
      </c>
      <c r="T251" s="250" t="s">
        <v>235</v>
      </c>
      <c r="U251" s="250" t="s">
        <v>1060</v>
      </c>
      <c r="V251" s="250"/>
      <c r="W251" s="256"/>
      <c r="X251" s="257"/>
      <c r="Y251" s="257"/>
      <c r="Z251" s="257"/>
      <c r="AA251" s="257"/>
      <c r="AB251" s="257"/>
      <c r="AC251" s="250" t="str">
        <f t="shared" si="21"/>
        <v/>
      </c>
      <c r="AE251" s="276"/>
      <c r="AF251" s="119"/>
      <c r="AG251" s="119"/>
      <c r="AH251" s="277"/>
      <c r="AI251" s="277"/>
      <c r="AJ251" s="277"/>
    </row>
    <row r="252" spans="2:36" ht="13.5" customHeight="1">
      <c r="B252" s="69">
        <v>1</v>
      </c>
      <c r="C252" s="69">
        <v>250</v>
      </c>
      <c r="D252" s="249" t="s">
        <v>954</v>
      </c>
      <c r="E252" s="249" t="s">
        <v>1330</v>
      </c>
      <c r="F252" s="250" t="s">
        <v>184</v>
      </c>
      <c r="G252" s="250" t="s">
        <v>200</v>
      </c>
      <c r="H252" s="250" t="s">
        <v>184</v>
      </c>
      <c r="I252" s="250">
        <v>2023</v>
      </c>
      <c r="J252" s="274" t="s">
        <v>1043</v>
      </c>
      <c r="K252" s="134" t="str">
        <f t="shared" si="20"/>
        <v/>
      </c>
      <c r="L252" s="250"/>
      <c r="M252" s="251">
        <v>169380</v>
      </c>
      <c r="N252" s="252"/>
      <c r="O252" s="252">
        <f t="shared" si="26"/>
        <v>37.14473684210526</v>
      </c>
      <c r="P252" s="252">
        <v>4560</v>
      </c>
      <c r="Q252" s="252">
        <v>1100</v>
      </c>
      <c r="R252" s="252">
        <f t="shared" si="24"/>
        <v>241.2280701754386</v>
      </c>
      <c r="S252" s="252">
        <f>ROUND(R252*CPI!$B$120/VLOOKUP($I252,CPI!$A$1:$B$140,2,FALSE)/1000,2)*1000</f>
        <v>220</v>
      </c>
      <c r="T252" s="250" t="s">
        <v>212</v>
      </c>
      <c r="U252" s="250" t="s">
        <v>1061</v>
      </c>
      <c r="V252" s="250" t="s">
        <v>1063</v>
      </c>
      <c r="W252" s="256"/>
      <c r="X252" s="257"/>
      <c r="Y252" s="257"/>
      <c r="Z252" s="257"/>
      <c r="AA252" s="257"/>
      <c r="AB252" s="257"/>
      <c r="AC252" s="250" t="str">
        <f t="shared" si="21"/>
        <v/>
      </c>
      <c r="AE252" s="276"/>
      <c r="AF252" s="119"/>
      <c r="AG252" s="119"/>
      <c r="AH252" s="277"/>
      <c r="AI252" s="277"/>
      <c r="AJ252" s="277"/>
    </row>
    <row r="253" spans="2:36" ht="13.5" customHeight="1">
      <c r="B253" s="69">
        <v>1</v>
      </c>
      <c r="C253" s="69">
        <v>251</v>
      </c>
      <c r="D253" s="249" t="s">
        <v>954</v>
      </c>
      <c r="E253" s="249" t="s">
        <v>1330</v>
      </c>
      <c r="F253" s="250" t="s">
        <v>184</v>
      </c>
      <c r="G253" s="250" t="s">
        <v>200</v>
      </c>
      <c r="H253" s="250" t="s">
        <v>184</v>
      </c>
      <c r="I253" s="250">
        <v>2023</v>
      </c>
      <c r="J253" s="274" t="s">
        <v>1043</v>
      </c>
      <c r="K253" s="134" t="str">
        <f t="shared" si="20"/>
        <v/>
      </c>
      <c r="L253" s="250"/>
      <c r="M253" s="251">
        <v>177100</v>
      </c>
      <c r="N253" s="252"/>
      <c r="O253" s="252">
        <f t="shared" si="26"/>
        <v>36.231587561374795</v>
      </c>
      <c r="P253" s="252">
        <v>4888</v>
      </c>
      <c r="Q253" s="252">
        <v>1000</v>
      </c>
      <c r="R253" s="252">
        <f t="shared" si="24"/>
        <v>204.58265139116202</v>
      </c>
      <c r="S253" s="252">
        <f>ROUND(R253*CPI!$B$120/VLOOKUP($I253,CPI!$A$1:$B$140,2,FALSE)/1000,2)*1000</f>
        <v>190</v>
      </c>
      <c r="T253" s="250" t="s">
        <v>235</v>
      </c>
      <c r="U253" s="250" t="s">
        <v>1061</v>
      </c>
      <c r="V253" s="250" t="s">
        <v>1063</v>
      </c>
      <c r="W253" s="256"/>
      <c r="X253" s="257"/>
      <c r="Y253" s="257"/>
      <c r="Z253" s="257"/>
      <c r="AA253" s="257"/>
      <c r="AB253" s="257"/>
      <c r="AC253" s="250" t="str">
        <f t="shared" si="21"/>
        <v/>
      </c>
      <c r="AE253" s="276"/>
      <c r="AF253" s="119"/>
      <c r="AG253" s="119"/>
      <c r="AH253" s="277"/>
      <c r="AI253" s="277"/>
      <c r="AJ253" s="277"/>
    </row>
    <row r="254" spans="2:36" ht="13.5" customHeight="1">
      <c r="B254" s="69">
        <v>1</v>
      </c>
      <c r="C254" s="69">
        <v>252</v>
      </c>
      <c r="D254" s="249" t="s">
        <v>773</v>
      </c>
      <c r="E254" s="249" t="s">
        <v>1331</v>
      </c>
      <c r="F254" s="250" t="s">
        <v>184</v>
      </c>
      <c r="G254" s="250" t="s">
        <v>200</v>
      </c>
      <c r="H254" s="250" t="s">
        <v>184</v>
      </c>
      <c r="I254" s="250">
        <v>2024</v>
      </c>
      <c r="J254" s="274" t="s">
        <v>1043</v>
      </c>
      <c r="K254" s="134" t="str">
        <f t="shared" si="20"/>
        <v/>
      </c>
      <c r="L254" s="250"/>
      <c r="M254" s="251">
        <v>200000</v>
      </c>
      <c r="N254" s="252"/>
      <c r="O254" s="252">
        <f t="shared" si="26"/>
        <v>37.037037037037038</v>
      </c>
      <c r="P254" s="252">
        <v>5400</v>
      </c>
      <c r="Q254" s="252">
        <v>1200</v>
      </c>
      <c r="R254" s="252">
        <f t="shared" si="24"/>
        <v>222.2222222222222</v>
      </c>
      <c r="S254" s="252">
        <f>ROUND(R254*CPI!$B$120/VLOOKUP($I254,CPI!$A$1:$B$140,2,FALSE)/1000,2)*1000</f>
        <v>200</v>
      </c>
      <c r="T254" s="250" t="s">
        <v>235</v>
      </c>
      <c r="U254" s="250" t="s">
        <v>1061</v>
      </c>
      <c r="V254" s="250" t="s">
        <v>1063</v>
      </c>
      <c r="W254" s="256"/>
      <c r="X254" s="257"/>
      <c r="Y254" s="257"/>
      <c r="Z254" s="257"/>
      <c r="AA254" s="257"/>
      <c r="AB254" s="257"/>
      <c r="AC254" s="250" t="str">
        <f t="shared" si="21"/>
        <v/>
      </c>
      <c r="AE254" s="276"/>
      <c r="AF254" s="119"/>
      <c r="AG254" s="119"/>
      <c r="AH254" s="277"/>
      <c r="AI254" s="277"/>
      <c r="AJ254" s="277"/>
    </row>
    <row r="255" spans="2:36" ht="13.5" customHeight="1">
      <c r="B255" s="69">
        <v>1</v>
      </c>
      <c r="C255" s="69">
        <v>253</v>
      </c>
      <c r="D255" s="249" t="s">
        <v>955</v>
      </c>
      <c r="E255" s="249" t="s">
        <v>1332</v>
      </c>
      <c r="F255" s="250" t="s">
        <v>184</v>
      </c>
      <c r="G255" s="250" t="s">
        <v>200</v>
      </c>
      <c r="H255" s="250" t="s">
        <v>184</v>
      </c>
      <c r="I255" s="250">
        <v>2025</v>
      </c>
      <c r="J255" s="274" t="s">
        <v>1043</v>
      </c>
      <c r="K255" s="134" t="str">
        <f t="shared" si="20"/>
        <v/>
      </c>
      <c r="L255" s="250"/>
      <c r="M255" s="251">
        <v>200000</v>
      </c>
      <c r="N255" s="252"/>
      <c r="O255" s="252">
        <f t="shared" si="26"/>
        <v>37.037037037037038</v>
      </c>
      <c r="P255" s="252">
        <v>5400</v>
      </c>
      <c r="Q255" s="252">
        <v>1200</v>
      </c>
      <c r="R255" s="252">
        <f t="shared" si="24"/>
        <v>222.2222222222222</v>
      </c>
      <c r="S255" s="252">
        <f>ROUND(R255*CPI!$B$120/VLOOKUP($I255,CPI!$A$1:$B$140,2,FALSE)/1000,2)*1000</f>
        <v>190</v>
      </c>
      <c r="T255" s="250" t="s">
        <v>235</v>
      </c>
      <c r="U255" s="250" t="s">
        <v>1061</v>
      </c>
      <c r="V255" s="250" t="s">
        <v>1063</v>
      </c>
      <c r="W255" s="256"/>
      <c r="X255" s="257"/>
      <c r="Y255" s="257"/>
      <c r="Z255" s="257"/>
      <c r="AA255" s="257"/>
      <c r="AB255" s="257"/>
      <c r="AC255" s="250" t="str">
        <f t="shared" si="21"/>
        <v/>
      </c>
      <c r="AE255" s="276"/>
      <c r="AF255" s="119"/>
      <c r="AG255" s="119"/>
      <c r="AH255" s="277"/>
      <c r="AI255" s="277"/>
      <c r="AJ255" s="277"/>
    </row>
    <row r="256" spans="2:36" ht="13.5" customHeight="1">
      <c r="B256" s="69">
        <v>1</v>
      </c>
      <c r="C256" s="69">
        <v>254</v>
      </c>
      <c r="D256" s="249" t="s">
        <v>956</v>
      </c>
      <c r="E256" s="249" t="s">
        <v>1333</v>
      </c>
      <c r="F256" s="250" t="s">
        <v>184</v>
      </c>
      <c r="G256" s="250" t="s">
        <v>200</v>
      </c>
      <c r="H256" s="250" t="s">
        <v>184</v>
      </c>
      <c r="I256" s="250">
        <v>2026</v>
      </c>
      <c r="J256" s="274" t="s">
        <v>1043</v>
      </c>
      <c r="K256" s="134" t="str">
        <f t="shared" si="20"/>
        <v/>
      </c>
      <c r="L256" s="250"/>
      <c r="M256" s="251">
        <v>200000</v>
      </c>
      <c r="N256" s="252"/>
      <c r="O256" s="252">
        <f t="shared" si="26"/>
        <v>37.037037037037038</v>
      </c>
      <c r="P256" s="252">
        <v>5400</v>
      </c>
      <c r="Q256" s="252">
        <v>1200</v>
      </c>
      <c r="R256" s="252">
        <f t="shared" si="24"/>
        <v>222.2222222222222</v>
      </c>
      <c r="S256" s="252">
        <f>ROUND(R256*CPI!$B$120/VLOOKUP($I256,CPI!$A$1:$B$140,2,FALSE)/1000,2)*1000</f>
        <v>190</v>
      </c>
      <c r="T256" s="250" t="s">
        <v>235</v>
      </c>
      <c r="U256" s="250" t="s">
        <v>1061</v>
      </c>
      <c r="V256" s="250" t="s">
        <v>1063</v>
      </c>
      <c r="W256" s="256"/>
      <c r="X256" s="257"/>
      <c r="Y256" s="257"/>
      <c r="Z256" s="257"/>
      <c r="AA256" s="257"/>
      <c r="AB256" s="257"/>
      <c r="AC256" s="250" t="str">
        <f t="shared" si="21"/>
        <v/>
      </c>
      <c r="AE256" s="276"/>
      <c r="AF256" s="119"/>
      <c r="AG256" s="119"/>
      <c r="AH256" s="277"/>
      <c r="AI256" s="277"/>
      <c r="AJ256" s="277"/>
    </row>
    <row r="257" spans="2:36" ht="13.5" customHeight="1">
      <c r="B257" s="69">
        <v>1</v>
      </c>
      <c r="C257" s="69">
        <v>255</v>
      </c>
      <c r="D257" s="236" t="s">
        <v>181</v>
      </c>
      <c r="E257" s="236" t="s">
        <v>1334</v>
      </c>
      <c r="F257" s="232" t="s">
        <v>253</v>
      </c>
      <c r="G257" s="232" t="s">
        <v>200</v>
      </c>
      <c r="H257" s="232" t="s">
        <v>194</v>
      </c>
      <c r="I257" s="232">
        <v>1988</v>
      </c>
      <c r="J257" s="232"/>
      <c r="K257" s="134">
        <f t="shared" si="20"/>
        <v>31</v>
      </c>
      <c r="L257" s="232">
        <v>2013</v>
      </c>
      <c r="M257" s="234">
        <v>42285</v>
      </c>
      <c r="N257" s="235">
        <f>216*3.28084</f>
        <v>708.66143999999997</v>
      </c>
      <c r="O257" s="235">
        <v>28</v>
      </c>
      <c r="P257" s="235">
        <v>1480</v>
      </c>
      <c r="Q257" s="235">
        <v>120</v>
      </c>
      <c r="R257" s="235">
        <f t="shared" si="24"/>
        <v>81.081081081081081</v>
      </c>
      <c r="S257" s="235">
        <f>ROUND(R257*CPI!$B$120/VLOOKUP($I257,CPI!$A$1:$B$122,2,FALSE)/1000,2)*1000</f>
        <v>170</v>
      </c>
      <c r="T257" s="232" t="s">
        <v>272</v>
      </c>
      <c r="U257" s="232" t="s">
        <v>248</v>
      </c>
      <c r="V257" s="232"/>
      <c r="W257" s="256" t="e">
        <f>SUM(((X257/SUM(X257:AB257))*5),((Y257/SUM(X257:AB257))*4),((Z257/SUM(X257:AB257))*3),((AA257/SUM(X257:AB257))*2),((AB257/SUM(X257:AB257)*1)))</f>
        <v>#DIV/0!</v>
      </c>
      <c r="X257" s="257"/>
      <c r="Y257" s="257"/>
      <c r="Z257" s="257"/>
      <c r="AA257" s="257"/>
      <c r="AB257" s="257"/>
      <c r="AC257" s="250">
        <f t="shared" si="21"/>
        <v>1988</v>
      </c>
      <c r="AE257" s="276"/>
      <c r="AF257" s="119"/>
      <c r="AG257" s="119"/>
      <c r="AH257" s="277"/>
      <c r="AI257" s="277"/>
      <c r="AJ257" s="277"/>
    </row>
    <row r="258" spans="2:36" ht="13.5" customHeight="1">
      <c r="B258" s="69">
        <v>1</v>
      </c>
      <c r="C258" s="69">
        <v>256</v>
      </c>
      <c r="D258" s="236" t="s">
        <v>183</v>
      </c>
      <c r="E258" s="236" t="s">
        <v>1335</v>
      </c>
      <c r="F258" s="232" t="s">
        <v>253</v>
      </c>
      <c r="G258" s="232" t="s">
        <v>200</v>
      </c>
      <c r="H258" s="232" t="s">
        <v>194</v>
      </c>
      <c r="I258" s="232">
        <v>1990</v>
      </c>
      <c r="J258" s="232"/>
      <c r="K258" s="134">
        <f t="shared" si="20"/>
        <v>29</v>
      </c>
      <c r="L258" s="232">
        <v>2011</v>
      </c>
      <c r="M258" s="234">
        <v>40053</v>
      </c>
      <c r="N258" s="235">
        <f>176*3.28084</f>
        <v>577.42783999999995</v>
      </c>
      <c r="O258" s="235">
        <v>40</v>
      </c>
      <c r="P258" s="235">
        <v>1552</v>
      </c>
      <c r="Q258" s="235">
        <f>650*0.17</f>
        <v>110.50000000000001</v>
      </c>
      <c r="R258" s="235">
        <f t="shared" si="24"/>
        <v>71.198453608247434</v>
      </c>
      <c r="S258" s="235">
        <f>ROUND(R258*CPI!$B$120/VLOOKUP($I258,CPI!$A$1:$B$122,2,FALSE)/1000,2)*1000</f>
        <v>130</v>
      </c>
      <c r="T258" s="232" t="s">
        <v>271</v>
      </c>
      <c r="U258" s="232" t="s">
        <v>248</v>
      </c>
      <c r="V258" s="232"/>
      <c r="W258" s="256"/>
      <c r="X258" s="257"/>
      <c r="Y258" s="257"/>
      <c r="Z258" s="257"/>
      <c r="AA258" s="257"/>
      <c r="AB258" s="257"/>
      <c r="AC258" s="250">
        <f t="shared" si="21"/>
        <v>1990</v>
      </c>
      <c r="AE258" s="276"/>
      <c r="AF258" s="119"/>
      <c r="AG258" s="119"/>
      <c r="AH258" s="277"/>
      <c r="AI258" s="277"/>
      <c r="AJ258" s="277"/>
    </row>
    <row r="259" spans="2:36" ht="13.5" customHeight="1">
      <c r="B259" s="69">
        <v>1</v>
      </c>
      <c r="C259" s="69">
        <v>257</v>
      </c>
      <c r="D259" s="236" t="s">
        <v>180</v>
      </c>
      <c r="E259" s="236" t="s">
        <v>1336</v>
      </c>
      <c r="F259" s="232" t="s">
        <v>253</v>
      </c>
      <c r="G259" s="232" t="s">
        <v>200</v>
      </c>
      <c r="H259" s="232" t="s">
        <v>194</v>
      </c>
      <c r="I259" s="232">
        <v>1992</v>
      </c>
      <c r="J259" s="232"/>
      <c r="K259" s="134">
        <f t="shared" si="20"/>
        <v>27</v>
      </c>
      <c r="L259" s="232">
        <v>2013</v>
      </c>
      <c r="M259" s="234">
        <v>50764</v>
      </c>
      <c r="N259" s="235">
        <f>229*3.28084</f>
        <v>751.31236000000001</v>
      </c>
      <c r="O259" s="235">
        <v>32</v>
      </c>
      <c r="P259" s="235">
        <v>1750</v>
      </c>
      <c r="Q259" s="235">
        <v>240</v>
      </c>
      <c r="R259" s="235">
        <f t="shared" si="24"/>
        <v>137.14285714285714</v>
      </c>
      <c r="S259" s="235">
        <f>ROUND(R259*CPI!$B$120/VLOOKUP($I259,CPI!$A$1:$B$122,2,FALSE)/1000,2)*1000</f>
        <v>240</v>
      </c>
      <c r="T259" s="232" t="s">
        <v>241</v>
      </c>
      <c r="U259" s="232" t="s">
        <v>248</v>
      </c>
      <c r="V259" s="232"/>
      <c r="W259" s="256"/>
      <c r="X259" s="257"/>
      <c r="Y259" s="257"/>
      <c r="Z259" s="257"/>
      <c r="AA259" s="257"/>
      <c r="AB259" s="257"/>
      <c r="AC259" s="250">
        <f t="shared" si="21"/>
        <v>1992</v>
      </c>
      <c r="AE259" s="276"/>
      <c r="AF259" s="119"/>
      <c r="AG259" s="119"/>
      <c r="AH259" s="277"/>
      <c r="AI259" s="277"/>
      <c r="AJ259" s="277"/>
    </row>
    <row r="260" spans="2:36" ht="13.5" customHeight="1">
      <c r="B260" s="69">
        <v>1</v>
      </c>
      <c r="C260" s="69">
        <v>258</v>
      </c>
      <c r="D260" s="236" t="s">
        <v>182</v>
      </c>
      <c r="E260" s="236" t="s">
        <v>1337</v>
      </c>
      <c r="F260" s="232" t="s">
        <v>253</v>
      </c>
      <c r="G260" s="232" t="s">
        <v>200</v>
      </c>
      <c r="H260" s="232" t="s">
        <v>194</v>
      </c>
      <c r="I260" s="232">
        <v>1993</v>
      </c>
      <c r="J260" s="232"/>
      <c r="K260" s="134">
        <f t="shared" si="20"/>
        <v>26</v>
      </c>
      <c r="L260" s="232">
        <v>2013</v>
      </c>
      <c r="M260" s="234">
        <v>51309</v>
      </c>
      <c r="N260" s="235">
        <f>229*3.28084</f>
        <v>751.31236000000001</v>
      </c>
      <c r="O260" s="235">
        <v>32</v>
      </c>
      <c r="P260" s="235">
        <v>1750</v>
      </c>
      <c r="Q260" s="235">
        <v>240</v>
      </c>
      <c r="R260" s="235">
        <f t="shared" ref="R260:R291" si="27">Q260/P260*1000</f>
        <v>137.14285714285714</v>
      </c>
      <c r="S260" s="235">
        <f>ROUND(R260*CPI!$B$120/VLOOKUP($I260,CPI!$A$1:$B$122,2,FALSE)/1000,2)*1000</f>
        <v>240</v>
      </c>
      <c r="T260" s="232" t="s">
        <v>241</v>
      </c>
      <c r="U260" s="232" t="s">
        <v>248</v>
      </c>
      <c r="V260" s="232"/>
      <c r="W260" s="256"/>
      <c r="X260" s="257"/>
      <c r="Y260" s="257"/>
      <c r="Z260" s="257"/>
      <c r="AA260" s="257"/>
      <c r="AB260" s="257"/>
      <c r="AC260" s="250">
        <f t="shared" si="21"/>
        <v>1993</v>
      </c>
      <c r="AE260" s="276"/>
      <c r="AF260" s="119"/>
      <c r="AG260" s="119"/>
      <c r="AH260" s="277"/>
      <c r="AI260" s="277"/>
      <c r="AJ260" s="277"/>
    </row>
    <row r="261" spans="2:36" ht="13.5" customHeight="1">
      <c r="B261" s="69">
        <v>1</v>
      </c>
      <c r="C261" s="69">
        <v>259</v>
      </c>
      <c r="D261" s="236" t="s">
        <v>179</v>
      </c>
      <c r="E261" s="236" t="s">
        <v>1338</v>
      </c>
      <c r="F261" s="232" t="s">
        <v>253</v>
      </c>
      <c r="G261" s="232" t="s">
        <v>200</v>
      </c>
      <c r="H261" s="232" t="s">
        <v>194</v>
      </c>
      <c r="I261" s="232">
        <v>1999</v>
      </c>
      <c r="J261" s="232"/>
      <c r="K261" s="134">
        <f t="shared" ref="K261:K279" si="28">IF(ISNUMBER(AC261),$K$1-AC261+1,"")</f>
        <v>20</v>
      </c>
      <c r="L261" s="232">
        <v>2014</v>
      </c>
      <c r="M261" s="234">
        <v>75338</v>
      </c>
      <c r="N261" s="235">
        <f>268*3.28084</f>
        <v>879.26512000000002</v>
      </c>
      <c r="O261" s="235">
        <v>38</v>
      </c>
      <c r="P261" s="235">
        <v>1974</v>
      </c>
      <c r="Q261" s="235">
        <v>350</v>
      </c>
      <c r="R261" s="235">
        <f t="shared" si="27"/>
        <v>177.3049645390071</v>
      </c>
      <c r="S261" s="235">
        <f>ROUND(R261*CPI!$B$120/VLOOKUP($I261,CPI!$A$1:$B$122,2,FALSE)/1000,2)*1000</f>
        <v>260</v>
      </c>
      <c r="T261" s="232" t="s">
        <v>273</v>
      </c>
      <c r="U261" s="232" t="s">
        <v>248</v>
      </c>
      <c r="V261" s="232"/>
      <c r="W261" s="256" t="e">
        <f>SUM(((X261/SUM(X261:AB261))*5),((Y261/SUM(X261:AB261))*4),((Z261/SUM(X261:AB261))*3),((AA261/SUM(X261:AB261))*2),((AB261/SUM(X261:AB261)*1)))</f>
        <v>#DIV/0!</v>
      </c>
      <c r="X261" s="257"/>
      <c r="Y261" s="257"/>
      <c r="Z261" s="257"/>
      <c r="AA261" s="257"/>
      <c r="AB261" s="257"/>
      <c r="AC261" s="250">
        <f t="shared" ref="AC261:AC279" si="29">IF(I261&lt;=$K$1,I261,"")</f>
        <v>1999</v>
      </c>
      <c r="AE261" s="276"/>
      <c r="AF261" s="119"/>
      <c r="AG261" s="119"/>
      <c r="AH261" s="277"/>
      <c r="AI261" s="277"/>
      <c r="AJ261" s="277"/>
    </row>
    <row r="262" spans="2:36" ht="13.5" customHeight="1">
      <c r="B262" s="69">
        <v>1</v>
      </c>
      <c r="C262" s="69">
        <v>260</v>
      </c>
      <c r="D262" s="236" t="s">
        <v>441</v>
      </c>
      <c r="E262" s="236" t="s">
        <v>1339</v>
      </c>
      <c r="F262" s="232" t="s">
        <v>253</v>
      </c>
      <c r="G262" s="232" t="s">
        <v>201</v>
      </c>
      <c r="H262" s="232" t="s">
        <v>218</v>
      </c>
      <c r="I262" s="232">
        <v>2016</v>
      </c>
      <c r="J262" s="232"/>
      <c r="K262" s="134">
        <f t="shared" si="28"/>
        <v>3</v>
      </c>
      <c r="L262" s="232"/>
      <c r="M262" s="234">
        <v>150000</v>
      </c>
      <c r="N262" s="235">
        <v>1099</v>
      </c>
      <c r="O262" s="235">
        <v>45</v>
      </c>
      <c r="P262" s="235">
        <v>3364</v>
      </c>
      <c r="Q262" s="235">
        <v>960</v>
      </c>
      <c r="R262" s="235">
        <f t="shared" si="27"/>
        <v>285.3745541022592</v>
      </c>
      <c r="S262" s="235">
        <f>ROUND(R262*CPI!$B$120/VLOOKUP($I262,CPI!$A$1:$B$122,2,FALSE)/1000,2)*1000</f>
        <v>300</v>
      </c>
      <c r="T262" s="232" t="s">
        <v>228</v>
      </c>
      <c r="U262" s="232" t="s">
        <v>218</v>
      </c>
      <c r="V262" s="232"/>
      <c r="W262" s="256"/>
      <c r="X262" s="257"/>
      <c r="Y262" s="257"/>
      <c r="Z262" s="257"/>
      <c r="AA262" s="257"/>
      <c r="AB262" s="257"/>
      <c r="AC262" s="250">
        <f t="shared" si="29"/>
        <v>2016</v>
      </c>
      <c r="AE262" s="276"/>
      <c r="AF262" s="119"/>
      <c r="AG262" s="119"/>
      <c r="AH262" s="277"/>
      <c r="AI262" s="277"/>
      <c r="AJ262" s="277"/>
    </row>
    <row r="263" spans="2:36" ht="13.5" customHeight="1">
      <c r="B263" s="69">
        <v>1</v>
      </c>
      <c r="C263" s="69">
        <v>261</v>
      </c>
      <c r="D263" s="236" t="s">
        <v>446</v>
      </c>
      <c r="E263" s="236" t="s">
        <v>1340</v>
      </c>
      <c r="F263" s="232" t="s">
        <v>253</v>
      </c>
      <c r="G263" s="232" t="s">
        <v>201</v>
      </c>
      <c r="H263" s="232" t="s">
        <v>218</v>
      </c>
      <c r="I263" s="232">
        <v>2017</v>
      </c>
      <c r="J263" s="232"/>
      <c r="K263" s="134">
        <f t="shared" si="28"/>
        <v>2</v>
      </c>
      <c r="L263" s="232"/>
      <c r="M263" s="234">
        <v>150000</v>
      </c>
      <c r="N263" s="235">
        <v>1099</v>
      </c>
      <c r="O263" s="235">
        <v>45</v>
      </c>
      <c r="P263" s="235">
        <v>3364</v>
      </c>
      <c r="Q263" s="235">
        <v>960</v>
      </c>
      <c r="R263" s="235">
        <f t="shared" si="27"/>
        <v>285.3745541022592</v>
      </c>
      <c r="S263" s="235">
        <f>ROUND(R263*CPI!$B$120/VLOOKUP($I263,CPI!$A$1:$B$122,2,FALSE)/1000,2)*1000</f>
        <v>290</v>
      </c>
      <c r="T263" s="232" t="s">
        <v>228</v>
      </c>
      <c r="U263" s="232" t="s">
        <v>218</v>
      </c>
      <c r="V263" s="232"/>
      <c r="W263" s="256"/>
      <c r="X263" s="257"/>
      <c r="Y263" s="257"/>
      <c r="Z263" s="257"/>
      <c r="AA263" s="257"/>
      <c r="AB263" s="257"/>
      <c r="AC263" s="250">
        <f t="shared" si="29"/>
        <v>2017</v>
      </c>
      <c r="AE263" s="276"/>
      <c r="AF263" s="119"/>
      <c r="AG263" s="119"/>
      <c r="AH263" s="277"/>
      <c r="AI263" s="277"/>
      <c r="AJ263" s="277"/>
    </row>
    <row r="264" spans="2:36" ht="13.5" customHeight="1">
      <c r="B264" s="69">
        <v>1</v>
      </c>
      <c r="C264" s="69">
        <v>262</v>
      </c>
      <c r="D264" s="255" t="s">
        <v>927</v>
      </c>
      <c r="E264" s="255" t="s">
        <v>1341</v>
      </c>
      <c r="F264" s="250" t="s">
        <v>253</v>
      </c>
      <c r="G264" s="250" t="s">
        <v>201</v>
      </c>
      <c r="H264" s="250" t="s">
        <v>218</v>
      </c>
      <c r="I264" s="250">
        <v>2020</v>
      </c>
      <c r="J264" s="250" t="s">
        <v>1044</v>
      </c>
      <c r="K264" s="134" t="str">
        <f t="shared" si="28"/>
        <v/>
      </c>
      <c r="L264" s="250"/>
      <c r="M264" s="251">
        <v>204000</v>
      </c>
      <c r="N264" s="252"/>
      <c r="O264" s="252">
        <v>40</v>
      </c>
      <c r="P264" s="252">
        <v>5000</v>
      </c>
      <c r="Q264" s="252">
        <v>1100</v>
      </c>
      <c r="R264" s="252">
        <f t="shared" si="27"/>
        <v>220</v>
      </c>
      <c r="S264" s="252">
        <f>ROUND(R264*CPI!$B$120/VLOOKUP($I264,CPI!$A$1:$B$140,2,FALSE)/1000,2)*1000</f>
        <v>210</v>
      </c>
      <c r="T264" s="250" t="s">
        <v>236</v>
      </c>
      <c r="U264" s="250" t="s">
        <v>244</v>
      </c>
      <c r="V264" s="250"/>
      <c r="W264" s="256"/>
      <c r="X264" s="257"/>
      <c r="Y264" s="257"/>
      <c r="Z264" s="257"/>
      <c r="AA264" s="257"/>
      <c r="AB264" s="257"/>
      <c r="AC264" s="250" t="str">
        <f t="shared" si="29"/>
        <v/>
      </c>
      <c r="AE264" s="276"/>
      <c r="AF264" s="119"/>
      <c r="AG264" s="119"/>
      <c r="AH264" s="277"/>
      <c r="AI264" s="277"/>
      <c r="AJ264" s="277"/>
    </row>
    <row r="265" spans="2:36" ht="13.5" customHeight="1">
      <c r="B265" s="69">
        <v>1</v>
      </c>
      <c r="C265" s="69">
        <v>263</v>
      </c>
      <c r="D265" s="255" t="s">
        <v>928</v>
      </c>
      <c r="E265" s="255" t="s">
        <v>1342</v>
      </c>
      <c r="F265" s="250" t="s">
        <v>253</v>
      </c>
      <c r="G265" s="250" t="s">
        <v>201</v>
      </c>
      <c r="H265" s="250" t="s">
        <v>218</v>
      </c>
      <c r="I265" s="250">
        <v>2021</v>
      </c>
      <c r="J265" s="250" t="s">
        <v>1044</v>
      </c>
      <c r="K265" s="134" t="str">
        <f t="shared" si="28"/>
        <v/>
      </c>
      <c r="L265" s="250"/>
      <c r="M265" s="251">
        <v>204000</v>
      </c>
      <c r="N265" s="252"/>
      <c r="O265" s="252">
        <v>40</v>
      </c>
      <c r="P265" s="252">
        <v>5000</v>
      </c>
      <c r="Q265" s="252">
        <v>1000</v>
      </c>
      <c r="R265" s="252">
        <f t="shared" si="27"/>
        <v>200</v>
      </c>
      <c r="S265" s="252">
        <f>ROUND(R265*CPI!$B$120/VLOOKUP($I265,CPI!$A$1:$B$140,2,FALSE)/1000,2)*1000</f>
        <v>190</v>
      </c>
      <c r="T265" s="250" t="s">
        <v>236</v>
      </c>
      <c r="U265" s="250" t="s">
        <v>244</v>
      </c>
      <c r="V265" s="250"/>
      <c r="W265" s="256"/>
      <c r="X265" s="257"/>
      <c r="Y265" s="257"/>
      <c r="Z265" s="257"/>
      <c r="AA265" s="257"/>
      <c r="AB265" s="257"/>
      <c r="AC265" s="250" t="str">
        <f t="shared" si="29"/>
        <v/>
      </c>
      <c r="AE265" s="276"/>
      <c r="AF265" s="119"/>
      <c r="AG265" s="119"/>
      <c r="AH265" s="277"/>
      <c r="AI265" s="277"/>
      <c r="AJ265" s="277"/>
    </row>
    <row r="266" spans="2:36" ht="13.5" customHeight="1">
      <c r="B266" s="69">
        <v>1</v>
      </c>
      <c r="C266" s="69">
        <v>264</v>
      </c>
      <c r="D266" s="233" t="s">
        <v>289</v>
      </c>
      <c r="E266" s="233" t="s">
        <v>1343</v>
      </c>
      <c r="F266" s="232" t="s">
        <v>253</v>
      </c>
      <c r="G266" s="232" t="s">
        <v>202</v>
      </c>
      <c r="H266" s="232" t="s">
        <v>288</v>
      </c>
      <c r="I266" s="232">
        <v>1991</v>
      </c>
      <c r="J266" s="232"/>
      <c r="K266" s="134">
        <f t="shared" si="28"/>
        <v>28</v>
      </c>
      <c r="L266" s="232">
        <v>2015</v>
      </c>
      <c r="M266" s="234">
        <v>3341</v>
      </c>
      <c r="N266" s="235">
        <f>85*3.28084</f>
        <v>278.87139999999999</v>
      </c>
      <c r="O266" s="235">
        <v>47</v>
      </c>
      <c r="P266" s="235">
        <v>62</v>
      </c>
      <c r="Q266" s="235">
        <f>R266*P266/1000</f>
        <v>7.1230525701907856</v>
      </c>
      <c r="R266" s="235">
        <f>CPI!B93/CPI!B118*Ships!S186</f>
        <v>114.88794468049655</v>
      </c>
      <c r="S266" s="235">
        <v>500</v>
      </c>
      <c r="T266" s="232" t="s">
        <v>292</v>
      </c>
      <c r="U266" s="232" t="s">
        <v>248</v>
      </c>
      <c r="V266" s="232"/>
      <c r="W266" s="256" t="e">
        <f>SUM(((X266/SUM(X266:AB266))*5),((Y266/SUM(X266:AB266))*4),((Z266/SUM(X266:AB266))*3),((AA266/SUM(X266:AB266))*2),((AB266/SUM(X266:AB266)*1)))</f>
        <v>#DIV/0!</v>
      </c>
      <c r="X266" s="257"/>
      <c r="Y266" s="257"/>
      <c r="Z266" s="257"/>
      <c r="AA266" s="257"/>
      <c r="AB266" s="257"/>
      <c r="AC266" s="250">
        <f t="shared" si="29"/>
        <v>1991</v>
      </c>
      <c r="AE266" s="276"/>
      <c r="AF266" s="119"/>
      <c r="AG266" s="119"/>
      <c r="AH266" s="277"/>
      <c r="AI266" s="277"/>
      <c r="AJ266" s="277"/>
    </row>
    <row r="267" spans="2:36" ht="13.5" customHeight="1">
      <c r="B267" s="69">
        <v>1</v>
      </c>
      <c r="C267" s="69">
        <v>265</v>
      </c>
      <c r="D267" s="233" t="s">
        <v>291</v>
      </c>
      <c r="E267" s="233" t="s">
        <v>1344</v>
      </c>
      <c r="F267" s="232" t="s">
        <v>253</v>
      </c>
      <c r="G267" s="232" t="s">
        <v>202</v>
      </c>
      <c r="H267" s="232" t="s">
        <v>288</v>
      </c>
      <c r="I267" s="232">
        <v>1995</v>
      </c>
      <c r="J267" s="232"/>
      <c r="K267" s="134">
        <f t="shared" si="28"/>
        <v>24</v>
      </c>
      <c r="L267" s="232">
        <v>2014</v>
      </c>
      <c r="M267" s="234">
        <v>51044</v>
      </c>
      <c r="N267" s="235">
        <f>238*3.28084</f>
        <v>780.83992000000001</v>
      </c>
      <c r="O267" s="235">
        <v>47</v>
      </c>
      <c r="P267" s="235">
        <v>950</v>
      </c>
      <c r="Q267" s="235">
        <v>250</v>
      </c>
      <c r="R267" s="235">
        <f t="shared" ref="R267:R272" si="30">Q267/P267*1000</f>
        <v>263.15789473684208</v>
      </c>
      <c r="S267" s="235">
        <f>ROUND(R267*CPI!$B$120/VLOOKUP($I267,CPI!$A$1:$B$122,2,FALSE)/1000,2)*1000</f>
        <v>430</v>
      </c>
      <c r="T267" s="232" t="s">
        <v>262</v>
      </c>
      <c r="U267" s="232" t="s">
        <v>248</v>
      </c>
      <c r="V267" s="232"/>
      <c r="W267" s="256" t="e">
        <f>SUM(((X267/SUM(X267:AB267))*5),((Y267/SUM(X267:AB267))*4),((Z267/SUM(X267:AB267))*3),((AA267/SUM(X267:AB267))*2),((AB267/SUM(X267:AB267)*1)))</f>
        <v>#DIV/0!</v>
      </c>
      <c r="X267" s="257"/>
      <c r="Y267" s="257"/>
      <c r="Z267" s="257"/>
      <c r="AA267" s="257"/>
      <c r="AB267" s="257"/>
      <c r="AC267" s="250">
        <f t="shared" si="29"/>
        <v>1995</v>
      </c>
      <c r="AE267" s="276"/>
      <c r="AF267" s="119"/>
      <c r="AG267" s="119"/>
      <c r="AH267" s="277"/>
      <c r="AI267" s="277"/>
      <c r="AJ267" s="277"/>
    </row>
    <row r="268" spans="2:36" ht="13.5" customHeight="1">
      <c r="B268" s="69">
        <v>1</v>
      </c>
      <c r="C268" s="69">
        <v>266</v>
      </c>
      <c r="D268" s="233" t="s">
        <v>290</v>
      </c>
      <c r="E268" s="233" t="s">
        <v>1345</v>
      </c>
      <c r="F268" s="232" t="s">
        <v>253</v>
      </c>
      <c r="G268" s="232" t="s">
        <v>202</v>
      </c>
      <c r="H268" s="232" t="s">
        <v>288</v>
      </c>
      <c r="I268" s="232">
        <v>2003</v>
      </c>
      <c r="J268" s="232"/>
      <c r="K268" s="134">
        <f t="shared" si="28"/>
        <v>16</v>
      </c>
      <c r="L268" s="232">
        <v>2016</v>
      </c>
      <c r="M268" s="234">
        <v>68870</v>
      </c>
      <c r="N268" s="235">
        <f>250*3.28084</f>
        <v>820.21</v>
      </c>
      <c r="O268" s="235">
        <v>54</v>
      </c>
      <c r="P268" s="235">
        <v>1090</v>
      </c>
      <c r="Q268" s="235">
        <v>350</v>
      </c>
      <c r="R268" s="235">
        <f t="shared" si="30"/>
        <v>321.10091743119267</v>
      </c>
      <c r="S268" s="235">
        <f>ROUND(R268*CPI!$B$120/VLOOKUP($I268,CPI!$A$1:$B$122,2,FALSE)/1000,2)*1000</f>
        <v>440</v>
      </c>
      <c r="T268" s="232" t="s">
        <v>262</v>
      </c>
      <c r="U268" s="232" t="s">
        <v>248</v>
      </c>
      <c r="V268" s="232"/>
      <c r="W268" s="256" t="e">
        <f>SUM(((X268/SUM(X268:AB268))*5),((Y268/SUM(X268:AB268))*4),((Z268/SUM(X268:AB268))*3),((AA268/SUM(X268:AB268))*2),((AB268/SUM(X268:AB268)*1)))</f>
        <v>#DIV/0!</v>
      </c>
      <c r="X268" s="257"/>
      <c r="Y268" s="257"/>
      <c r="Z268" s="257"/>
      <c r="AA268" s="257"/>
      <c r="AB268" s="257"/>
      <c r="AC268" s="250">
        <f t="shared" si="29"/>
        <v>2003</v>
      </c>
      <c r="AE268" s="276"/>
      <c r="AF268" s="119"/>
      <c r="AG268" s="119"/>
      <c r="AH268" s="277"/>
      <c r="AI268" s="277"/>
      <c r="AJ268" s="277"/>
    </row>
    <row r="269" spans="2:36" ht="13.5" customHeight="1">
      <c r="B269" s="69">
        <v>1</v>
      </c>
      <c r="C269" s="69">
        <v>267</v>
      </c>
      <c r="D269" s="255" t="s">
        <v>448</v>
      </c>
      <c r="E269" s="255" t="s">
        <v>1346</v>
      </c>
      <c r="F269" s="250" t="s">
        <v>253</v>
      </c>
      <c r="G269" s="250" t="s">
        <v>202</v>
      </c>
      <c r="H269" s="250" t="s">
        <v>288</v>
      </c>
      <c r="I269" s="250">
        <v>2020</v>
      </c>
      <c r="J269" s="250" t="s">
        <v>1052</v>
      </c>
      <c r="K269" s="134" t="str">
        <f t="shared" si="28"/>
        <v/>
      </c>
      <c r="L269" s="250"/>
      <c r="M269" s="251">
        <v>19800</v>
      </c>
      <c r="N269" s="252"/>
      <c r="O269" s="252">
        <f>M269/P269</f>
        <v>99</v>
      </c>
      <c r="P269" s="252">
        <v>200</v>
      </c>
      <c r="Q269" s="252">
        <v>195</v>
      </c>
      <c r="R269" s="252">
        <f t="shared" si="30"/>
        <v>975</v>
      </c>
      <c r="S269" s="252">
        <f>ROUND(R269*CPI!$B$120/VLOOKUP($I269,CPI!$A$1:$B$122,2,FALSE)/1000,2)*1000</f>
        <v>940</v>
      </c>
      <c r="T269" s="250" t="s">
        <v>743</v>
      </c>
      <c r="U269" s="250" t="s">
        <v>970</v>
      </c>
      <c r="V269" s="250"/>
      <c r="W269" s="256"/>
      <c r="X269" s="257"/>
      <c r="Y269" s="257"/>
      <c r="Z269" s="257"/>
      <c r="AA269" s="257"/>
      <c r="AB269" s="257"/>
      <c r="AC269" s="250" t="str">
        <f t="shared" si="29"/>
        <v/>
      </c>
      <c r="AE269" s="276"/>
      <c r="AF269" s="119"/>
      <c r="AG269" s="119"/>
      <c r="AH269" s="277"/>
      <c r="AI269" s="277"/>
      <c r="AJ269" s="277"/>
    </row>
    <row r="270" spans="2:36" ht="13.5" customHeight="1">
      <c r="B270" s="69">
        <v>1</v>
      </c>
      <c r="C270" s="69">
        <v>268</v>
      </c>
      <c r="D270" s="249" t="s">
        <v>969</v>
      </c>
      <c r="E270" s="249" t="s">
        <v>1347</v>
      </c>
      <c r="F270" s="250" t="s">
        <v>253</v>
      </c>
      <c r="G270" s="250" t="s">
        <v>202</v>
      </c>
      <c r="H270" s="250" t="s">
        <v>288</v>
      </c>
      <c r="I270" s="250">
        <v>2021</v>
      </c>
      <c r="J270" s="274" t="s">
        <v>1043</v>
      </c>
      <c r="K270" s="134" t="str">
        <f t="shared" si="28"/>
        <v/>
      </c>
      <c r="L270" s="250"/>
      <c r="M270" s="251">
        <v>19800</v>
      </c>
      <c r="N270" s="252"/>
      <c r="O270" s="252">
        <f>M270/P270</f>
        <v>99</v>
      </c>
      <c r="P270" s="252">
        <v>200</v>
      </c>
      <c r="Q270" s="252">
        <v>195</v>
      </c>
      <c r="R270" s="252">
        <f t="shared" si="30"/>
        <v>975</v>
      </c>
      <c r="S270" s="252">
        <f>ROUND(R270*CPI!$B$120/VLOOKUP($I270,CPI!$A$1:$B$140,2,FALSE)/1000,2)*1000</f>
        <v>920</v>
      </c>
      <c r="T270" s="250" t="s">
        <v>743</v>
      </c>
      <c r="U270" s="250" t="s">
        <v>970</v>
      </c>
      <c r="V270" s="250"/>
      <c r="W270" s="256"/>
      <c r="X270" s="258"/>
      <c r="Y270" s="258"/>
      <c r="Z270" s="258"/>
      <c r="AA270" s="258"/>
      <c r="AB270" s="258"/>
      <c r="AC270" s="250" t="str">
        <f t="shared" si="29"/>
        <v/>
      </c>
      <c r="AE270" s="276"/>
      <c r="AF270" s="119"/>
      <c r="AG270" s="119"/>
      <c r="AH270" s="277"/>
      <c r="AI270" s="277"/>
      <c r="AJ270" s="277"/>
    </row>
    <row r="271" spans="2:36" ht="13.5" customHeight="1">
      <c r="B271" s="69">
        <v>1</v>
      </c>
      <c r="C271" s="69">
        <v>269</v>
      </c>
      <c r="D271" s="249" t="s">
        <v>971</v>
      </c>
      <c r="E271" s="249" t="s">
        <v>1348</v>
      </c>
      <c r="F271" s="250" t="s">
        <v>253</v>
      </c>
      <c r="G271" s="250" t="s">
        <v>202</v>
      </c>
      <c r="H271" s="250" t="s">
        <v>288</v>
      </c>
      <c r="I271" s="250">
        <v>2022</v>
      </c>
      <c r="J271" s="274" t="s">
        <v>1043</v>
      </c>
      <c r="K271" s="134" t="str">
        <f t="shared" si="28"/>
        <v/>
      </c>
      <c r="L271" s="250"/>
      <c r="M271" s="251">
        <v>70000</v>
      </c>
      <c r="N271" s="252"/>
      <c r="O271" s="252">
        <f>M271/P271</f>
        <v>70</v>
      </c>
      <c r="P271" s="252">
        <v>1000</v>
      </c>
      <c r="Q271" s="252">
        <v>750</v>
      </c>
      <c r="R271" s="252">
        <f t="shared" si="30"/>
        <v>750</v>
      </c>
      <c r="S271" s="252">
        <f>ROUND(R271*CPI!$B$120/VLOOKUP($I271,CPI!$A$1:$B$140,2,FALSE)/1000,2)*1000</f>
        <v>690</v>
      </c>
      <c r="T271" s="250" t="s">
        <v>236</v>
      </c>
      <c r="U271" s="250" t="s">
        <v>776</v>
      </c>
      <c r="V271" s="250"/>
      <c r="W271" s="256"/>
      <c r="X271" s="258"/>
      <c r="Y271" s="258"/>
      <c r="Z271" s="258"/>
      <c r="AA271" s="258"/>
      <c r="AB271" s="258"/>
      <c r="AC271" s="250" t="str">
        <f t="shared" si="29"/>
        <v/>
      </c>
      <c r="AE271" s="276"/>
      <c r="AF271" s="119"/>
      <c r="AG271" s="119"/>
      <c r="AH271" s="277"/>
      <c r="AI271" s="277"/>
      <c r="AJ271" s="277"/>
    </row>
    <row r="272" spans="2:36" ht="13.5" customHeight="1">
      <c r="B272" s="69">
        <v>1</v>
      </c>
      <c r="C272" s="69">
        <v>270</v>
      </c>
      <c r="D272" s="249" t="s">
        <v>968</v>
      </c>
      <c r="E272" s="249" t="s">
        <v>1349</v>
      </c>
      <c r="F272" s="250" t="s">
        <v>253</v>
      </c>
      <c r="G272" s="250" t="s">
        <v>202</v>
      </c>
      <c r="H272" s="250" t="s">
        <v>288</v>
      </c>
      <c r="I272" s="250">
        <v>2022</v>
      </c>
      <c r="J272" s="274" t="s">
        <v>1043</v>
      </c>
      <c r="K272" s="134" t="str">
        <f t="shared" si="28"/>
        <v/>
      </c>
      <c r="L272" s="250"/>
      <c r="M272" s="251">
        <v>19800</v>
      </c>
      <c r="N272" s="252"/>
      <c r="O272" s="252">
        <f>M272/P272</f>
        <v>99</v>
      </c>
      <c r="P272" s="252">
        <v>200</v>
      </c>
      <c r="Q272" s="252">
        <v>195</v>
      </c>
      <c r="R272" s="252">
        <f t="shared" si="30"/>
        <v>975</v>
      </c>
      <c r="S272" s="252">
        <f>ROUND(R272*CPI!$B$120/VLOOKUP($I272,CPI!$A$1:$B$140,2,FALSE)/1000,2)*1000</f>
        <v>900</v>
      </c>
      <c r="T272" s="250" t="s">
        <v>743</v>
      </c>
      <c r="U272" s="250" t="s">
        <v>970</v>
      </c>
      <c r="V272" s="250"/>
      <c r="W272" s="256"/>
      <c r="X272" s="258"/>
      <c r="Y272" s="258"/>
      <c r="Z272" s="258"/>
      <c r="AA272" s="258"/>
      <c r="AB272" s="258"/>
      <c r="AC272" s="250" t="str">
        <f t="shared" si="29"/>
        <v/>
      </c>
      <c r="AE272" s="276"/>
      <c r="AF272" s="119"/>
      <c r="AG272" s="119"/>
      <c r="AH272" s="277"/>
      <c r="AI272" s="277"/>
      <c r="AJ272" s="277"/>
    </row>
    <row r="273" spans="2:36" ht="13.5" customHeight="1">
      <c r="B273" s="69">
        <v>1</v>
      </c>
      <c r="C273" s="69">
        <v>271</v>
      </c>
      <c r="D273" s="233" t="s">
        <v>994</v>
      </c>
      <c r="E273" s="233" t="s">
        <v>1350</v>
      </c>
      <c r="F273" s="232" t="s">
        <v>1020</v>
      </c>
      <c r="G273" s="232" t="s">
        <v>200</v>
      </c>
      <c r="H273" s="232" t="s">
        <v>988</v>
      </c>
      <c r="I273" s="232">
        <v>1983</v>
      </c>
      <c r="J273" s="232"/>
      <c r="K273" s="134">
        <f t="shared" si="28"/>
        <v>36</v>
      </c>
      <c r="L273" s="232">
        <v>2016</v>
      </c>
      <c r="M273" s="234">
        <v>33930</v>
      </c>
      <c r="N273" s="235">
        <f>215*3.28084</f>
        <v>705.38059999999996</v>
      </c>
      <c r="O273" s="235">
        <v>25</v>
      </c>
      <c r="P273" s="235">
        <v>1254</v>
      </c>
      <c r="Q273" s="235">
        <v>160</v>
      </c>
      <c r="R273" s="235">
        <v>100</v>
      </c>
      <c r="S273" s="235">
        <f>ROUND(R273*CPI!$B$120/VLOOKUP($I273,CPI!$A$1:$B$122,2,FALSE)/1000,2)*1000</f>
        <v>250</v>
      </c>
      <c r="T273" s="232" t="s">
        <v>241</v>
      </c>
      <c r="U273" s="232" t="s">
        <v>248</v>
      </c>
      <c r="V273" s="232"/>
      <c r="W273" s="256" t="e">
        <f>SUM(((X273/SUM(X273:AB273))*5),((Y273/SUM(X273:AB273))*4),((Z273/SUM(X273:AB273))*3),((AA273/SUM(X273:AB273))*2),((AB273/SUM(X273:AB273)*1)))</f>
        <v>#DIV/0!</v>
      </c>
      <c r="X273" s="257"/>
      <c r="Y273" s="257"/>
      <c r="Z273" s="257"/>
      <c r="AA273" s="257"/>
      <c r="AB273" s="257"/>
      <c r="AC273" s="250">
        <f t="shared" si="29"/>
        <v>1983</v>
      </c>
      <c r="AE273" s="276"/>
      <c r="AF273" s="119"/>
      <c r="AG273" s="119"/>
      <c r="AH273" s="277"/>
      <c r="AI273" s="277"/>
      <c r="AJ273" s="277"/>
    </row>
    <row r="274" spans="2:36" ht="13.5" customHeight="1">
      <c r="B274" s="69">
        <v>1</v>
      </c>
      <c r="C274" s="69">
        <v>272</v>
      </c>
      <c r="D274" s="233" t="s">
        <v>993</v>
      </c>
      <c r="E274" s="233" t="s">
        <v>1351</v>
      </c>
      <c r="F274" s="232" t="s">
        <v>1020</v>
      </c>
      <c r="G274" s="232" t="s">
        <v>200</v>
      </c>
      <c r="H274" s="232" t="s">
        <v>988</v>
      </c>
      <c r="I274" s="232">
        <v>1984</v>
      </c>
      <c r="J274" s="232"/>
      <c r="K274" s="134">
        <f t="shared" si="28"/>
        <v>35</v>
      </c>
      <c r="L274" s="232">
        <v>2014</v>
      </c>
      <c r="M274" s="234">
        <v>33933</v>
      </c>
      <c r="N274" s="235">
        <f>214*3.28084</f>
        <v>702.09975999999995</v>
      </c>
      <c r="O274" s="235">
        <v>27</v>
      </c>
      <c r="P274" s="235">
        <v>1254</v>
      </c>
      <c r="Q274" s="235">
        <v>160</v>
      </c>
      <c r="R274" s="235">
        <v>100</v>
      </c>
      <c r="S274" s="235">
        <f>ROUND(R274*CPI!$B$120/VLOOKUP($I274,CPI!$A$1:$B$122,2,FALSE)/1000,2)*1000</f>
        <v>240</v>
      </c>
      <c r="T274" s="232" t="s">
        <v>241</v>
      </c>
      <c r="U274" s="232" t="s">
        <v>248</v>
      </c>
      <c r="V274" s="232"/>
      <c r="W274" s="256" t="e">
        <f>SUM(((X274/SUM(X274:AB274))*5),((Y274/SUM(X274:AB274))*4),((Z274/SUM(X274:AB274))*3),((AA274/SUM(X274:AB274))*2),((AB274/SUM(X274:AB274)*1)))</f>
        <v>#DIV/0!</v>
      </c>
      <c r="X274" s="257"/>
      <c r="Y274" s="257"/>
      <c r="Z274" s="257"/>
      <c r="AA274" s="257"/>
      <c r="AB274" s="257"/>
      <c r="AC274" s="250">
        <f t="shared" si="29"/>
        <v>1984</v>
      </c>
      <c r="AE274" s="276"/>
      <c r="AF274" s="119"/>
      <c r="AG274" s="119"/>
      <c r="AH274" s="277"/>
      <c r="AI274" s="277"/>
      <c r="AJ274" s="277"/>
    </row>
    <row r="275" spans="2:36" ht="13.5" customHeight="1">
      <c r="B275" s="69">
        <v>1</v>
      </c>
      <c r="C275" s="69">
        <v>273</v>
      </c>
      <c r="D275" s="233" t="s">
        <v>992</v>
      </c>
      <c r="E275" s="233" t="s">
        <v>1352</v>
      </c>
      <c r="F275" s="232" t="s">
        <v>1020</v>
      </c>
      <c r="G275" s="232" t="s">
        <v>200</v>
      </c>
      <c r="H275" s="232" t="s">
        <v>988</v>
      </c>
      <c r="I275" s="232">
        <v>1986</v>
      </c>
      <c r="J275" s="232"/>
      <c r="K275" s="134">
        <f t="shared" si="28"/>
        <v>33</v>
      </c>
      <c r="L275" s="232">
        <v>2014</v>
      </c>
      <c r="M275" s="234">
        <v>54763</v>
      </c>
      <c r="N275" s="235">
        <f>243*3.28084</f>
        <v>797.24411999999995</v>
      </c>
      <c r="O275" s="235">
        <v>36</v>
      </c>
      <c r="P275" s="235">
        <v>1506</v>
      </c>
      <c r="Q275" s="235">
        <v>150</v>
      </c>
      <c r="R275" s="235">
        <v>101</v>
      </c>
      <c r="S275" s="235">
        <f>ROUND(R275*CPI!$B$120/VLOOKUP($I275,CPI!$A$1:$B$122,2,FALSE)/1000,2)*1000</f>
        <v>230</v>
      </c>
      <c r="T275" s="232" t="s">
        <v>228</v>
      </c>
      <c r="U275" s="232" t="s">
        <v>248</v>
      </c>
      <c r="V275" s="232"/>
      <c r="W275" s="256" t="e">
        <f>SUM(((X275/SUM(X275:AB275))*5),((Y275/SUM(X275:AB275))*4),((Z275/SUM(X275:AB275))*3),((AA275/SUM(X275:AB275))*2),((AB275/SUM(X275:AB275)*1)))</f>
        <v>#DIV/0!</v>
      </c>
      <c r="X275" s="257"/>
      <c r="Y275" s="257"/>
      <c r="Z275" s="257"/>
      <c r="AA275" s="257"/>
      <c r="AB275" s="257"/>
      <c r="AC275" s="250">
        <f t="shared" si="29"/>
        <v>1986</v>
      </c>
      <c r="AE275" s="276"/>
      <c r="AF275" s="119"/>
      <c r="AG275" s="119"/>
      <c r="AH275" s="277"/>
      <c r="AI275" s="277"/>
      <c r="AJ275" s="277"/>
    </row>
    <row r="276" spans="2:36" ht="13.5" customHeight="1">
      <c r="B276" s="69">
        <v>1</v>
      </c>
      <c r="C276" s="69">
        <v>274</v>
      </c>
      <c r="D276" s="233" t="s">
        <v>995</v>
      </c>
      <c r="E276" s="233" t="s">
        <v>1353</v>
      </c>
      <c r="F276" s="232" t="s">
        <v>1020</v>
      </c>
      <c r="G276" s="232" t="s">
        <v>200</v>
      </c>
      <c r="H276" s="232" t="s">
        <v>988</v>
      </c>
      <c r="I276" s="232">
        <v>1995</v>
      </c>
      <c r="J276" s="232"/>
      <c r="K276" s="134">
        <f t="shared" si="28"/>
        <v>24</v>
      </c>
      <c r="L276" s="232">
        <v>2017</v>
      </c>
      <c r="M276" s="234">
        <v>72458</v>
      </c>
      <c r="N276" s="235">
        <f>248*3.28084</f>
        <v>813.64832000000001</v>
      </c>
      <c r="O276" s="235">
        <v>32</v>
      </c>
      <c r="P276" s="235">
        <v>1808</v>
      </c>
      <c r="Q276" s="235">
        <v>450</v>
      </c>
      <c r="R276" s="235">
        <f>Q276/P276*1000</f>
        <v>248.89380530973452</v>
      </c>
      <c r="S276" s="235">
        <f>ROUND(R276*CPI!$B$120/VLOOKUP($I276,CPI!$A$1:$B$122,2,FALSE)/1000,2)*1000</f>
        <v>410</v>
      </c>
      <c r="T276" s="232" t="s">
        <v>228</v>
      </c>
      <c r="U276" s="232" t="s">
        <v>248</v>
      </c>
      <c r="V276" s="232"/>
      <c r="W276" s="256"/>
      <c r="X276" s="257"/>
      <c r="Y276" s="257"/>
      <c r="Z276" s="257"/>
      <c r="AA276" s="257"/>
      <c r="AB276" s="257"/>
      <c r="AC276" s="250">
        <f t="shared" si="29"/>
        <v>1995</v>
      </c>
      <c r="AE276" s="276"/>
      <c r="AF276" s="119"/>
      <c r="AG276" s="119"/>
      <c r="AH276" s="277"/>
      <c r="AI276" s="277"/>
      <c r="AJ276" s="277"/>
    </row>
    <row r="277" spans="2:36" ht="13.5" customHeight="1">
      <c r="B277" s="69">
        <v>1</v>
      </c>
      <c r="C277" s="69">
        <v>275</v>
      </c>
      <c r="D277" s="233" t="s">
        <v>991</v>
      </c>
      <c r="E277" s="233" t="s">
        <v>1354</v>
      </c>
      <c r="F277" s="232" t="s">
        <v>1020</v>
      </c>
      <c r="G277" s="232" t="s">
        <v>200</v>
      </c>
      <c r="H277" s="232" t="s">
        <v>988</v>
      </c>
      <c r="I277" s="232">
        <v>1995</v>
      </c>
      <c r="J277" s="232"/>
      <c r="K277" s="134">
        <f t="shared" si="28"/>
        <v>24</v>
      </c>
      <c r="L277" s="232">
        <v>2017</v>
      </c>
      <c r="M277" s="234">
        <v>69472</v>
      </c>
      <c r="N277" s="235">
        <v>866</v>
      </c>
      <c r="O277" s="235">
        <v>31</v>
      </c>
      <c r="P277" s="235">
        <v>1832</v>
      </c>
      <c r="Q277" s="235">
        <v>280</v>
      </c>
      <c r="R277" s="235">
        <v>102</v>
      </c>
      <c r="S277" s="235">
        <f>ROUND(R277*CPI!$B$120/VLOOKUP($I277,CPI!$A$1:$B$122,2,FALSE)/1000,2)*1000</f>
        <v>170</v>
      </c>
      <c r="T277" s="232" t="s">
        <v>241</v>
      </c>
      <c r="U277" s="232" t="s">
        <v>266</v>
      </c>
      <c r="V277" s="232"/>
      <c r="W277" s="256"/>
      <c r="X277" s="257"/>
      <c r="Y277" s="257"/>
      <c r="Z277" s="257"/>
      <c r="AA277" s="257"/>
      <c r="AB277" s="257"/>
      <c r="AC277" s="250">
        <f t="shared" si="29"/>
        <v>1995</v>
      </c>
      <c r="AE277" s="276"/>
      <c r="AF277" s="119"/>
      <c r="AG277" s="119"/>
      <c r="AH277" s="277"/>
      <c r="AI277" s="277"/>
      <c r="AJ277" s="277"/>
    </row>
    <row r="278" spans="2:36" ht="13.5" customHeight="1">
      <c r="B278" s="69">
        <v>1</v>
      </c>
      <c r="C278" s="69">
        <v>276</v>
      </c>
      <c r="D278" s="233" t="s">
        <v>989</v>
      </c>
      <c r="E278" s="233" t="s">
        <v>1355</v>
      </c>
      <c r="F278" s="232" t="s">
        <v>1020</v>
      </c>
      <c r="G278" s="232" t="s">
        <v>200</v>
      </c>
      <c r="H278" s="232" t="s">
        <v>988</v>
      </c>
      <c r="I278" s="232">
        <v>1996</v>
      </c>
      <c r="J278" s="232"/>
      <c r="K278" s="134">
        <f t="shared" si="28"/>
        <v>23</v>
      </c>
      <c r="L278" s="232">
        <v>2015</v>
      </c>
      <c r="M278" s="234">
        <v>69472</v>
      </c>
      <c r="N278" s="235">
        <f>264*3.28084</f>
        <v>866.14175999999998</v>
      </c>
      <c r="O278" s="235">
        <v>36</v>
      </c>
      <c r="P278" s="235">
        <v>1830</v>
      </c>
      <c r="Q278" s="235">
        <v>325</v>
      </c>
      <c r="R278" s="235">
        <v>100</v>
      </c>
      <c r="S278" s="235">
        <f>ROUND(R278*CPI!$B$120/VLOOKUP($I278,CPI!$A$1:$B$122,2,FALSE)/1000,2)*1000</f>
        <v>160</v>
      </c>
      <c r="T278" s="232" t="s">
        <v>241</v>
      </c>
      <c r="U278" s="232" t="s">
        <v>266</v>
      </c>
      <c r="V278" s="232"/>
      <c r="W278" s="256" t="e">
        <f>SUM(((X278/SUM(X278:AB278))*5),((Y278/SUM(X278:AB278))*4),((Z278/SUM(X278:AB278))*3),((AA278/SUM(X278:AB278))*2),((AB278/SUM(X278:AB278)*1)))</f>
        <v>#DIV/0!</v>
      </c>
      <c r="X278" s="257"/>
      <c r="Y278" s="257"/>
      <c r="Z278" s="257"/>
      <c r="AA278" s="257"/>
      <c r="AB278" s="257"/>
      <c r="AC278" s="250">
        <f t="shared" si="29"/>
        <v>1996</v>
      </c>
      <c r="AE278" s="276"/>
      <c r="AF278" s="119"/>
      <c r="AG278" s="119"/>
      <c r="AH278" s="277"/>
      <c r="AI278" s="277"/>
      <c r="AJ278" s="277"/>
    </row>
    <row r="279" spans="2:36" ht="13.5" customHeight="1">
      <c r="B279" s="69">
        <v>1</v>
      </c>
      <c r="C279" s="69">
        <v>277</v>
      </c>
      <c r="D279" s="237" t="s">
        <v>987</v>
      </c>
      <c r="E279" s="237" t="s">
        <v>1356</v>
      </c>
      <c r="F279" s="232" t="s">
        <v>1020</v>
      </c>
      <c r="G279" s="232" t="s">
        <v>200</v>
      </c>
      <c r="H279" s="232" t="s">
        <v>988</v>
      </c>
      <c r="I279" s="238">
        <v>1996</v>
      </c>
      <c r="J279" s="238"/>
      <c r="K279" s="134">
        <f t="shared" si="28"/>
        <v>23</v>
      </c>
      <c r="L279" s="238">
        <v>2018</v>
      </c>
      <c r="M279" s="234">
        <v>76998</v>
      </c>
      <c r="N279" s="235">
        <f>264*3.28084</f>
        <v>866.14175999999998</v>
      </c>
      <c r="O279" s="235">
        <v>40</v>
      </c>
      <c r="P279" s="235">
        <v>1870</v>
      </c>
      <c r="Q279" s="270">
        <v>320</v>
      </c>
      <c r="R279" s="235">
        <f>Q279/P279*1000</f>
        <v>171.12299465240642</v>
      </c>
      <c r="S279" s="235">
        <f>ROUND(R279*CPI!$B$120/VLOOKUP($I279,CPI!$A$1:$B$122,2,FALSE)/1000,2)*1000</f>
        <v>270</v>
      </c>
      <c r="T279" s="232" t="s">
        <v>228</v>
      </c>
      <c r="U279" s="232" t="s">
        <v>270</v>
      </c>
      <c r="V279" s="232"/>
      <c r="W279" s="256">
        <v>4.2</v>
      </c>
      <c r="X279" s="257"/>
      <c r="Y279" s="257"/>
      <c r="Z279" s="257"/>
      <c r="AA279" s="257"/>
      <c r="AB279" s="257"/>
      <c r="AC279" s="250">
        <f t="shared" si="29"/>
        <v>1996</v>
      </c>
      <c r="AE279" s="276"/>
      <c r="AF279" s="119"/>
      <c r="AG279" s="119"/>
      <c r="AH279" s="277"/>
      <c r="AI279" s="277"/>
      <c r="AJ279" s="277"/>
    </row>
    <row r="280" spans="2:36" ht="13.5" customHeight="1">
      <c r="B280" s="69">
        <v>1</v>
      </c>
      <c r="C280" s="69">
        <v>278</v>
      </c>
      <c r="D280" s="233" t="s">
        <v>946</v>
      </c>
      <c r="E280" s="233" t="s">
        <v>1357</v>
      </c>
      <c r="F280" s="232" t="s">
        <v>1020</v>
      </c>
      <c r="G280" s="232" t="s">
        <v>794</v>
      </c>
      <c r="H280" s="232" t="s">
        <v>944</v>
      </c>
      <c r="I280" s="232">
        <v>1974</v>
      </c>
      <c r="J280" s="232"/>
      <c r="K280" s="134"/>
      <c r="L280" s="232">
        <v>2012</v>
      </c>
      <c r="M280" s="234">
        <v>8282</v>
      </c>
      <c r="N280" s="235">
        <v>407</v>
      </c>
      <c r="O280" s="235">
        <v>37</v>
      </c>
      <c r="P280" s="235">
        <v>113</v>
      </c>
      <c r="Q280" s="235"/>
      <c r="R280" s="235"/>
      <c r="S280" s="235"/>
      <c r="T280" s="232"/>
      <c r="U280" s="232"/>
      <c r="V280" s="232"/>
      <c r="W280" s="256"/>
      <c r="X280" s="257"/>
      <c r="Y280" s="257"/>
      <c r="Z280" s="257"/>
      <c r="AA280" s="257"/>
      <c r="AB280" s="257"/>
      <c r="AC280" s="250"/>
      <c r="AE280" s="276"/>
      <c r="AF280" s="119"/>
      <c r="AG280" s="119"/>
      <c r="AH280" s="277"/>
      <c r="AI280" s="277"/>
      <c r="AJ280" s="277"/>
    </row>
    <row r="281" spans="2:36" ht="13.5" customHeight="1">
      <c r="B281" s="69">
        <v>1</v>
      </c>
      <c r="C281" s="69">
        <v>279</v>
      </c>
      <c r="D281" s="233" t="s">
        <v>945</v>
      </c>
      <c r="E281" s="233" t="s">
        <v>1358</v>
      </c>
      <c r="F281" s="232" t="s">
        <v>1020</v>
      </c>
      <c r="G281" s="232" t="s">
        <v>794</v>
      </c>
      <c r="H281" s="232" t="s">
        <v>944</v>
      </c>
      <c r="I281" s="232">
        <v>1975</v>
      </c>
      <c r="J281" s="232"/>
      <c r="K281" s="134"/>
      <c r="L281" s="232">
        <v>2017</v>
      </c>
      <c r="M281" s="234">
        <v>4376</v>
      </c>
      <c r="N281" s="235">
        <v>331</v>
      </c>
      <c r="O281" s="235">
        <v>47</v>
      </c>
      <c r="P281" s="235">
        <v>118</v>
      </c>
      <c r="Q281" s="235"/>
      <c r="R281" s="235"/>
      <c r="S281" s="235"/>
      <c r="T281" s="232"/>
      <c r="U281" s="232"/>
      <c r="V281" s="232"/>
      <c r="W281" s="256"/>
      <c r="X281" s="257"/>
      <c r="Y281" s="257"/>
      <c r="Z281" s="257"/>
      <c r="AA281" s="257"/>
      <c r="AB281" s="257"/>
      <c r="AC281" s="250"/>
      <c r="AE281" s="276"/>
      <c r="AF281" s="119"/>
      <c r="AG281" s="119"/>
      <c r="AH281" s="277"/>
      <c r="AI281" s="277"/>
      <c r="AJ281" s="277"/>
    </row>
    <row r="282" spans="2:36" ht="13.5" customHeight="1">
      <c r="B282" s="69">
        <v>1</v>
      </c>
      <c r="C282" s="69">
        <v>280</v>
      </c>
      <c r="D282" s="233" t="s">
        <v>950</v>
      </c>
      <c r="E282" s="233" t="s">
        <v>1359</v>
      </c>
      <c r="F282" s="232" t="s">
        <v>1020</v>
      </c>
      <c r="G282" s="232" t="s">
        <v>794</v>
      </c>
      <c r="H282" s="232" t="s">
        <v>944</v>
      </c>
      <c r="I282" s="232">
        <v>1981</v>
      </c>
      <c r="J282" s="232"/>
      <c r="K282" s="134"/>
      <c r="L282" s="232"/>
      <c r="M282" s="234">
        <v>12288</v>
      </c>
      <c r="N282" s="235">
        <v>404</v>
      </c>
      <c r="O282" s="235">
        <v>100</v>
      </c>
      <c r="P282" s="235">
        <v>54</v>
      </c>
      <c r="Q282" s="235"/>
      <c r="R282" s="235"/>
      <c r="S282" s="235"/>
      <c r="T282" s="232"/>
      <c r="U282" s="232"/>
      <c r="V282" s="232"/>
      <c r="W282" s="256"/>
      <c r="X282" s="257"/>
      <c r="Y282" s="257"/>
      <c r="Z282" s="257"/>
      <c r="AA282" s="257"/>
      <c r="AB282" s="257"/>
      <c r="AC282" s="250"/>
      <c r="AE282" s="276"/>
      <c r="AF282" s="119"/>
      <c r="AG282" s="119"/>
      <c r="AH282" s="277"/>
      <c r="AI282" s="277"/>
      <c r="AJ282" s="277"/>
    </row>
    <row r="283" spans="2:36" ht="13.5" customHeight="1">
      <c r="B283" s="69">
        <v>1</v>
      </c>
      <c r="C283" s="69">
        <v>281</v>
      </c>
      <c r="D283" s="233" t="s">
        <v>947</v>
      </c>
      <c r="E283" s="233" t="s">
        <v>1360</v>
      </c>
      <c r="F283" s="232" t="s">
        <v>1020</v>
      </c>
      <c r="G283" s="232" t="s">
        <v>794</v>
      </c>
      <c r="H283" s="232" t="s">
        <v>944</v>
      </c>
      <c r="I283" s="232">
        <v>1982</v>
      </c>
      <c r="J283" s="232"/>
      <c r="K283" s="134"/>
      <c r="L283" s="232">
        <v>2017</v>
      </c>
      <c r="M283" s="234">
        <v>12907</v>
      </c>
      <c r="N283" s="235">
        <v>449</v>
      </c>
      <c r="O283" s="235">
        <v>64</v>
      </c>
      <c r="P283" s="235">
        <v>300</v>
      </c>
      <c r="Q283" s="235"/>
      <c r="R283" s="235"/>
      <c r="S283" s="235"/>
      <c r="T283" s="232"/>
      <c r="U283" s="232"/>
      <c r="V283" s="232"/>
      <c r="W283" s="256"/>
      <c r="X283" s="257"/>
      <c r="Y283" s="257"/>
      <c r="Z283" s="257"/>
      <c r="AA283" s="257"/>
      <c r="AB283" s="257"/>
      <c r="AC283" s="250"/>
      <c r="AE283" s="276"/>
      <c r="AF283" s="119"/>
      <c r="AG283" s="119"/>
      <c r="AH283" s="277"/>
      <c r="AI283" s="277"/>
      <c r="AJ283" s="277"/>
    </row>
    <row r="284" spans="2:36" ht="13.5" customHeight="1">
      <c r="B284" s="69">
        <v>1</v>
      </c>
      <c r="C284" s="69">
        <v>282</v>
      </c>
      <c r="D284" s="233" t="s">
        <v>949</v>
      </c>
      <c r="E284" s="233" t="s">
        <v>1361</v>
      </c>
      <c r="F284" s="232" t="s">
        <v>1020</v>
      </c>
      <c r="G284" s="232" t="s">
        <v>794</v>
      </c>
      <c r="H284" s="232" t="s">
        <v>944</v>
      </c>
      <c r="I284" s="232">
        <v>1986</v>
      </c>
      <c r="J284" s="232"/>
      <c r="K284" s="134"/>
      <c r="L284" s="232">
        <v>2017</v>
      </c>
      <c r="M284" s="234">
        <v>12798</v>
      </c>
      <c r="N284" s="235">
        <v>459</v>
      </c>
      <c r="O284" s="235">
        <v>90</v>
      </c>
      <c r="P284" s="235">
        <v>132</v>
      </c>
      <c r="Q284" s="235"/>
      <c r="R284" s="235"/>
      <c r="S284" s="235"/>
      <c r="T284" s="232"/>
      <c r="U284" s="232"/>
      <c r="V284" s="232"/>
      <c r="W284" s="256"/>
      <c r="X284" s="257"/>
      <c r="Y284" s="257"/>
      <c r="Z284" s="257"/>
      <c r="AA284" s="257"/>
      <c r="AB284" s="257"/>
      <c r="AC284" s="250"/>
      <c r="AE284" s="276"/>
      <c r="AF284" s="119"/>
      <c r="AG284" s="119"/>
      <c r="AH284" s="277"/>
      <c r="AI284" s="277"/>
      <c r="AJ284" s="277"/>
    </row>
    <row r="285" spans="2:36" ht="13.5" customHeight="1">
      <c r="B285" s="69">
        <v>1</v>
      </c>
      <c r="C285" s="69">
        <v>283</v>
      </c>
      <c r="D285" s="233" t="s">
        <v>948</v>
      </c>
      <c r="E285" s="233" t="s">
        <v>1362</v>
      </c>
      <c r="F285" s="232" t="s">
        <v>1020</v>
      </c>
      <c r="G285" s="232" t="s">
        <v>794</v>
      </c>
      <c r="H285" s="232" t="s">
        <v>944</v>
      </c>
      <c r="I285" s="232">
        <v>1991</v>
      </c>
      <c r="J285" s="232"/>
      <c r="K285" s="134"/>
      <c r="L285" s="232">
        <v>2017</v>
      </c>
      <c r="M285" s="234">
        <v>4200</v>
      </c>
      <c r="N285" s="235">
        <v>299</v>
      </c>
      <c r="O285" s="235">
        <v>35</v>
      </c>
      <c r="P285" s="235">
        <v>60</v>
      </c>
      <c r="Q285" s="235"/>
      <c r="R285" s="235"/>
      <c r="S285" s="235"/>
      <c r="T285" s="232"/>
      <c r="U285" s="232"/>
      <c r="V285" s="232"/>
      <c r="W285" s="256"/>
      <c r="X285" s="257"/>
      <c r="Y285" s="257"/>
      <c r="Z285" s="257"/>
      <c r="AA285" s="257"/>
      <c r="AB285" s="257"/>
      <c r="AC285" s="250"/>
      <c r="AE285" s="276"/>
      <c r="AF285" s="119"/>
      <c r="AG285" s="119"/>
      <c r="AH285" s="277"/>
      <c r="AI285" s="277"/>
      <c r="AJ285" s="277"/>
    </row>
    <row r="286" spans="2:36" ht="13.5" customHeight="1">
      <c r="B286" s="69">
        <v>1</v>
      </c>
      <c r="C286" s="69">
        <v>284</v>
      </c>
      <c r="D286" s="233" t="s">
        <v>934</v>
      </c>
      <c r="E286" s="233" t="s">
        <v>1363</v>
      </c>
      <c r="F286" s="232" t="s">
        <v>1020</v>
      </c>
      <c r="G286" s="232" t="s">
        <v>794</v>
      </c>
      <c r="H286" s="232" t="s">
        <v>944</v>
      </c>
      <c r="I286" s="232">
        <v>1992</v>
      </c>
      <c r="J286" s="232"/>
      <c r="K286" s="134"/>
      <c r="L286" s="232">
        <v>2006</v>
      </c>
      <c r="M286" s="234">
        <v>2183</v>
      </c>
      <c r="N286" s="235">
        <v>240</v>
      </c>
      <c r="O286" s="235">
        <v>22</v>
      </c>
      <c r="P286" s="235">
        <v>68</v>
      </c>
      <c r="Q286" s="235"/>
      <c r="R286" s="235"/>
      <c r="S286" s="235"/>
      <c r="T286" s="232"/>
      <c r="U286" s="232"/>
      <c r="V286" s="232"/>
      <c r="W286" s="256"/>
      <c r="X286" s="257"/>
      <c r="Y286" s="257"/>
      <c r="Z286" s="257"/>
      <c r="AA286" s="257"/>
      <c r="AB286" s="257"/>
      <c r="AC286" s="250"/>
      <c r="AE286" s="276"/>
      <c r="AF286" s="119"/>
      <c r="AG286" s="119"/>
      <c r="AH286" s="277"/>
      <c r="AI286" s="277"/>
      <c r="AJ286" s="277"/>
    </row>
    <row r="287" spans="2:36" ht="13.5" customHeight="1">
      <c r="B287" s="69">
        <v>1</v>
      </c>
      <c r="C287" s="69">
        <v>285</v>
      </c>
      <c r="D287" s="249" t="s">
        <v>943</v>
      </c>
      <c r="E287" s="249" t="s">
        <v>1364</v>
      </c>
      <c r="F287" s="250" t="s">
        <v>1020</v>
      </c>
      <c r="G287" s="250" t="s">
        <v>794</v>
      </c>
      <c r="H287" s="250" t="s">
        <v>944</v>
      </c>
      <c r="I287" s="250">
        <v>2020</v>
      </c>
      <c r="J287" s="274" t="s">
        <v>1043</v>
      </c>
      <c r="K287" s="134" t="str">
        <f t="shared" ref="K287:K318" si="31">IF(ISNUMBER(AC287),$K$1-AC287+1,"")</f>
        <v/>
      </c>
      <c r="L287" s="250"/>
      <c r="M287" s="251">
        <v>13000</v>
      </c>
      <c r="N287" s="252"/>
      <c r="O287" s="252">
        <f>M287/P287</f>
        <v>65</v>
      </c>
      <c r="P287" s="252">
        <v>200</v>
      </c>
      <c r="Q287" s="252">
        <v>150</v>
      </c>
      <c r="R287" s="252">
        <f>Q287/P287*1000</f>
        <v>750</v>
      </c>
      <c r="S287" s="252">
        <f>ROUND(R287*CPI!$B$120/VLOOKUP($I287,CPI!$A$1:$B$140,2,FALSE)/1000,2)*1000</f>
        <v>720</v>
      </c>
      <c r="T287" s="250" t="s">
        <v>844</v>
      </c>
      <c r="U287" s="250" t="s">
        <v>248</v>
      </c>
      <c r="V287" s="250"/>
      <c r="W287" s="256"/>
      <c r="X287" s="257"/>
      <c r="Y287" s="257"/>
      <c r="Z287" s="257"/>
      <c r="AA287" s="257"/>
      <c r="AB287" s="257"/>
      <c r="AC287" s="250" t="str">
        <f t="shared" ref="AC287:AC318" si="32">IF(I287&lt;=$K$1,I287,"")</f>
        <v/>
      </c>
      <c r="AE287" s="276"/>
      <c r="AF287" s="119"/>
      <c r="AG287" s="119"/>
      <c r="AH287" s="277"/>
      <c r="AI287" s="277"/>
      <c r="AJ287" s="277"/>
    </row>
    <row r="288" spans="2:36" ht="13.5" customHeight="1">
      <c r="B288" s="69">
        <v>1</v>
      </c>
      <c r="C288" s="69">
        <v>286</v>
      </c>
      <c r="D288" s="233" t="s">
        <v>355</v>
      </c>
      <c r="E288" s="295" t="s">
        <v>1489</v>
      </c>
      <c r="F288" s="232" t="s">
        <v>199</v>
      </c>
      <c r="G288" s="232" t="s">
        <v>202</v>
      </c>
      <c r="H288" s="232" t="s">
        <v>354</v>
      </c>
      <c r="I288" s="232">
        <v>1990</v>
      </c>
      <c r="J288" s="232"/>
      <c r="K288" s="134">
        <f t="shared" si="31"/>
        <v>29</v>
      </c>
      <c r="L288" s="232">
        <v>2010</v>
      </c>
      <c r="M288" s="234">
        <v>6752</v>
      </c>
      <c r="N288" s="235">
        <f>111*3.28084</f>
        <v>364.17324000000002</v>
      </c>
      <c r="O288" s="235">
        <v>37</v>
      </c>
      <c r="P288" s="235">
        <v>155</v>
      </c>
      <c r="Q288" s="235">
        <f>R288*P288/1000</f>
        <v>63.55</v>
      </c>
      <c r="R288" s="235">
        <v>410</v>
      </c>
      <c r="S288" s="235">
        <v>740</v>
      </c>
      <c r="T288" s="232" t="s">
        <v>357</v>
      </c>
      <c r="U288" s="232" t="s">
        <v>248</v>
      </c>
      <c r="V288" s="232"/>
      <c r="W288" s="256" t="e">
        <f>SUM(((X288/SUM(X288:AB288))*5),((Y288/SUM(X288:AB288))*4),((Z288/SUM(X288:AB288))*3),((AA288/SUM(X288:AB288))*2),((AB288/SUM(X288:AB288)*1)))</f>
        <v>#DIV/0!</v>
      </c>
      <c r="X288" s="257"/>
      <c r="Y288" s="257"/>
      <c r="Z288" s="257"/>
      <c r="AA288" s="257"/>
      <c r="AB288" s="257"/>
      <c r="AC288" s="250">
        <f t="shared" si="32"/>
        <v>1990</v>
      </c>
      <c r="AE288" s="276"/>
      <c r="AF288" s="119"/>
      <c r="AG288" s="119"/>
      <c r="AH288" s="277"/>
      <c r="AI288" s="277"/>
      <c r="AJ288" s="277"/>
    </row>
    <row r="289" spans="2:36" ht="13.5" customHeight="1">
      <c r="B289" s="69">
        <v>1</v>
      </c>
      <c r="C289" s="69">
        <v>287</v>
      </c>
      <c r="D289" s="233" t="s">
        <v>356</v>
      </c>
      <c r="E289" s="233" t="s">
        <v>1365</v>
      </c>
      <c r="F289" s="232" t="s">
        <v>199</v>
      </c>
      <c r="G289" s="232" t="s">
        <v>202</v>
      </c>
      <c r="H289" s="232" t="s">
        <v>354</v>
      </c>
      <c r="I289" s="232">
        <v>1991</v>
      </c>
      <c r="J289" s="232"/>
      <c r="K289" s="134">
        <f t="shared" si="31"/>
        <v>28</v>
      </c>
      <c r="L289" s="232">
        <v>2013</v>
      </c>
      <c r="M289" s="234">
        <v>8378</v>
      </c>
      <c r="N289" s="235">
        <f>122*3.28084</f>
        <v>400.26247999999998</v>
      </c>
      <c r="O289" s="235">
        <v>43</v>
      </c>
      <c r="P289" s="235">
        <v>176</v>
      </c>
      <c r="Q289" s="235">
        <f>R289*P289/1000</f>
        <v>74.8</v>
      </c>
      <c r="R289" s="235">
        <v>425</v>
      </c>
      <c r="S289" s="235">
        <v>740</v>
      </c>
      <c r="T289" s="232" t="s">
        <v>358</v>
      </c>
      <c r="U289" s="232" t="s">
        <v>248</v>
      </c>
      <c r="V289" s="232"/>
      <c r="W289" s="256" t="e">
        <f>SUM(((X289/SUM(X289:AB289))*5),((Y289/SUM(X289:AB289))*4),((Z289/SUM(X289:AB289))*3),((AA289/SUM(X289:AB289))*2),((AB289/SUM(X289:AB289)*1)))</f>
        <v>#DIV/0!</v>
      </c>
      <c r="X289" s="257"/>
      <c r="Y289" s="257"/>
      <c r="Z289" s="257"/>
      <c r="AA289" s="257"/>
      <c r="AB289" s="257"/>
      <c r="AC289" s="250">
        <f t="shared" si="32"/>
        <v>1991</v>
      </c>
      <c r="AE289" s="276"/>
      <c r="AF289" s="119"/>
      <c r="AG289" s="119"/>
      <c r="AH289" s="277"/>
      <c r="AI289" s="277"/>
      <c r="AJ289" s="277"/>
    </row>
    <row r="290" spans="2:36" ht="13.5" customHeight="1">
      <c r="B290" s="69">
        <v>1</v>
      </c>
      <c r="C290" s="69">
        <v>288</v>
      </c>
      <c r="D290" s="233" t="s">
        <v>299</v>
      </c>
      <c r="E290" s="295" t="s">
        <v>1491</v>
      </c>
      <c r="F290" s="232" t="s">
        <v>199</v>
      </c>
      <c r="G290" s="232" t="s">
        <v>202</v>
      </c>
      <c r="H290" s="232" t="s">
        <v>354</v>
      </c>
      <c r="I290" s="232">
        <v>1999</v>
      </c>
      <c r="J290" s="232"/>
      <c r="K290" s="134">
        <f t="shared" si="31"/>
        <v>20</v>
      </c>
      <c r="L290" s="232">
        <v>2007</v>
      </c>
      <c r="M290" s="234">
        <v>28890</v>
      </c>
      <c r="N290" s="235">
        <f>198*3.28084</f>
        <v>649.60631999999998</v>
      </c>
      <c r="O290" s="235">
        <v>64</v>
      </c>
      <c r="P290" s="235">
        <v>400</v>
      </c>
      <c r="Q290" s="235">
        <f>R290*P290/1000</f>
        <v>208</v>
      </c>
      <c r="R290" s="235">
        <v>520</v>
      </c>
      <c r="S290" s="235">
        <v>740</v>
      </c>
      <c r="T290" s="232" t="s">
        <v>224</v>
      </c>
      <c r="U290" s="232" t="s">
        <v>248</v>
      </c>
      <c r="V290" s="232"/>
      <c r="W290" s="256" t="e">
        <f>SUM(((X290/SUM(X290:AB290))*5),((Y290/SUM(X290:AB290))*4),((Z290/SUM(X290:AB290))*3),((AA290/SUM(X290:AB290))*2),((AB290/SUM(X290:AB290)*1)))</f>
        <v>#DIV/0!</v>
      </c>
      <c r="X290" s="257"/>
      <c r="Y290" s="257"/>
      <c r="Z290" s="257"/>
      <c r="AA290" s="257"/>
      <c r="AB290" s="257"/>
      <c r="AC290" s="250">
        <f t="shared" si="32"/>
        <v>1999</v>
      </c>
      <c r="AE290" s="276"/>
      <c r="AF290" s="119"/>
      <c r="AG290" s="119"/>
      <c r="AH290" s="277"/>
      <c r="AI290" s="277"/>
      <c r="AJ290" s="277"/>
    </row>
    <row r="291" spans="2:36" ht="13.5" customHeight="1">
      <c r="B291" s="69">
        <v>1</v>
      </c>
      <c r="C291" s="69">
        <v>289</v>
      </c>
      <c r="D291" s="233" t="s">
        <v>302</v>
      </c>
      <c r="E291" s="295" t="s">
        <v>1492</v>
      </c>
      <c r="F291" s="232" t="s">
        <v>199</v>
      </c>
      <c r="G291" s="232" t="s">
        <v>202</v>
      </c>
      <c r="H291" s="232" t="s">
        <v>354</v>
      </c>
      <c r="I291" s="232">
        <v>2013</v>
      </c>
      <c r="J291" s="232"/>
      <c r="K291" s="134">
        <f t="shared" si="31"/>
        <v>6</v>
      </c>
      <c r="L291" s="232"/>
      <c r="M291" s="234">
        <v>42830</v>
      </c>
      <c r="N291" s="235">
        <f>225*3.28084</f>
        <v>738.18899999999996</v>
      </c>
      <c r="O291" s="235">
        <v>77</v>
      </c>
      <c r="P291" s="235">
        <v>500</v>
      </c>
      <c r="Q291" s="235">
        <v>360</v>
      </c>
      <c r="R291" s="235">
        <f t="shared" ref="R291:R319" si="33">Q291/P291*1000</f>
        <v>720</v>
      </c>
      <c r="S291" s="235">
        <f>ROUND(R291*CPI!$B$120/VLOOKUP($I291,CPI!$A$1:$B$140,2,FALSE)/1000,2)*1000</f>
        <v>770</v>
      </c>
      <c r="T291" s="232" t="s">
        <v>235</v>
      </c>
      <c r="U291" s="232" t="s">
        <v>248</v>
      </c>
      <c r="V291" s="232"/>
      <c r="W291" s="256" t="e">
        <f>SUM(((X291/SUM(X291:AB291))*5),((Y291/SUM(X291:AB291))*4),((Z291/SUM(X291:AB291))*3),((AA291/SUM(X291:AB291))*2),((AB291/SUM(X291:AB291)*1)))</f>
        <v>#DIV/0!</v>
      </c>
      <c r="X291" s="257"/>
      <c r="Y291" s="257"/>
      <c r="Z291" s="257"/>
      <c r="AA291" s="257"/>
      <c r="AB291" s="257"/>
      <c r="AC291" s="250">
        <f t="shared" si="32"/>
        <v>2013</v>
      </c>
      <c r="AE291" s="276"/>
      <c r="AF291" s="119"/>
      <c r="AG291" s="119"/>
      <c r="AH291" s="277"/>
      <c r="AI291" s="277"/>
      <c r="AJ291" s="277"/>
    </row>
    <row r="292" spans="2:36" ht="13.5" customHeight="1">
      <c r="B292" s="69">
        <v>1</v>
      </c>
      <c r="C292" s="69">
        <v>290</v>
      </c>
      <c r="D292" s="249" t="s">
        <v>810</v>
      </c>
      <c r="E292" s="249" t="s">
        <v>1366</v>
      </c>
      <c r="F292" s="250" t="s">
        <v>199</v>
      </c>
      <c r="G292" s="250" t="s">
        <v>202</v>
      </c>
      <c r="H292" s="250" t="s">
        <v>354</v>
      </c>
      <c r="I292" s="250">
        <v>2019</v>
      </c>
      <c r="J292" s="250" t="s">
        <v>1045</v>
      </c>
      <c r="K292" s="134" t="str">
        <f t="shared" si="31"/>
        <v/>
      </c>
      <c r="L292" s="250"/>
      <c r="M292" s="251">
        <v>16100</v>
      </c>
      <c r="N292" s="252"/>
      <c r="O292" s="252">
        <f>M292/P292</f>
        <v>70</v>
      </c>
      <c r="P292" s="252">
        <v>230</v>
      </c>
      <c r="Q292" s="252">
        <v>155</v>
      </c>
      <c r="R292" s="252">
        <f t="shared" si="33"/>
        <v>673.91304347826087</v>
      </c>
      <c r="S292" s="252">
        <f>ROUND(R292*CPI!$B$120/VLOOKUP($I292,CPI!$A$1:$B$140,2,FALSE)/1000,2)*1000</f>
        <v>660</v>
      </c>
      <c r="T292" s="250" t="s">
        <v>777</v>
      </c>
      <c r="U292" s="250" t="s">
        <v>248</v>
      </c>
      <c r="V292" s="250"/>
      <c r="W292" s="256"/>
      <c r="X292" s="258"/>
      <c r="Y292" s="258"/>
      <c r="Z292" s="258"/>
      <c r="AA292" s="258"/>
      <c r="AB292" s="258"/>
      <c r="AC292" s="250" t="str">
        <f t="shared" si="32"/>
        <v/>
      </c>
      <c r="AE292" s="276"/>
      <c r="AF292" s="119"/>
      <c r="AG292" s="119"/>
      <c r="AH292" s="277"/>
      <c r="AI292" s="277"/>
      <c r="AJ292" s="277"/>
    </row>
    <row r="293" spans="2:36" ht="13.5" customHeight="1">
      <c r="B293" s="69">
        <v>1</v>
      </c>
      <c r="C293" s="69">
        <v>291</v>
      </c>
      <c r="D293" s="249" t="s">
        <v>811</v>
      </c>
      <c r="E293" s="249" t="s">
        <v>1367</v>
      </c>
      <c r="F293" s="250" t="s">
        <v>199</v>
      </c>
      <c r="G293" s="250" t="s">
        <v>202</v>
      </c>
      <c r="H293" s="250" t="s">
        <v>354</v>
      </c>
      <c r="I293" s="250">
        <v>2019</v>
      </c>
      <c r="J293" s="250" t="s">
        <v>1051</v>
      </c>
      <c r="K293" s="134" t="str">
        <f t="shared" si="31"/>
        <v/>
      </c>
      <c r="L293" s="250"/>
      <c r="M293" s="251">
        <v>16100</v>
      </c>
      <c r="N293" s="252"/>
      <c r="O293" s="252">
        <f>M293/P293</f>
        <v>70</v>
      </c>
      <c r="P293" s="252">
        <v>230</v>
      </c>
      <c r="Q293" s="252">
        <v>155</v>
      </c>
      <c r="R293" s="252">
        <f t="shared" si="33"/>
        <v>673.91304347826087</v>
      </c>
      <c r="S293" s="252">
        <f>ROUND(R293*CPI!$B$120/VLOOKUP($I293,CPI!$A$1:$B$140,2,FALSE)/1000,2)*1000</f>
        <v>660</v>
      </c>
      <c r="T293" s="250" t="s">
        <v>777</v>
      </c>
      <c r="U293" s="250" t="s">
        <v>248</v>
      </c>
      <c r="V293" s="250"/>
      <c r="W293" s="256"/>
      <c r="X293" s="258"/>
      <c r="Y293" s="258"/>
      <c r="Z293" s="258"/>
      <c r="AA293" s="258"/>
      <c r="AB293" s="258"/>
      <c r="AC293" s="250" t="str">
        <f t="shared" si="32"/>
        <v/>
      </c>
      <c r="AE293" s="276"/>
      <c r="AF293" s="119"/>
      <c r="AG293" s="119"/>
      <c r="AH293" s="277"/>
      <c r="AI293" s="277"/>
      <c r="AJ293" s="277"/>
    </row>
    <row r="294" spans="2:36" ht="13.5" customHeight="1">
      <c r="B294" s="69">
        <v>1</v>
      </c>
      <c r="C294" s="69">
        <v>292</v>
      </c>
      <c r="D294" s="249" t="s">
        <v>966</v>
      </c>
      <c r="E294" s="249" t="s">
        <v>1368</v>
      </c>
      <c r="F294" s="250" t="s">
        <v>199</v>
      </c>
      <c r="G294" s="250" t="s">
        <v>202</v>
      </c>
      <c r="H294" s="250" t="s">
        <v>354</v>
      </c>
      <c r="I294" s="250">
        <v>2021</v>
      </c>
      <c r="J294" s="274" t="s">
        <v>1043</v>
      </c>
      <c r="K294" s="134" t="str">
        <f t="shared" si="31"/>
        <v/>
      </c>
      <c r="L294" s="250"/>
      <c r="M294" s="251">
        <v>16100</v>
      </c>
      <c r="N294" s="252"/>
      <c r="O294" s="252">
        <f>M294/P294</f>
        <v>70</v>
      </c>
      <c r="P294" s="252">
        <v>230</v>
      </c>
      <c r="Q294" s="252">
        <v>155</v>
      </c>
      <c r="R294" s="252">
        <f t="shared" si="33"/>
        <v>673.91304347826087</v>
      </c>
      <c r="S294" s="252">
        <f>ROUND(R294*CPI!$B$120/VLOOKUP($I294,CPI!$A$1:$B$140,2,FALSE)/1000,2)*1000</f>
        <v>640</v>
      </c>
      <c r="T294" s="250" t="s">
        <v>777</v>
      </c>
      <c r="U294" s="250" t="s">
        <v>248</v>
      </c>
      <c r="V294" s="250"/>
      <c r="W294" s="256"/>
      <c r="X294" s="258"/>
      <c r="Y294" s="258"/>
      <c r="Z294" s="258"/>
      <c r="AA294" s="258"/>
      <c r="AB294" s="258"/>
      <c r="AC294" s="250" t="str">
        <f t="shared" si="32"/>
        <v/>
      </c>
      <c r="AE294" s="276"/>
      <c r="AF294" s="119"/>
      <c r="AG294" s="119"/>
      <c r="AH294" s="277"/>
      <c r="AI294" s="277"/>
      <c r="AJ294" s="277"/>
    </row>
    <row r="295" spans="2:36" ht="13.5" customHeight="1">
      <c r="B295" s="69">
        <v>1</v>
      </c>
      <c r="C295" s="69">
        <v>293</v>
      </c>
      <c r="D295" s="236" t="s">
        <v>174</v>
      </c>
      <c r="E295" s="236" t="s">
        <v>1369</v>
      </c>
      <c r="F295" s="232" t="s">
        <v>254</v>
      </c>
      <c r="G295" s="232" t="s">
        <v>201</v>
      </c>
      <c r="H295" s="232" t="s">
        <v>178</v>
      </c>
      <c r="I295" s="232">
        <v>1998</v>
      </c>
      <c r="J295" s="232"/>
      <c r="K295" s="134">
        <f t="shared" si="31"/>
        <v>21</v>
      </c>
      <c r="L295" s="232">
        <v>2015</v>
      </c>
      <c r="M295" s="234">
        <v>83969</v>
      </c>
      <c r="N295" s="235">
        <f>294*3.28084</f>
        <v>964.56695999999999</v>
      </c>
      <c r="O295" s="235">
        <v>34</v>
      </c>
      <c r="P295" s="235">
        <v>1754</v>
      </c>
      <c r="Q295" s="235">
        <v>400</v>
      </c>
      <c r="R295" s="235">
        <f t="shared" si="33"/>
        <v>228.05017103762827</v>
      </c>
      <c r="S295" s="235">
        <f>ROUND(R295*CPI!$B$120/VLOOKUP($I295,CPI!$A$1:$B$122,2,FALSE)/1000,2)*1000</f>
        <v>350</v>
      </c>
      <c r="T295" s="232" t="s">
        <v>212</v>
      </c>
      <c r="U295" s="232" t="s">
        <v>248</v>
      </c>
      <c r="V295" s="232"/>
      <c r="W295" s="256" t="e">
        <f>SUM(((X295/SUM(X295:AB295))*5),((Y295/SUM(X295:AB295))*4),((Z295/SUM(X295:AB295))*3),((AA295/SUM(X295:AB295))*2),((AB295/SUM(X295:AB295)*1)))</f>
        <v>#DIV/0!</v>
      </c>
      <c r="X295" s="257"/>
      <c r="Y295" s="257"/>
      <c r="Z295" s="257"/>
      <c r="AA295" s="257"/>
      <c r="AB295" s="257"/>
      <c r="AC295" s="250">
        <f t="shared" si="32"/>
        <v>1998</v>
      </c>
      <c r="AE295" s="276"/>
      <c r="AF295" s="119"/>
      <c r="AG295" s="119"/>
      <c r="AH295" s="277"/>
      <c r="AI295" s="277"/>
      <c r="AJ295" s="277"/>
    </row>
    <row r="296" spans="2:36" ht="13.5" customHeight="1">
      <c r="B296" s="69">
        <v>1</v>
      </c>
      <c r="C296" s="69">
        <v>294</v>
      </c>
      <c r="D296" s="236" t="s">
        <v>176</v>
      </c>
      <c r="E296" s="236" t="s">
        <v>1370</v>
      </c>
      <c r="F296" s="232" t="s">
        <v>254</v>
      </c>
      <c r="G296" s="232" t="s">
        <v>201</v>
      </c>
      <c r="H296" s="232" t="s">
        <v>178</v>
      </c>
      <c r="I296" s="232">
        <v>1999</v>
      </c>
      <c r="J296" s="232"/>
      <c r="K296" s="134">
        <f t="shared" si="31"/>
        <v>20</v>
      </c>
      <c r="L296" s="232">
        <v>2016</v>
      </c>
      <c r="M296" s="234">
        <v>83308</v>
      </c>
      <c r="N296" s="235">
        <v>965</v>
      </c>
      <c r="O296" s="235">
        <v>34</v>
      </c>
      <c r="P296" s="235">
        <v>1754</v>
      </c>
      <c r="Q296" s="235">
        <v>400</v>
      </c>
      <c r="R296" s="235">
        <f t="shared" si="33"/>
        <v>228.05017103762827</v>
      </c>
      <c r="S296" s="235">
        <f>ROUND(R296*CPI!$B$120/VLOOKUP($I296,CPI!$A$1:$B$122,2,FALSE)/1000,2)*1000</f>
        <v>340</v>
      </c>
      <c r="T296" s="232" t="s">
        <v>212</v>
      </c>
      <c r="U296" s="232" t="s">
        <v>248</v>
      </c>
      <c r="V296" s="232"/>
      <c r="W296" s="256" t="e">
        <f>SUM(((X296/SUM(X296:AB296))*5),((Y296/SUM(X296:AB296))*4),((Z296/SUM(X296:AB296))*3),((AA296/SUM(X296:AB296))*2),((AB296/SUM(X296:AB296)*1)))</f>
        <v>#DIV/0!</v>
      </c>
      <c r="X296" s="257"/>
      <c r="Y296" s="257"/>
      <c r="Z296" s="257"/>
      <c r="AA296" s="257"/>
      <c r="AB296" s="257"/>
      <c r="AC296" s="250">
        <f t="shared" si="32"/>
        <v>1999</v>
      </c>
      <c r="AE296" s="276"/>
      <c r="AF296" s="119"/>
      <c r="AG296" s="119"/>
      <c r="AH296" s="277"/>
      <c r="AI296" s="277"/>
      <c r="AJ296" s="277"/>
    </row>
    <row r="297" spans="2:36" ht="13.5" customHeight="1">
      <c r="B297" s="69">
        <v>1</v>
      </c>
      <c r="C297" s="69">
        <v>295</v>
      </c>
      <c r="D297" s="236" t="s">
        <v>175</v>
      </c>
      <c r="E297" s="236" t="s">
        <v>1371</v>
      </c>
      <c r="F297" s="232" t="s">
        <v>254</v>
      </c>
      <c r="G297" s="232" t="s">
        <v>201</v>
      </c>
      <c r="H297" s="232" t="s">
        <v>178</v>
      </c>
      <c r="I297" s="232">
        <v>2010</v>
      </c>
      <c r="J297" s="232"/>
      <c r="K297" s="134">
        <f t="shared" si="31"/>
        <v>9</v>
      </c>
      <c r="L297" s="232">
        <v>2015</v>
      </c>
      <c r="M297" s="234">
        <v>129690</v>
      </c>
      <c r="N297" s="235">
        <f>339*3.28084</f>
        <v>1112.2047600000001</v>
      </c>
      <c r="O297" s="235">
        <v>37</v>
      </c>
      <c r="P297" s="235">
        <v>2500</v>
      </c>
      <c r="Q297" s="235">
        <v>900</v>
      </c>
      <c r="R297" s="235">
        <f t="shared" si="33"/>
        <v>360</v>
      </c>
      <c r="S297" s="235">
        <f>ROUND(R297*CPI!$B$120/VLOOKUP($I297,CPI!$A$1:$B$122,2,FALSE)/1000,2)*1000</f>
        <v>410</v>
      </c>
      <c r="T297" s="232" t="s">
        <v>228</v>
      </c>
      <c r="U297" s="232" t="s">
        <v>248</v>
      </c>
      <c r="V297" s="232"/>
      <c r="W297" s="256" t="e">
        <f>SUM(((X297/SUM(X297:AB297))*5),((Y297/SUM(X297:AB297))*4),((Z297/SUM(X297:AB297))*3),((AA297/SUM(X297:AB297))*2),((AB297/SUM(X297:AB297)*1)))</f>
        <v>#DIV/0!</v>
      </c>
      <c r="X297" s="257"/>
      <c r="Y297" s="257"/>
      <c r="Z297" s="257"/>
      <c r="AA297" s="257"/>
      <c r="AB297" s="257"/>
      <c r="AC297" s="250">
        <f t="shared" si="32"/>
        <v>2010</v>
      </c>
      <c r="AE297" s="276"/>
      <c r="AF297" s="119"/>
      <c r="AG297" s="119"/>
      <c r="AH297" s="277"/>
      <c r="AI297" s="277"/>
      <c r="AJ297" s="277"/>
    </row>
    <row r="298" spans="2:36" ht="13.5" customHeight="1">
      <c r="B298" s="69">
        <v>1</v>
      </c>
      <c r="C298" s="69">
        <v>296</v>
      </c>
      <c r="D298" s="236" t="s">
        <v>177</v>
      </c>
      <c r="E298" s="236" t="s">
        <v>1372</v>
      </c>
      <c r="F298" s="232" t="s">
        <v>254</v>
      </c>
      <c r="G298" s="232" t="s">
        <v>201</v>
      </c>
      <c r="H298" s="232" t="s">
        <v>178</v>
      </c>
      <c r="I298" s="232">
        <v>2012</v>
      </c>
      <c r="J298" s="232"/>
      <c r="K298" s="134">
        <f t="shared" si="31"/>
        <v>7</v>
      </c>
      <c r="L298" s="232"/>
      <c r="M298" s="234">
        <v>129750</v>
      </c>
      <c r="N298" s="235">
        <f>339*3.28084</f>
        <v>1112.2047600000001</v>
      </c>
      <c r="O298" s="235">
        <v>37</v>
      </c>
      <c r="P298" s="235">
        <v>2500</v>
      </c>
      <c r="Q298" s="235">
        <v>950</v>
      </c>
      <c r="R298" s="235">
        <f t="shared" si="33"/>
        <v>380</v>
      </c>
      <c r="S298" s="235">
        <f>ROUND(R298*CPI!$B$120/VLOOKUP($I298,CPI!$A$1:$B$122,2,FALSE)/1000,2)*1000</f>
        <v>410</v>
      </c>
      <c r="T298" s="232" t="s">
        <v>228</v>
      </c>
      <c r="U298" s="232" t="s">
        <v>248</v>
      </c>
      <c r="V298" s="232"/>
      <c r="W298" s="256" t="e">
        <f>SUM(((X298/SUM(X298:AB298))*5),((Y298/SUM(X298:AB298))*4),((Z298/SUM(X298:AB298))*3),((AA298/SUM(X298:AB298))*2),((AB298/SUM(X298:AB298)*1)))</f>
        <v>#DIV/0!</v>
      </c>
      <c r="X298" s="257"/>
      <c r="Y298" s="257"/>
      <c r="Z298" s="257"/>
      <c r="AA298" s="257"/>
      <c r="AB298" s="257"/>
      <c r="AC298" s="250">
        <f t="shared" si="32"/>
        <v>2012</v>
      </c>
      <c r="AE298" s="276"/>
      <c r="AF298" s="119"/>
      <c r="AG298" s="119"/>
      <c r="AH298" s="277"/>
      <c r="AI298" s="277"/>
      <c r="AJ298" s="277"/>
    </row>
    <row r="299" spans="2:36" ht="13.5" customHeight="1">
      <c r="B299" s="69">
        <v>1</v>
      </c>
      <c r="C299" s="69">
        <v>297</v>
      </c>
      <c r="D299" s="255" t="s">
        <v>774</v>
      </c>
      <c r="E299" s="255" t="s">
        <v>1373</v>
      </c>
      <c r="F299" s="250" t="s">
        <v>254</v>
      </c>
      <c r="G299" s="250" t="s">
        <v>201</v>
      </c>
      <c r="H299" s="250" t="s">
        <v>178</v>
      </c>
      <c r="I299" s="250">
        <v>2021</v>
      </c>
      <c r="J299" s="274" t="s">
        <v>1043</v>
      </c>
      <c r="K299" s="134" t="str">
        <f t="shared" si="31"/>
        <v/>
      </c>
      <c r="L299" s="250"/>
      <c r="M299" s="251">
        <v>140000</v>
      </c>
      <c r="N299" s="252"/>
      <c r="O299" s="252">
        <f>M299/P299</f>
        <v>56</v>
      </c>
      <c r="P299" s="252">
        <v>2500</v>
      </c>
      <c r="Q299" s="252">
        <v>900</v>
      </c>
      <c r="R299" s="252">
        <f t="shared" si="33"/>
        <v>360</v>
      </c>
      <c r="S299" s="252">
        <f>ROUND(R299*CPI!$B$120/VLOOKUP($I299,CPI!$A$1:$B$140,2,FALSE)/1000,2)*1000</f>
        <v>340</v>
      </c>
      <c r="T299" s="250" t="s">
        <v>228</v>
      </c>
      <c r="U299" s="250" t="s">
        <v>248</v>
      </c>
      <c r="V299" s="250"/>
      <c r="W299" s="256"/>
      <c r="X299" s="258"/>
      <c r="Y299" s="258"/>
      <c r="Z299" s="258"/>
      <c r="AA299" s="258"/>
      <c r="AB299" s="258"/>
      <c r="AC299" s="250" t="str">
        <f t="shared" si="32"/>
        <v/>
      </c>
      <c r="AE299" s="276"/>
      <c r="AF299" s="119"/>
      <c r="AG299" s="119"/>
      <c r="AH299" s="277"/>
      <c r="AI299" s="277"/>
      <c r="AJ299" s="277"/>
    </row>
    <row r="300" spans="2:36" ht="13.5" customHeight="1">
      <c r="B300" s="69">
        <v>1</v>
      </c>
      <c r="C300" s="69">
        <v>298</v>
      </c>
      <c r="D300" s="255" t="s">
        <v>860</v>
      </c>
      <c r="E300" s="255" t="s">
        <v>1374</v>
      </c>
      <c r="F300" s="250" t="s">
        <v>254</v>
      </c>
      <c r="G300" s="250" t="s">
        <v>201</v>
      </c>
      <c r="H300" s="250" t="s">
        <v>178</v>
      </c>
      <c r="I300" s="250">
        <v>2022</v>
      </c>
      <c r="J300" s="274" t="s">
        <v>1043</v>
      </c>
      <c r="K300" s="134" t="str">
        <f t="shared" si="31"/>
        <v/>
      </c>
      <c r="L300" s="250"/>
      <c r="M300" s="251">
        <v>140000</v>
      </c>
      <c r="N300" s="252"/>
      <c r="O300" s="252">
        <f>M300/P300</f>
        <v>56</v>
      </c>
      <c r="P300" s="252">
        <v>2500</v>
      </c>
      <c r="Q300" s="252">
        <v>900</v>
      </c>
      <c r="R300" s="252">
        <f t="shared" si="33"/>
        <v>360</v>
      </c>
      <c r="S300" s="252">
        <f>ROUND(R300*CPI!$B$120/VLOOKUP($I300,CPI!$A$1:$B$140,2,FALSE)/1000,2)*1000</f>
        <v>330</v>
      </c>
      <c r="T300" s="250" t="s">
        <v>228</v>
      </c>
      <c r="U300" s="250" t="s">
        <v>248</v>
      </c>
      <c r="V300" s="250"/>
      <c r="W300" s="256"/>
      <c r="X300" s="258"/>
      <c r="Y300" s="258"/>
      <c r="Z300" s="258"/>
      <c r="AA300" s="258"/>
      <c r="AB300" s="258"/>
      <c r="AC300" s="250" t="str">
        <f t="shared" si="32"/>
        <v/>
      </c>
      <c r="AE300" s="276"/>
      <c r="AF300" s="119"/>
      <c r="AG300" s="119"/>
      <c r="AH300" s="277"/>
      <c r="AI300" s="277"/>
      <c r="AJ300" s="277"/>
    </row>
    <row r="301" spans="2:36" ht="13.5" customHeight="1">
      <c r="B301" s="69">
        <v>1</v>
      </c>
      <c r="C301" s="69">
        <v>299</v>
      </c>
      <c r="D301" s="255" t="s">
        <v>775</v>
      </c>
      <c r="E301" s="255" t="s">
        <v>1375</v>
      </c>
      <c r="F301" s="250" t="s">
        <v>254</v>
      </c>
      <c r="G301" s="250" t="s">
        <v>201</v>
      </c>
      <c r="H301" s="250" t="s">
        <v>178</v>
      </c>
      <c r="I301" s="250">
        <v>2023</v>
      </c>
      <c r="J301" s="274" t="s">
        <v>1043</v>
      </c>
      <c r="K301" s="134" t="str">
        <f t="shared" si="31"/>
        <v/>
      </c>
      <c r="L301" s="250"/>
      <c r="M301" s="251">
        <v>140000</v>
      </c>
      <c r="N301" s="252"/>
      <c r="O301" s="252">
        <f>M301/P301</f>
        <v>56</v>
      </c>
      <c r="P301" s="252">
        <v>2500</v>
      </c>
      <c r="Q301" s="252">
        <v>900</v>
      </c>
      <c r="R301" s="252">
        <f t="shared" si="33"/>
        <v>360</v>
      </c>
      <c r="S301" s="252">
        <f>ROUND(R301*CPI!$B$120/VLOOKUP($I301,CPI!$A$1:$B$140,2,FALSE)/1000,2)*1000</f>
        <v>330</v>
      </c>
      <c r="T301" s="250" t="s">
        <v>228</v>
      </c>
      <c r="U301" s="250" t="s">
        <v>248</v>
      </c>
      <c r="V301" s="250"/>
      <c r="W301" s="256"/>
      <c r="X301" s="258"/>
      <c r="Y301" s="258"/>
      <c r="Z301" s="258"/>
      <c r="AA301" s="258"/>
      <c r="AB301" s="258"/>
      <c r="AC301" s="250" t="str">
        <f t="shared" si="32"/>
        <v/>
      </c>
      <c r="AE301" s="276"/>
      <c r="AF301" s="119"/>
      <c r="AG301" s="119"/>
      <c r="AH301" s="277"/>
      <c r="AI301" s="277"/>
      <c r="AJ301" s="277"/>
    </row>
    <row r="302" spans="2:36" ht="13.5" customHeight="1">
      <c r="B302" s="69">
        <v>1</v>
      </c>
      <c r="C302" s="69">
        <v>300</v>
      </c>
      <c r="D302" s="233" t="s">
        <v>318</v>
      </c>
      <c r="E302" s="233" t="s">
        <v>1376</v>
      </c>
      <c r="F302" s="232" t="s">
        <v>277</v>
      </c>
      <c r="G302" s="232" t="s">
        <v>201</v>
      </c>
      <c r="H302" s="232" t="s">
        <v>317</v>
      </c>
      <c r="I302" s="232">
        <v>2015</v>
      </c>
      <c r="J302" s="232"/>
      <c r="K302" s="134">
        <f t="shared" si="31"/>
        <v>4</v>
      </c>
      <c r="L302" s="232"/>
      <c r="M302" s="234">
        <v>47800</v>
      </c>
      <c r="N302" s="235">
        <v>745</v>
      </c>
      <c r="O302" s="235">
        <v>52</v>
      </c>
      <c r="P302" s="235">
        <v>928</v>
      </c>
      <c r="Q302" s="235">
        <v>308</v>
      </c>
      <c r="R302" s="235">
        <f t="shared" si="33"/>
        <v>331.89655172413796</v>
      </c>
      <c r="S302" s="235">
        <f>ROUND(R302*CPI!$B$120/VLOOKUP($I302,CPI!$A$1:$B$122,2,FALSE)/1000,2)*1000</f>
        <v>350</v>
      </c>
      <c r="T302" s="232" t="s">
        <v>212</v>
      </c>
      <c r="U302" s="232" t="s">
        <v>248</v>
      </c>
      <c r="V302" s="232"/>
      <c r="W302" s="256" t="e">
        <f>SUM(((X302/SUM(X302:AB302))*5),((Y302/SUM(X302:AB302))*4),((Z302/SUM(X302:AB302))*3),((AA302/SUM(X302:AB302))*2),((AB302/SUM(X302:AB302)*1)))</f>
        <v>#DIV/0!</v>
      </c>
      <c r="X302" s="257"/>
      <c r="Y302" s="257"/>
      <c r="Z302" s="257"/>
      <c r="AA302" s="257"/>
      <c r="AB302" s="257"/>
      <c r="AC302" s="250">
        <f t="shared" si="32"/>
        <v>2015</v>
      </c>
      <c r="AE302" s="276"/>
      <c r="AF302" s="119"/>
      <c r="AG302" s="119"/>
      <c r="AH302" s="277"/>
      <c r="AI302" s="277"/>
      <c r="AJ302" s="277"/>
    </row>
    <row r="303" spans="2:36" ht="13.5" customHeight="1">
      <c r="B303" s="69">
        <v>1</v>
      </c>
      <c r="C303" s="69">
        <v>301</v>
      </c>
      <c r="D303" s="233" t="s">
        <v>319</v>
      </c>
      <c r="E303" s="233" t="s">
        <v>1377</v>
      </c>
      <c r="F303" s="232" t="s">
        <v>277</v>
      </c>
      <c r="G303" s="232" t="s">
        <v>201</v>
      </c>
      <c r="H303" s="232" t="s">
        <v>317</v>
      </c>
      <c r="I303" s="232">
        <v>2016</v>
      </c>
      <c r="J303" s="232"/>
      <c r="K303" s="134">
        <f t="shared" si="31"/>
        <v>3</v>
      </c>
      <c r="L303" s="232"/>
      <c r="M303" s="234">
        <v>47800</v>
      </c>
      <c r="N303" s="235">
        <v>745</v>
      </c>
      <c r="O303" s="235">
        <v>52</v>
      </c>
      <c r="P303" s="235">
        <v>928</v>
      </c>
      <c r="Q303" s="235">
        <v>308</v>
      </c>
      <c r="R303" s="235">
        <f t="shared" si="33"/>
        <v>331.89655172413796</v>
      </c>
      <c r="S303" s="235">
        <f>ROUND(R303*CPI!$B$120/VLOOKUP($I303,CPI!$A$1:$B$122,2,FALSE)/1000,2)*1000</f>
        <v>350</v>
      </c>
      <c r="T303" s="232" t="s">
        <v>212</v>
      </c>
      <c r="U303" s="232" t="s">
        <v>248</v>
      </c>
      <c r="V303" s="232"/>
      <c r="W303" s="256" t="e">
        <f>SUM(((X303/SUM(X303:AB303))*5),((Y303/SUM(X303:AB303))*4),((Z303/SUM(X303:AB303))*3),((AA303/SUM(X303:AB303))*2),((AB303/SUM(X303:AB303)*1)))</f>
        <v>#DIV/0!</v>
      </c>
      <c r="X303" s="257"/>
      <c r="Y303" s="257"/>
      <c r="Z303" s="257"/>
      <c r="AA303" s="257"/>
      <c r="AB303" s="257"/>
      <c r="AC303" s="250">
        <f t="shared" si="32"/>
        <v>2016</v>
      </c>
      <c r="AE303" s="276"/>
      <c r="AF303" s="119"/>
      <c r="AG303" s="119"/>
      <c r="AH303" s="277"/>
      <c r="AI303" s="277"/>
      <c r="AJ303" s="277"/>
    </row>
    <row r="304" spans="2:36" ht="13.5" customHeight="1">
      <c r="B304" s="69">
        <v>1</v>
      </c>
      <c r="C304" s="69">
        <v>302</v>
      </c>
      <c r="D304" s="233" t="s">
        <v>443</v>
      </c>
      <c r="E304" s="233" t="s">
        <v>1378</v>
      </c>
      <c r="F304" s="232" t="s">
        <v>277</v>
      </c>
      <c r="G304" s="232" t="s">
        <v>201</v>
      </c>
      <c r="H304" s="232" t="s">
        <v>317</v>
      </c>
      <c r="I304" s="232">
        <v>2017</v>
      </c>
      <c r="J304" s="232"/>
      <c r="K304" s="134">
        <f t="shared" si="31"/>
        <v>2</v>
      </c>
      <c r="L304" s="232"/>
      <c r="M304" s="234">
        <v>47800</v>
      </c>
      <c r="N304" s="235">
        <v>745</v>
      </c>
      <c r="O304" s="235">
        <v>52</v>
      </c>
      <c r="P304" s="235">
        <v>928</v>
      </c>
      <c r="Q304" s="235">
        <v>308</v>
      </c>
      <c r="R304" s="235">
        <f t="shared" si="33"/>
        <v>331.89655172413796</v>
      </c>
      <c r="S304" s="235">
        <f>ROUND(R304*CPI!$B$120/VLOOKUP($I304,CPI!$A$1:$B$140,2,FALSE)/1000,2)*1000</f>
        <v>340</v>
      </c>
      <c r="T304" s="232" t="s">
        <v>212</v>
      </c>
      <c r="U304" s="232" t="s">
        <v>248</v>
      </c>
      <c r="V304" s="232"/>
      <c r="W304" s="256" t="e">
        <f>SUM(((X304/SUM(X304:AB304))*5),((Y304/SUM(X304:AB304))*4),((Z304/SUM(X304:AB304))*3),((AA304/SUM(X304:AB304))*2),((AB304/SUM(X304:AB304)*1)))</f>
        <v>#DIV/0!</v>
      </c>
      <c r="X304" s="257"/>
      <c r="Y304" s="257"/>
      <c r="Z304" s="257"/>
      <c r="AA304" s="257"/>
      <c r="AB304" s="257"/>
      <c r="AC304" s="250">
        <f t="shared" si="32"/>
        <v>2017</v>
      </c>
      <c r="AE304" s="276"/>
      <c r="AF304" s="119"/>
      <c r="AG304" s="119"/>
      <c r="AH304" s="277"/>
      <c r="AI304" s="277"/>
      <c r="AJ304" s="277"/>
    </row>
    <row r="305" spans="2:36" ht="13.5" customHeight="1">
      <c r="B305" s="69">
        <v>1</v>
      </c>
      <c r="C305" s="69">
        <v>303</v>
      </c>
      <c r="D305" s="233" t="s">
        <v>447</v>
      </c>
      <c r="E305" s="233" t="s">
        <v>1379</v>
      </c>
      <c r="F305" s="232" t="s">
        <v>277</v>
      </c>
      <c r="G305" s="232" t="s">
        <v>201</v>
      </c>
      <c r="H305" s="232" t="s">
        <v>317</v>
      </c>
      <c r="I305" s="232">
        <v>2017</v>
      </c>
      <c r="J305" s="232"/>
      <c r="K305" s="134">
        <f t="shared" si="31"/>
        <v>2</v>
      </c>
      <c r="L305" s="232"/>
      <c r="M305" s="234">
        <v>47800</v>
      </c>
      <c r="N305" s="235">
        <v>745</v>
      </c>
      <c r="O305" s="235">
        <v>52</v>
      </c>
      <c r="P305" s="235">
        <v>928</v>
      </c>
      <c r="Q305" s="235">
        <v>308</v>
      </c>
      <c r="R305" s="235">
        <f t="shared" si="33"/>
        <v>331.89655172413796</v>
      </c>
      <c r="S305" s="235">
        <f>ROUND(R305*CPI!$B$120/VLOOKUP($I305,CPI!$A$1:$B$140,2,FALSE)/1000,2)*1000</f>
        <v>340</v>
      </c>
      <c r="T305" s="232" t="s">
        <v>212</v>
      </c>
      <c r="U305" s="232" t="s">
        <v>248</v>
      </c>
      <c r="V305" s="232"/>
      <c r="W305" s="256"/>
      <c r="X305" s="257"/>
      <c r="Y305" s="257"/>
      <c r="Z305" s="257"/>
      <c r="AA305" s="257"/>
      <c r="AB305" s="257"/>
      <c r="AC305" s="250">
        <f t="shared" si="32"/>
        <v>2017</v>
      </c>
      <c r="AE305" s="276"/>
      <c r="AF305" s="119"/>
      <c r="AG305" s="119"/>
      <c r="AH305" s="277"/>
      <c r="AI305" s="277"/>
      <c r="AJ305" s="277"/>
    </row>
    <row r="306" spans="2:36" ht="13.5" customHeight="1">
      <c r="B306" s="69">
        <v>1</v>
      </c>
      <c r="C306" s="69">
        <v>304</v>
      </c>
      <c r="D306" s="249" t="s">
        <v>958</v>
      </c>
      <c r="E306" s="249" t="s">
        <v>1380</v>
      </c>
      <c r="F306" s="250" t="s">
        <v>277</v>
      </c>
      <c r="G306" s="250" t="s">
        <v>201</v>
      </c>
      <c r="H306" s="250" t="s">
        <v>317</v>
      </c>
      <c r="I306" s="250">
        <v>2018</v>
      </c>
      <c r="J306" s="250" t="s">
        <v>1047</v>
      </c>
      <c r="K306" s="134">
        <f t="shared" si="31"/>
        <v>1</v>
      </c>
      <c r="L306" s="250"/>
      <c r="M306" s="251">
        <v>47000</v>
      </c>
      <c r="N306" s="252">
        <v>745</v>
      </c>
      <c r="O306" s="252">
        <v>52</v>
      </c>
      <c r="P306" s="252">
        <v>930</v>
      </c>
      <c r="Q306" s="252">
        <v>400</v>
      </c>
      <c r="R306" s="252">
        <f t="shared" si="33"/>
        <v>430.10752688172045</v>
      </c>
      <c r="S306" s="252">
        <f>ROUND(R306*CPI!$B$120/VLOOKUP($I306,CPI!$A$1:$B$140,2,FALSE)/1000,2)*1000</f>
        <v>430</v>
      </c>
      <c r="T306" s="250" t="s">
        <v>212</v>
      </c>
      <c r="U306" s="250" t="s">
        <v>248</v>
      </c>
      <c r="V306" s="250"/>
      <c r="W306" s="256"/>
      <c r="X306" s="257"/>
      <c r="Y306" s="257"/>
      <c r="Z306" s="257"/>
      <c r="AA306" s="257"/>
      <c r="AB306" s="257"/>
      <c r="AC306" s="250">
        <f t="shared" si="32"/>
        <v>2018</v>
      </c>
      <c r="AE306" s="276"/>
      <c r="AF306" s="119"/>
      <c r="AG306" s="119"/>
      <c r="AH306" s="277"/>
      <c r="AI306" s="277"/>
      <c r="AJ306" s="277"/>
    </row>
    <row r="307" spans="2:36" ht="13.5" customHeight="1">
      <c r="B307" s="69">
        <v>1</v>
      </c>
      <c r="C307" s="69">
        <v>305</v>
      </c>
      <c r="D307" s="249" t="s">
        <v>909</v>
      </c>
      <c r="E307" s="249" t="s">
        <v>1381</v>
      </c>
      <c r="F307" s="250" t="s">
        <v>277</v>
      </c>
      <c r="G307" s="250" t="s">
        <v>201</v>
      </c>
      <c r="H307" s="250" t="s">
        <v>317</v>
      </c>
      <c r="I307" s="250">
        <v>2019</v>
      </c>
      <c r="J307" s="250" t="s">
        <v>1052</v>
      </c>
      <c r="K307" s="134" t="str">
        <f t="shared" si="31"/>
        <v/>
      </c>
      <c r="L307" s="250"/>
      <c r="M307" s="251">
        <v>47000</v>
      </c>
      <c r="N307" s="252">
        <v>745</v>
      </c>
      <c r="O307" s="252">
        <v>52</v>
      </c>
      <c r="P307" s="252">
        <v>930</v>
      </c>
      <c r="Q307" s="252">
        <v>400</v>
      </c>
      <c r="R307" s="252">
        <f t="shared" si="33"/>
        <v>430.10752688172045</v>
      </c>
      <c r="S307" s="252">
        <f>ROUND(R307*CPI!$B$120/VLOOKUP($I307,CPI!$A$1:$B$140,2,FALSE)/1000,2)*1000</f>
        <v>420</v>
      </c>
      <c r="T307" s="250" t="s">
        <v>212</v>
      </c>
      <c r="U307" s="250" t="s">
        <v>248</v>
      </c>
      <c r="V307" s="250"/>
      <c r="W307" s="256"/>
      <c r="X307" s="258"/>
      <c r="Y307" s="258"/>
      <c r="Z307" s="258"/>
      <c r="AA307" s="258"/>
      <c r="AB307" s="258"/>
      <c r="AC307" s="250" t="str">
        <f t="shared" si="32"/>
        <v/>
      </c>
      <c r="AE307" s="276"/>
      <c r="AF307" s="119"/>
      <c r="AG307" s="119"/>
      <c r="AH307" s="277"/>
      <c r="AI307" s="277"/>
      <c r="AJ307" s="277"/>
    </row>
    <row r="308" spans="2:36" ht="15" customHeight="1">
      <c r="B308" s="69">
        <v>1</v>
      </c>
      <c r="C308" s="69">
        <v>306</v>
      </c>
      <c r="D308" s="249" t="s">
        <v>856</v>
      </c>
      <c r="E308" s="249" t="s">
        <v>1382</v>
      </c>
      <c r="F308" s="250" t="s">
        <v>277</v>
      </c>
      <c r="G308" s="250" t="s">
        <v>201</v>
      </c>
      <c r="H308" s="250" t="s">
        <v>317</v>
      </c>
      <c r="I308" s="250">
        <v>2021</v>
      </c>
      <c r="J308" s="274" t="s">
        <v>1043</v>
      </c>
      <c r="K308" s="134" t="str">
        <f t="shared" si="31"/>
        <v/>
      </c>
      <c r="L308" s="250"/>
      <c r="M308" s="251">
        <v>47000</v>
      </c>
      <c r="N308" s="252"/>
      <c r="O308" s="252">
        <f t="shared" ref="O308:O319" si="34">M308/P308</f>
        <v>50.537634408602152</v>
      </c>
      <c r="P308" s="252">
        <v>930</v>
      </c>
      <c r="Q308" s="252">
        <v>400</v>
      </c>
      <c r="R308" s="252">
        <f t="shared" si="33"/>
        <v>430.10752688172045</v>
      </c>
      <c r="S308" s="252">
        <f>ROUND(R308*CPI!$B$120/VLOOKUP($I308,CPI!$A$1:$B$140,2,FALSE)/1000,2)*1000</f>
        <v>410</v>
      </c>
      <c r="T308" s="250" t="s">
        <v>212</v>
      </c>
      <c r="U308" s="250" t="s">
        <v>248</v>
      </c>
      <c r="V308" s="250"/>
      <c r="W308" s="256"/>
      <c r="X308" s="257"/>
      <c r="Y308" s="257"/>
      <c r="Z308" s="257"/>
      <c r="AA308" s="257"/>
      <c r="AB308" s="257"/>
      <c r="AC308" s="250" t="str">
        <f t="shared" si="32"/>
        <v/>
      </c>
      <c r="AE308" s="276"/>
      <c r="AF308" s="119"/>
      <c r="AG308" s="119"/>
      <c r="AH308" s="277"/>
      <c r="AI308" s="277"/>
      <c r="AJ308" s="277"/>
    </row>
    <row r="309" spans="2:36" ht="15" customHeight="1">
      <c r="B309" s="69">
        <v>1</v>
      </c>
      <c r="C309" s="69">
        <v>307</v>
      </c>
      <c r="D309" s="249" t="s">
        <v>959</v>
      </c>
      <c r="E309" s="249" t="s">
        <v>1383</v>
      </c>
      <c r="F309" s="250" t="s">
        <v>277</v>
      </c>
      <c r="G309" s="250" t="s">
        <v>794</v>
      </c>
      <c r="H309" s="250" t="s">
        <v>317</v>
      </c>
      <c r="I309" s="250">
        <v>2021</v>
      </c>
      <c r="J309" s="250" t="s">
        <v>1046</v>
      </c>
      <c r="K309" s="134" t="str">
        <f t="shared" si="31"/>
        <v/>
      </c>
      <c r="L309" s="250"/>
      <c r="M309" s="251">
        <v>30000</v>
      </c>
      <c r="N309" s="252"/>
      <c r="O309" s="252">
        <f t="shared" si="34"/>
        <v>111.11111111111111</v>
      </c>
      <c r="P309" s="252">
        <v>270</v>
      </c>
      <c r="Q309" s="252">
        <v>275</v>
      </c>
      <c r="R309" s="252">
        <f t="shared" si="33"/>
        <v>1018.5185185185186</v>
      </c>
      <c r="S309" s="252">
        <f>ROUND(R309*CPI!$B$120/VLOOKUP($I309,CPI!$A$1:$B$140,2,FALSE)/1000,2)*1000</f>
        <v>960</v>
      </c>
      <c r="T309" s="250" t="s">
        <v>777</v>
      </c>
      <c r="U309" s="250" t="s">
        <v>248</v>
      </c>
      <c r="V309" s="250"/>
      <c r="W309" s="256"/>
      <c r="X309" s="257"/>
      <c r="Y309" s="257"/>
      <c r="Z309" s="257"/>
      <c r="AA309" s="257"/>
      <c r="AB309" s="257"/>
      <c r="AC309" s="250" t="str">
        <f t="shared" si="32"/>
        <v/>
      </c>
      <c r="AE309" s="276"/>
      <c r="AF309" s="119"/>
      <c r="AG309" s="119"/>
      <c r="AH309" s="277"/>
      <c r="AI309" s="277"/>
      <c r="AJ309" s="277"/>
    </row>
    <row r="310" spans="2:36" ht="13.5" customHeight="1">
      <c r="B310" s="69">
        <v>1</v>
      </c>
      <c r="C310" s="69">
        <v>308</v>
      </c>
      <c r="D310" s="249" t="s">
        <v>960</v>
      </c>
      <c r="E310" s="249" t="s">
        <v>1384</v>
      </c>
      <c r="F310" s="250" t="s">
        <v>277</v>
      </c>
      <c r="G310" s="250" t="s">
        <v>794</v>
      </c>
      <c r="H310" s="250" t="s">
        <v>317</v>
      </c>
      <c r="I310" s="250">
        <v>2022</v>
      </c>
      <c r="J310" s="250" t="s">
        <v>1046</v>
      </c>
      <c r="K310" s="134" t="str">
        <f t="shared" si="31"/>
        <v/>
      </c>
      <c r="L310" s="250"/>
      <c r="M310" s="251">
        <v>30000</v>
      </c>
      <c r="N310" s="252"/>
      <c r="O310" s="252">
        <f t="shared" si="34"/>
        <v>111.11111111111111</v>
      </c>
      <c r="P310" s="252">
        <v>270</v>
      </c>
      <c r="Q310" s="252">
        <v>275</v>
      </c>
      <c r="R310" s="252">
        <f t="shared" si="33"/>
        <v>1018.5185185185186</v>
      </c>
      <c r="S310" s="252">
        <f>ROUND(R310*CPI!$B$120/VLOOKUP($I310,CPI!$A$1:$B$140,2,FALSE)/1000,2)*1000</f>
        <v>940</v>
      </c>
      <c r="T310" s="250" t="s">
        <v>777</v>
      </c>
      <c r="U310" s="250" t="s">
        <v>248</v>
      </c>
      <c r="V310" s="250"/>
      <c r="W310" s="256"/>
      <c r="X310" s="257"/>
      <c r="Y310" s="257"/>
      <c r="Z310" s="257"/>
      <c r="AA310" s="257"/>
      <c r="AB310" s="257"/>
      <c r="AC310" s="250" t="str">
        <f t="shared" si="32"/>
        <v/>
      </c>
      <c r="AE310" s="276"/>
      <c r="AF310" s="119"/>
      <c r="AG310" s="119"/>
      <c r="AH310" s="277"/>
      <c r="AI310" s="277"/>
      <c r="AJ310" s="277"/>
    </row>
    <row r="311" spans="2:36" ht="13.5" customHeight="1">
      <c r="B311" s="69">
        <v>1</v>
      </c>
      <c r="C311" s="69">
        <v>309</v>
      </c>
      <c r="D311" s="249" t="s">
        <v>859</v>
      </c>
      <c r="E311" s="249" t="s">
        <v>1385</v>
      </c>
      <c r="F311" s="250" t="s">
        <v>277</v>
      </c>
      <c r="G311" s="250" t="s">
        <v>201</v>
      </c>
      <c r="H311" s="250" t="s">
        <v>317</v>
      </c>
      <c r="I311" s="250">
        <v>2022</v>
      </c>
      <c r="J311" s="274" t="s">
        <v>1043</v>
      </c>
      <c r="K311" s="134" t="str">
        <f t="shared" si="31"/>
        <v/>
      </c>
      <c r="L311" s="250"/>
      <c r="M311" s="251">
        <v>47000</v>
      </c>
      <c r="N311" s="252"/>
      <c r="O311" s="252">
        <f t="shared" si="34"/>
        <v>50.537634408602152</v>
      </c>
      <c r="P311" s="252">
        <v>930</v>
      </c>
      <c r="Q311" s="252">
        <v>400</v>
      </c>
      <c r="R311" s="252">
        <f t="shared" si="33"/>
        <v>430.10752688172045</v>
      </c>
      <c r="S311" s="252">
        <f>ROUND(R311*CPI!$B$120/VLOOKUP($I311,CPI!$A$1:$B$140,2,FALSE)/1000,2)*1000</f>
        <v>400</v>
      </c>
      <c r="T311" s="250" t="s">
        <v>212</v>
      </c>
      <c r="U311" s="250" t="s">
        <v>248</v>
      </c>
      <c r="V311" s="250"/>
      <c r="W311" s="256"/>
      <c r="X311" s="257"/>
      <c r="Y311" s="257"/>
      <c r="Z311" s="257"/>
      <c r="AA311" s="257"/>
      <c r="AB311" s="257"/>
      <c r="AC311" s="250" t="str">
        <f t="shared" si="32"/>
        <v/>
      </c>
      <c r="AE311" s="276"/>
      <c r="AF311" s="119"/>
      <c r="AG311" s="119"/>
      <c r="AH311" s="277"/>
      <c r="AI311" s="277"/>
      <c r="AJ311" s="277"/>
    </row>
    <row r="312" spans="2:36" ht="13.5" customHeight="1">
      <c r="B312" s="69">
        <v>1</v>
      </c>
      <c r="C312" s="69">
        <v>310</v>
      </c>
      <c r="D312" s="249" t="s">
        <v>859</v>
      </c>
      <c r="E312" s="249" t="s">
        <v>1385</v>
      </c>
      <c r="F312" s="250" t="s">
        <v>277</v>
      </c>
      <c r="G312" s="250" t="s">
        <v>201</v>
      </c>
      <c r="H312" s="250" t="s">
        <v>317</v>
      </c>
      <c r="I312" s="250">
        <v>2022</v>
      </c>
      <c r="J312" s="274" t="s">
        <v>1043</v>
      </c>
      <c r="K312" s="134" t="str">
        <f t="shared" si="31"/>
        <v/>
      </c>
      <c r="L312" s="250"/>
      <c r="M312" s="251">
        <v>47000</v>
      </c>
      <c r="N312" s="252"/>
      <c r="O312" s="252">
        <f t="shared" si="34"/>
        <v>50.537634408602152</v>
      </c>
      <c r="P312" s="252">
        <v>930</v>
      </c>
      <c r="Q312" s="252">
        <v>400</v>
      </c>
      <c r="R312" s="252">
        <f t="shared" si="33"/>
        <v>430.10752688172045</v>
      </c>
      <c r="S312" s="252">
        <f>ROUND(R312*CPI!$B$120/VLOOKUP($I312,CPI!$A$1:$B$140,2,FALSE)/1000,2)*1000</f>
        <v>400</v>
      </c>
      <c r="T312" s="250" t="s">
        <v>212</v>
      </c>
      <c r="U312" s="250" t="s">
        <v>248</v>
      </c>
      <c r="V312" s="250"/>
      <c r="W312" s="256"/>
      <c r="X312" s="257"/>
      <c r="Y312" s="257"/>
      <c r="Z312" s="257"/>
      <c r="AA312" s="257"/>
      <c r="AB312" s="257"/>
      <c r="AC312" s="250" t="str">
        <f t="shared" si="32"/>
        <v/>
      </c>
      <c r="AE312" s="276"/>
      <c r="AF312" s="119"/>
      <c r="AG312" s="119"/>
      <c r="AH312" s="277"/>
      <c r="AI312" s="277"/>
      <c r="AJ312" s="277"/>
    </row>
    <row r="313" spans="2:36" ht="13.5" customHeight="1">
      <c r="B313" s="69">
        <v>1</v>
      </c>
      <c r="C313" s="69">
        <v>311</v>
      </c>
      <c r="D313" s="249" t="s">
        <v>961</v>
      </c>
      <c r="E313" s="249" t="s">
        <v>1386</v>
      </c>
      <c r="F313" s="250" t="s">
        <v>277</v>
      </c>
      <c r="G313" s="250" t="s">
        <v>201</v>
      </c>
      <c r="H313" s="250" t="s">
        <v>317</v>
      </c>
      <c r="I313" s="250">
        <v>2023</v>
      </c>
      <c r="J313" s="274" t="s">
        <v>1043</v>
      </c>
      <c r="K313" s="134" t="str">
        <f t="shared" si="31"/>
        <v/>
      </c>
      <c r="L313" s="250"/>
      <c r="M313" s="251">
        <v>47000</v>
      </c>
      <c r="N313" s="252"/>
      <c r="O313" s="252">
        <f t="shared" si="34"/>
        <v>50.537634408602152</v>
      </c>
      <c r="P313" s="252">
        <v>930</v>
      </c>
      <c r="Q313" s="252">
        <v>400</v>
      </c>
      <c r="R313" s="252">
        <f t="shared" si="33"/>
        <v>430.10752688172045</v>
      </c>
      <c r="S313" s="252">
        <f>ROUND(R313*CPI!$B$120/VLOOKUP($I313,CPI!$A$1:$B$140,2,FALSE)/1000,2)*1000</f>
        <v>390</v>
      </c>
      <c r="T313" s="250" t="s">
        <v>212</v>
      </c>
      <c r="U313" s="250" t="s">
        <v>248</v>
      </c>
      <c r="V313" s="250"/>
      <c r="W313" s="256"/>
      <c r="X313" s="257"/>
      <c r="Y313" s="257"/>
      <c r="Z313" s="257"/>
      <c r="AA313" s="257"/>
      <c r="AB313" s="257"/>
      <c r="AC313" s="250" t="str">
        <f t="shared" si="32"/>
        <v/>
      </c>
      <c r="AE313" s="276"/>
      <c r="AF313" s="119"/>
      <c r="AG313" s="119"/>
      <c r="AH313" s="277"/>
      <c r="AI313" s="277"/>
      <c r="AJ313" s="277"/>
    </row>
    <row r="314" spans="2:36" ht="13.5" customHeight="1">
      <c r="B314" s="69">
        <v>1</v>
      </c>
      <c r="C314" s="69">
        <v>312</v>
      </c>
      <c r="D314" s="249" t="s">
        <v>962</v>
      </c>
      <c r="E314" s="249" t="s">
        <v>1387</v>
      </c>
      <c r="F314" s="250" t="s">
        <v>277</v>
      </c>
      <c r="G314" s="250" t="s">
        <v>201</v>
      </c>
      <c r="H314" s="250" t="s">
        <v>317</v>
      </c>
      <c r="I314" s="250">
        <v>2024</v>
      </c>
      <c r="J314" s="274" t="s">
        <v>1043</v>
      </c>
      <c r="K314" s="134" t="str">
        <f t="shared" si="31"/>
        <v/>
      </c>
      <c r="L314" s="250"/>
      <c r="M314" s="251">
        <v>47000</v>
      </c>
      <c r="N314" s="252"/>
      <c r="O314" s="252">
        <f t="shared" si="34"/>
        <v>50.537634408602152</v>
      </c>
      <c r="P314" s="252">
        <v>930</v>
      </c>
      <c r="Q314" s="252">
        <v>400</v>
      </c>
      <c r="R314" s="252">
        <f t="shared" si="33"/>
        <v>430.10752688172045</v>
      </c>
      <c r="S314" s="252">
        <f>ROUND(R314*CPI!$B$120/VLOOKUP($I314,CPI!$A$1:$B$140,2,FALSE)/1000,2)*1000</f>
        <v>380</v>
      </c>
      <c r="T314" s="250" t="s">
        <v>212</v>
      </c>
      <c r="U314" s="250" t="s">
        <v>248</v>
      </c>
      <c r="V314" s="250"/>
      <c r="W314" s="256"/>
      <c r="X314" s="257"/>
      <c r="Y314" s="257"/>
      <c r="Z314" s="257"/>
      <c r="AA314" s="257"/>
      <c r="AB314" s="257"/>
      <c r="AC314" s="250" t="str">
        <f t="shared" si="32"/>
        <v/>
      </c>
      <c r="AE314" s="276"/>
      <c r="AF314" s="119"/>
      <c r="AG314" s="119"/>
      <c r="AH314" s="277"/>
      <c r="AI314" s="277"/>
      <c r="AJ314" s="277"/>
    </row>
    <row r="315" spans="2:36" ht="13.5" customHeight="1">
      <c r="B315" s="69">
        <v>1</v>
      </c>
      <c r="C315" s="69">
        <v>313</v>
      </c>
      <c r="D315" s="249" t="s">
        <v>963</v>
      </c>
      <c r="E315" s="249" t="s">
        <v>1388</v>
      </c>
      <c r="F315" s="250" t="s">
        <v>277</v>
      </c>
      <c r="G315" s="250" t="s">
        <v>201</v>
      </c>
      <c r="H315" s="250" t="s">
        <v>317</v>
      </c>
      <c r="I315" s="250">
        <v>2025</v>
      </c>
      <c r="J315" s="274" t="s">
        <v>1043</v>
      </c>
      <c r="K315" s="134" t="str">
        <f t="shared" si="31"/>
        <v/>
      </c>
      <c r="L315" s="250"/>
      <c r="M315" s="251">
        <v>47000</v>
      </c>
      <c r="N315" s="252"/>
      <c r="O315" s="252">
        <f t="shared" si="34"/>
        <v>50.537634408602152</v>
      </c>
      <c r="P315" s="252">
        <v>930</v>
      </c>
      <c r="Q315" s="252">
        <v>400</v>
      </c>
      <c r="R315" s="252">
        <f t="shared" si="33"/>
        <v>430.10752688172045</v>
      </c>
      <c r="S315" s="252">
        <f>ROUND(R315*CPI!$B$120/VLOOKUP($I315,CPI!$A$1:$B$140,2,FALSE)/1000,2)*1000</f>
        <v>370</v>
      </c>
      <c r="T315" s="250" t="s">
        <v>212</v>
      </c>
      <c r="U315" s="250" t="s">
        <v>248</v>
      </c>
      <c r="V315" s="250"/>
      <c r="W315" s="256"/>
      <c r="X315" s="257"/>
      <c r="Y315" s="257"/>
      <c r="Z315" s="257"/>
      <c r="AA315" s="257"/>
      <c r="AB315" s="257"/>
      <c r="AC315" s="250" t="str">
        <f t="shared" si="32"/>
        <v/>
      </c>
      <c r="AE315" s="276"/>
      <c r="AF315" s="119"/>
      <c r="AG315" s="119"/>
      <c r="AH315" s="277"/>
      <c r="AI315" s="277"/>
      <c r="AJ315" s="277"/>
    </row>
    <row r="316" spans="2:36" ht="13.5" customHeight="1">
      <c r="B316" s="69">
        <v>1</v>
      </c>
      <c r="C316" s="69">
        <v>314</v>
      </c>
      <c r="D316" s="249" t="s">
        <v>963</v>
      </c>
      <c r="E316" s="249" t="s">
        <v>1388</v>
      </c>
      <c r="F316" s="250" t="s">
        <v>277</v>
      </c>
      <c r="G316" s="250" t="s">
        <v>201</v>
      </c>
      <c r="H316" s="250" t="s">
        <v>317</v>
      </c>
      <c r="I316" s="250">
        <v>2025</v>
      </c>
      <c r="J316" s="274" t="s">
        <v>1043</v>
      </c>
      <c r="K316" s="134" t="str">
        <f t="shared" si="31"/>
        <v/>
      </c>
      <c r="L316" s="250"/>
      <c r="M316" s="251">
        <v>47000</v>
      </c>
      <c r="N316" s="252"/>
      <c r="O316" s="252">
        <f t="shared" si="34"/>
        <v>50.537634408602152</v>
      </c>
      <c r="P316" s="252">
        <v>930</v>
      </c>
      <c r="Q316" s="252">
        <v>400</v>
      </c>
      <c r="R316" s="252">
        <f t="shared" si="33"/>
        <v>430.10752688172045</v>
      </c>
      <c r="S316" s="252">
        <f>ROUND(R316*CPI!$B$120/VLOOKUP($I316,CPI!$A$1:$B$140,2,FALSE)/1000,2)*1000</f>
        <v>370</v>
      </c>
      <c r="T316" s="250" t="s">
        <v>212</v>
      </c>
      <c r="U316" s="250" t="s">
        <v>248</v>
      </c>
      <c r="V316" s="250"/>
      <c r="W316" s="256"/>
      <c r="X316" s="257"/>
      <c r="Y316" s="257"/>
      <c r="Z316" s="257"/>
      <c r="AA316" s="257"/>
      <c r="AB316" s="257"/>
      <c r="AC316" s="250" t="str">
        <f t="shared" si="32"/>
        <v/>
      </c>
      <c r="AE316" s="276"/>
      <c r="AF316" s="119"/>
      <c r="AG316" s="119"/>
      <c r="AH316" s="277"/>
      <c r="AI316" s="277"/>
      <c r="AJ316" s="277"/>
    </row>
    <row r="317" spans="2:36" ht="13.5" customHeight="1">
      <c r="B317" s="69">
        <v>1</v>
      </c>
      <c r="C317" s="69">
        <v>315</v>
      </c>
      <c r="D317" s="249" t="s">
        <v>964</v>
      </c>
      <c r="E317" s="249" t="s">
        <v>1389</v>
      </c>
      <c r="F317" s="250" t="s">
        <v>277</v>
      </c>
      <c r="G317" s="250" t="s">
        <v>201</v>
      </c>
      <c r="H317" s="250" t="s">
        <v>317</v>
      </c>
      <c r="I317" s="250">
        <v>2026</v>
      </c>
      <c r="J317" s="274" t="s">
        <v>1043</v>
      </c>
      <c r="K317" s="134" t="str">
        <f t="shared" si="31"/>
        <v/>
      </c>
      <c r="L317" s="250"/>
      <c r="M317" s="251">
        <v>47000</v>
      </c>
      <c r="N317" s="252"/>
      <c r="O317" s="252">
        <f t="shared" si="34"/>
        <v>50.537634408602152</v>
      </c>
      <c r="P317" s="252">
        <v>930</v>
      </c>
      <c r="Q317" s="252">
        <v>400</v>
      </c>
      <c r="R317" s="252">
        <f t="shared" si="33"/>
        <v>430.10752688172045</v>
      </c>
      <c r="S317" s="252">
        <f>ROUND(R317*CPI!$B$120/VLOOKUP($I317,CPI!$A$1:$B$140,2,FALSE)/1000,2)*1000</f>
        <v>370</v>
      </c>
      <c r="T317" s="250" t="s">
        <v>212</v>
      </c>
      <c r="U317" s="250" t="s">
        <v>248</v>
      </c>
      <c r="V317" s="250"/>
      <c r="W317" s="256"/>
      <c r="X317" s="257"/>
      <c r="Y317" s="257"/>
      <c r="Z317" s="257"/>
      <c r="AA317" s="257"/>
      <c r="AB317" s="257"/>
      <c r="AC317" s="250" t="str">
        <f t="shared" si="32"/>
        <v/>
      </c>
      <c r="AE317" s="276"/>
      <c r="AF317" s="119"/>
      <c r="AG317" s="119"/>
      <c r="AH317" s="277"/>
      <c r="AI317" s="277"/>
      <c r="AJ317" s="277"/>
    </row>
    <row r="318" spans="2:36" ht="13.5" customHeight="1">
      <c r="B318" s="69">
        <v>1</v>
      </c>
      <c r="C318" s="69">
        <v>316</v>
      </c>
      <c r="D318" s="249" t="s">
        <v>964</v>
      </c>
      <c r="E318" s="249" t="s">
        <v>1389</v>
      </c>
      <c r="F318" s="250" t="s">
        <v>277</v>
      </c>
      <c r="G318" s="250" t="s">
        <v>201</v>
      </c>
      <c r="H318" s="250" t="s">
        <v>317</v>
      </c>
      <c r="I318" s="250">
        <v>2026</v>
      </c>
      <c r="J318" s="274" t="s">
        <v>1043</v>
      </c>
      <c r="K318" s="134" t="str">
        <f t="shared" si="31"/>
        <v/>
      </c>
      <c r="L318" s="250"/>
      <c r="M318" s="251">
        <v>47000</v>
      </c>
      <c r="N318" s="252"/>
      <c r="O318" s="252">
        <f t="shared" si="34"/>
        <v>50.537634408602152</v>
      </c>
      <c r="P318" s="252">
        <v>930</v>
      </c>
      <c r="Q318" s="252">
        <v>400</v>
      </c>
      <c r="R318" s="252">
        <f t="shared" si="33"/>
        <v>430.10752688172045</v>
      </c>
      <c r="S318" s="252">
        <f>ROUND(R318*CPI!$B$120/VLOOKUP($I318,CPI!$A$1:$B$140,2,FALSE)/1000,2)*1000</f>
        <v>370</v>
      </c>
      <c r="T318" s="250" t="s">
        <v>212</v>
      </c>
      <c r="U318" s="250" t="s">
        <v>248</v>
      </c>
      <c r="V318" s="250"/>
      <c r="W318" s="256"/>
      <c r="X318" s="257"/>
      <c r="Y318" s="257"/>
      <c r="Z318" s="257"/>
      <c r="AA318" s="257"/>
      <c r="AB318" s="257"/>
      <c r="AC318" s="250" t="str">
        <f t="shared" si="32"/>
        <v/>
      </c>
      <c r="AE318" s="276"/>
      <c r="AF318" s="119"/>
      <c r="AG318" s="119"/>
      <c r="AH318" s="277"/>
      <c r="AI318" s="277"/>
      <c r="AJ318" s="277"/>
    </row>
    <row r="319" spans="2:36" ht="13.5" customHeight="1">
      <c r="B319" s="69">
        <v>1</v>
      </c>
      <c r="C319" s="69">
        <v>317</v>
      </c>
      <c r="D319" s="249" t="s">
        <v>965</v>
      </c>
      <c r="E319" s="249" t="s">
        <v>1390</v>
      </c>
      <c r="F319" s="250" t="s">
        <v>277</v>
      </c>
      <c r="G319" s="250" t="s">
        <v>201</v>
      </c>
      <c r="H319" s="250" t="s">
        <v>317</v>
      </c>
      <c r="I319" s="250">
        <v>2027</v>
      </c>
      <c r="J319" s="274" t="s">
        <v>1043</v>
      </c>
      <c r="K319" s="134" t="str">
        <f t="shared" ref="K319:K350" si="35">IF(ISNUMBER(AC319),$K$1-AC319+1,"")</f>
        <v/>
      </c>
      <c r="L319" s="250"/>
      <c r="M319" s="251">
        <v>47000</v>
      </c>
      <c r="N319" s="252"/>
      <c r="O319" s="252">
        <f t="shared" si="34"/>
        <v>50.537634408602152</v>
      </c>
      <c r="P319" s="252">
        <v>930</v>
      </c>
      <c r="Q319" s="252">
        <v>400</v>
      </c>
      <c r="R319" s="252">
        <f t="shared" si="33"/>
        <v>430.10752688172045</v>
      </c>
      <c r="S319" s="252">
        <f>ROUND(R319*CPI!$B$120/VLOOKUP($I319,CPI!$A$1:$B$140,2,FALSE)/1000,2)*1000</f>
        <v>360</v>
      </c>
      <c r="T319" s="250" t="s">
        <v>212</v>
      </c>
      <c r="U319" s="250" t="s">
        <v>248</v>
      </c>
      <c r="V319" s="250"/>
      <c r="W319" s="256"/>
      <c r="X319" s="257"/>
      <c r="Y319" s="257"/>
      <c r="Z319" s="257"/>
      <c r="AA319" s="257"/>
      <c r="AB319" s="257"/>
      <c r="AC319" s="250" t="str">
        <f t="shared" ref="AC319:AC350" si="36">IF(I319&lt;=$K$1,I319,"")</f>
        <v/>
      </c>
      <c r="AE319" s="276"/>
      <c r="AF319" s="119"/>
      <c r="AG319" s="119"/>
      <c r="AH319" s="277"/>
      <c r="AI319" s="277"/>
      <c r="AJ319" s="277"/>
    </row>
    <row r="320" spans="2:36" ht="13.5" customHeight="1">
      <c r="B320" s="69">
        <v>1</v>
      </c>
      <c r="C320" s="69">
        <v>318</v>
      </c>
      <c r="D320" s="233" t="s">
        <v>862</v>
      </c>
      <c r="E320" s="233" t="s">
        <v>1391</v>
      </c>
      <c r="F320" s="232" t="s">
        <v>363</v>
      </c>
      <c r="G320" s="232" t="s">
        <v>794</v>
      </c>
      <c r="H320" s="232" t="s">
        <v>332</v>
      </c>
      <c r="I320" s="232">
        <v>1956</v>
      </c>
      <c r="J320" s="232"/>
      <c r="K320" s="134">
        <f t="shared" si="35"/>
        <v>63</v>
      </c>
      <c r="L320" s="232">
        <v>2014</v>
      </c>
      <c r="M320" s="234">
        <v>2191</v>
      </c>
      <c r="N320" s="235">
        <f>87*3.28084</f>
        <v>285.43308000000002</v>
      </c>
      <c r="O320" s="235">
        <v>20</v>
      </c>
      <c r="P320" s="235">
        <v>290</v>
      </c>
      <c r="Q320" s="235"/>
      <c r="R320" s="235"/>
      <c r="S320" s="235"/>
      <c r="T320" s="232" t="s">
        <v>350</v>
      </c>
      <c r="U320" s="232" t="s">
        <v>248</v>
      </c>
      <c r="V320" s="232"/>
      <c r="W320" s="256"/>
      <c r="X320" s="257"/>
      <c r="Y320" s="257"/>
      <c r="Z320" s="257"/>
      <c r="AA320" s="257"/>
      <c r="AB320" s="257"/>
      <c r="AC320" s="250">
        <f t="shared" si="36"/>
        <v>1956</v>
      </c>
      <c r="AE320" s="276"/>
      <c r="AF320" s="119"/>
      <c r="AG320" s="119"/>
      <c r="AH320" s="277"/>
      <c r="AI320" s="277"/>
      <c r="AJ320" s="277"/>
    </row>
    <row r="321" spans="2:36" ht="13.5" customHeight="1">
      <c r="B321" s="69">
        <v>1</v>
      </c>
      <c r="C321" s="69">
        <v>319</v>
      </c>
      <c r="D321" s="233" t="s">
        <v>336</v>
      </c>
      <c r="E321" s="233" t="s">
        <v>1392</v>
      </c>
      <c r="F321" s="232" t="s">
        <v>363</v>
      </c>
      <c r="G321" s="232" t="s">
        <v>794</v>
      </c>
      <c r="H321" s="232" t="s">
        <v>332</v>
      </c>
      <c r="I321" s="232">
        <v>1964</v>
      </c>
      <c r="J321" s="232"/>
      <c r="K321" s="134">
        <f t="shared" si="35"/>
        <v>55</v>
      </c>
      <c r="L321" s="232">
        <v>2004</v>
      </c>
      <c r="M321" s="234">
        <v>2621</v>
      </c>
      <c r="N321" s="235">
        <f>87*3.28084</f>
        <v>285.43308000000002</v>
      </c>
      <c r="O321" s="235">
        <v>18</v>
      </c>
      <c r="P321" s="235">
        <v>340</v>
      </c>
      <c r="Q321" s="235"/>
      <c r="R321" s="235"/>
      <c r="S321" s="235"/>
      <c r="T321" s="232" t="s">
        <v>349</v>
      </c>
      <c r="U321" s="232" t="s">
        <v>248</v>
      </c>
      <c r="V321" s="232"/>
      <c r="W321" s="256" t="e">
        <f t="shared" ref="W321:W333" si="37">SUM(((X321/SUM(X321:AB321))*5),((Y321/SUM(X321:AB321))*4),((Z321/SUM(X321:AB321))*3),((AA321/SUM(X321:AB321))*2),((AB321/SUM(X321:AB321)*1)))</f>
        <v>#DIV/0!</v>
      </c>
      <c r="X321" s="257"/>
      <c r="Y321" s="257"/>
      <c r="Z321" s="257"/>
      <c r="AA321" s="257"/>
      <c r="AB321" s="257"/>
      <c r="AC321" s="250">
        <f t="shared" si="36"/>
        <v>1964</v>
      </c>
      <c r="AE321" s="276"/>
      <c r="AF321" s="119"/>
      <c r="AG321" s="119"/>
      <c r="AH321" s="277"/>
      <c r="AI321" s="277"/>
      <c r="AJ321" s="277"/>
    </row>
    <row r="322" spans="2:36" ht="13.5" customHeight="1">
      <c r="B322" s="69">
        <v>1</v>
      </c>
      <c r="C322" s="69">
        <v>320</v>
      </c>
      <c r="D322" s="233" t="s">
        <v>345</v>
      </c>
      <c r="E322" s="233" t="s">
        <v>1393</v>
      </c>
      <c r="F322" s="232" t="s">
        <v>363</v>
      </c>
      <c r="G322" s="232" t="s">
        <v>794</v>
      </c>
      <c r="H322" s="232" t="s">
        <v>332</v>
      </c>
      <c r="I322" s="232">
        <v>1983</v>
      </c>
      <c r="J322" s="232"/>
      <c r="K322" s="134">
        <f t="shared" si="35"/>
        <v>36</v>
      </c>
      <c r="L322" s="232">
        <v>2017</v>
      </c>
      <c r="M322" s="234">
        <v>6261</v>
      </c>
      <c r="N322" s="235">
        <f>108*3.28084</f>
        <v>354.33071999999999</v>
      </c>
      <c r="O322" s="235">
        <v>20</v>
      </c>
      <c r="P322" s="235">
        <v>510</v>
      </c>
      <c r="Q322" s="235"/>
      <c r="R322" s="235"/>
      <c r="S322" s="235"/>
      <c r="T322" s="232" t="s">
        <v>352</v>
      </c>
      <c r="U322" s="232" t="s">
        <v>248</v>
      </c>
      <c r="V322" s="232"/>
      <c r="W322" s="256" t="e">
        <f t="shared" si="37"/>
        <v>#DIV/0!</v>
      </c>
      <c r="X322" s="257"/>
      <c r="Y322" s="257"/>
      <c r="Z322" s="257"/>
      <c r="AA322" s="257"/>
      <c r="AB322" s="257"/>
      <c r="AC322" s="250">
        <f t="shared" si="36"/>
        <v>1983</v>
      </c>
      <c r="AE322" s="276"/>
      <c r="AF322" s="119"/>
      <c r="AG322" s="119"/>
      <c r="AH322" s="277"/>
      <c r="AI322" s="277"/>
      <c r="AJ322" s="277"/>
    </row>
    <row r="323" spans="2:36" ht="13.5" customHeight="1">
      <c r="B323" s="69">
        <v>1</v>
      </c>
      <c r="C323" s="69">
        <v>321</v>
      </c>
      <c r="D323" s="233" t="s">
        <v>335</v>
      </c>
      <c r="E323" s="233" t="s">
        <v>1394</v>
      </c>
      <c r="F323" s="232" t="s">
        <v>363</v>
      </c>
      <c r="G323" s="232" t="s">
        <v>794</v>
      </c>
      <c r="H323" s="232" t="s">
        <v>332</v>
      </c>
      <c r="I323" s="232">
        <v>1993</v>
      </c>
      <c r="J323" s="232"/>
      <c r="K323" s="134">
        <f t="shared" si="35"/>
        <v>26</v>
      </c>
      <c r="L323" s="232">
        <v>2016</v>
      </c>
      <c r="M323" s="234">
        <v>11204</v>
      </c>
      <c r="N323" s="235">
        <f>121*3.28084</f>
        <v>396.98163999999997</v>
      </c>
      <c r="O323" s="235">
        <v>23</v>
      </c>
      <c r="P323" s="235">
        <v>622</v>
      </c>
      <c r="Q323" s="235"/>
      <c r="R323" s="235"/>
      <c r="S323" s="235"/>
      <c r="T323" s="232" t="s">
        <v>347</v>
      </c>
      <c r="U323" s="232" t="s">
        <v>248</v>
      </c>
      <c r="V323" s="232"/>
      <c r="W323" s="256" t="e">
        <f t="shared" si="37"/>
        <v>#DIV/0!</v>
      </c>
      <c r="X323" s="257"/>
      <c r="Y323" s="257"/>
      <c r="Z323" s="257"/>
      <c r="AA323" s="257"/>
      <c r="AB323" s="257"/>
      <c r="AC323" s="250">
        <f t="shared" si="36"/>
        <v>1993</v>
      </c>
      <c r="AH323" s="43"/>
      <c r="AI323" s="43"/>
      <c r="AJ323" s="43"/>
    </row>
    <row r="324" spans="2:36" ht="13.5" customHeight="1">
      <c r="B324" s="69">
        <v>1</v>
      </c>
      <c r="C324" s="69">
        <v>322</v>
      </c>
      <c r="D324" s="233" t="s">
        <v>342</v>
      </c>
      <c r="E324" s="233" t="s">
        <v>1395</v>
      </c>
      <c r="F324" s="232" t="s">
        <v>363</v>
      </c>
      <c r="G324" s="232" t="s">
        <v>794</v>
      </c>
      <c r="H324" s="232" t="s">
        <v>332</v>
      </c>
      <c r="I324" s="232">
        <v>1993</v>
      </c>
      <c r="J324" s="232"/>
      <c r="K324" s="134">
        <f t="shared" si="35"/>
        <v>26</v>
      </c>
      <c r="L324" s="232">
        <v>2017</v>
      </c>
      <c r="M324" s="234">
        <v>11205</v>
      </c>
      <c r="N324" s="235">
        <f>121*3.28084</f>
        <v>396.98163999999997</v>
      </c>
      <c r="O324" s="235">
        <v>23</v>
      </c>
      <c r="P324" s="235">
        <v>623</v>
      </c>
      <c r="Q324" s="235"/>
      <c r="R324" s="235"/>
      <c r="S324" s="235"/>
      <c r="T324" s="232" t="s">
        <v>347</v>
      </c>
      <c r="U324" s="232" t="s">
        <v>248</v>
      </c>
      <c r="V324" s="232"/>
      <c r="W324" s="256" t="e">
        <f t="shared" si="37"/>
        <v>#DIV/0!</v>
      </c>
      <c r="X324" s="257"/>
      <c r="Y324" s="257"/>
      <c r="Z324" s="257"/>
      <c r="AA324" s="257"/>
      <c r="AB324" s="257"/>
      <c r="AC324" s="250">
        <f t="shared" si="36"/>
        <v>1993</v>
      </c>
      <c r="AH324" s="43"/>
      <c r="AI324" s="43"/>
      <c r="AJ324" s="43"/>
    </row>
    <row r="325" spans="2:36" ht="13.5" customHeight="1">
      <c r="B325" s="69">
        <v>1</v>
      </c>
      <c r="C325" s="69">
        <v>323</v>
      </c>
      <c r="D325" s="233" t="s">
        <v>339</v>
      </c>
      <c r="E325" s="233" t="s">
        <v>1396</v>
      </c>
      <c r="F325" s="232" t="s">
        <v>363</v>
      </c>
      <c r="G325" s="232" t="s">
        <v>794</v>
      </c>
      <c r="H325" s="232" t="s">
        <v>332</v>
      </c>
      <c r="I325" s="232">
        <v>1994</v>
      </c>
      <c r="J325" s="232"/>
      <c r="K325" s="134">
        <f t="shared" si="35"/>
        <v>25</v>
      </c>
      <c r="L325" s="232">
        <v>2012</v>
      </c>
      <c r="M325" s="234">
        <v>11204</v>
      </c>
      <c r="N325" s="235">
        <f>121*3.28084</f>
        <v>396.98163999999997</v>
      </c>
      <c r="O325" s="235">
        <v>23</v>
      </c>
      <c r="P325" s="235">
        <v>622</v>
      </c>
      <c r="Q325" s="235"/>
      <c r="R325" s="235"/>
      <c r="S325" s="235"/>
      <c r="T325" s="232" t="s">
        <v>347</v>
      </c>
      <c r="U325" s="232" t="s">
        <v>248</v>
      </c>
      <c r="V325" s="232"/>
      <c r="W325" s="256" t="e">
        <f t="shared" si="37"/>
        <v>#DIV/0!</v>
      </c>
      <c r="X325" s="257"/>
      <c r="Y325" s="257"/>
      <c r="Z325" s="257"/>
      <c r="AA325" s="257"/>
      <c r="AB325" s="257"/>
      <c r="AC325" s="250">
        <f t="shared" si="36"/>
        <v>1994</v>
      </c>
      <c r="AH325" s="43"/>
      <c r="AI325" s="43"/>
      <c r="AJ325" s="43"/>
    </row>
    <row r="326" spans="2:36" ht="13.5" customHeight="1">
      <c r="B326" s="69">
        <v>1</v>
      </c>
      <c r="C326" s="69">
        <v>324</v>
      </c>
      <c r="D326" s="233" t="s">
        <v>338</v>
      </c>
      <c r="E326" s="233" t="s">
        <v>1397</v>
      </c>
      <c r="F326" s="232" t="s">
        <v>363</v>
      </c>
      <c r="G326" s="232" t="s">
        <v>794</v>
      </c>
      <c r="H326" s="232" t="s">
        <v>332</v>
      </c>
      <c r="I326" s="232">
        <v>1996</v>
      </c>
      <c r="J326" s="232"/>
      <c r="K326" s="134">
        <f t="shared" si="35"/>
        <v>23</v>
      </c>
      <c r="L326" s="232">
        <v>2016</v>
      </c>
      <c r="M326" s="234">
        <v>11386</v>
      </c>
      <c r="N326" s="235">
        <f>123*3.28084</f>
        <v>403.54331999999999</v>
      </c>
      <c r="O326" s="235">
        <v>33</v>
      </c>
      <c r="P326" s="235">
        <v>622</v>
      </c>
      <c r="Q326" s="235"/>
      <c r="R326" s="235"/>
      <c r="S326" s="235"/>
      <c r="T326" s="232" t="s">
        <v>346</v>
      </c>
      <c r="U326" s="232" t="s">
        <v>248</v>
      </c>
      <c r="V326" s="232"/>
      <c r="W326" s="256" t="e">
        <f t="shared" si="37"/>
        <v>#DIV/0!</v>
      </c>
      <c r="X326" s="257"/>
      <c r="Y326" s="257"/>
      <c r="Z326" s="257"/>
      <c r="AA326" s="257"/>
      <c r="AB326" s="257"/>
      <c r="AC326" s="250">
        <f t="shared" si="36"/>
        <v>1996</v>
      </c>
      <c r="AH326" s="43"/>
      <c r="AI326" s="43"/>
      <c r="AJ326" s="43"/>
    </row>
    <row r="327" spans="2:36" ht="13.5" customHeight="1">
      <c r="B327" s="69">
        <v>1</v>
      </c>
      <c r="C327" s="69">
        <v>325</v>
      </c>
      <c r="D327" s="233" t="s">
        <v>341</v>
      </c>
      <c r="E327" s="233" t="s">
        <v>1398</v>
      </c>
      <c r="F327" s="232" t="s">
        <v>363</v>
      </c>
      <c r="G327" s="232" t="s">
        <v>794</v>
      </c>
      <c r="H327" s="232" t="s">
        <v>332</v>
      </c>
      <c r="I327" s="232">
        <v>1996</v>
      </c>
      <c r="J327" s="232"/>
      <c r="K327" s="134">
        <f t="shared" si="35"/>
        <v>23</v>
      </c>
      <c r="L327" s="232">
        <v>2016</v>
      </c>
      <c r="M327" s="234">
        <v>11341</v>
      </c>
      <c r="N327" s="235">
        <f>123*3.28084</f>
        <v>403.54331999999999</v>
      </c>
      <c r="O327" s="235">
        <v>25</v>
      </c>
      <c r="P327" s="235">
        <v>619</v>
      </c>
      <c r="Q327" s="235"/>
      <c r="R327" s="235"/>
      <c r="S327" s="235"/>
      <c r="T327" s="232" t="s">
        <v>348</v>
      </c>
      <c r="U327" s="232" t="s">
        <v>248</v>
      </c>
      <c r="V327" s="232"/>
      <c r="W327" s="256" t="e">
        <f t="shared" si="37"/>
        <v>#DIV/0!</v>
      </c>
      <c r="X327" s="257"/>
      <c r="Y327" s="257"/>
      <c r="Z327" s="257"/>
      <c r="AA327" s="257"/>
      <c r="AB327" s="257"/>
      <c r="AC327" s="250">
        <f t="shared" si="36"/>
        <v>1996</v>
      </c>
      <c r="AH327" s="43"/>
      <c r="AI327" s="43"/>
      <c r="AJ327" s="43"/>
    </row>
    <row r="328" spans="2:36" ht="13.5" customHeight="1">
      <c r="B328" s="69">
        <v>1</v>
      </c>
      <c r="C328" s="69">
        <v>326</v>
      </c>
      <c r="D328" s="233" t="s">
        <v>340</v>
      </c>
      <c r="E328" s="233" t="s">
        <v>1399</v>
      </c>
      <c r="F328" s="232" t="s">
        <v>363</v>
      </c>
      <c r="G328" s="232" t="s">
        <v>794</v>
      </c>
      <c r="H328" s="232" t="s">
        <v>332</v>
      </c>
      <c r="I328" s="232">
        <v>1997</v>
      </c>
      <c r="J328" s="232"/>
      <c r="K328" s="134">
        <f t="shared" si="35"/>
        <v>22</v>
      </c>
      <c r="L328" s="232">
        <v>2016</v>
      </c>
      <c r="M328" s="234">
        <v>11384</v>
      </c>
      <c r="N328" s="235">
        <f>123*3.28084</f>
        <v>403.54331999999999</v>
      </c>
      <c r="O328" s="235">
        <v>33</v>
      </c>
      <c r="P328" s="235">
        <v>623</v>
      </c>
      <c r="Q328" s="235"/>
      <c r="R328" s="235"/>
      <c r="S328" s="235"/>
      <c r="T328" s="232" t="s">
        <v>346</v>
      </c>
      <c r="U328" s="232" t="s">
        <v>248</v>
      </c>
      <c r="V328" s="232"/>
      <c r="W328" s="256" t="e">
        <f t="shared" si="37"/>
        <v>#DIV/0!</v>
      </c>
      <c r="X328" s="257"/>
      <c r="Y328" s="257"/>
      <c r="Z328" s="257"/>
      <c r="AA328" s="257"/>
      <c r="AB328" s="257"/>
      <c r="AC328" s="250">
        <f t="shared" si="36"/>
        <v>1997</v>
      </c>
      <c r="AH328" s="43"/>
      <c r="AI328" s="43"/>
      <c r="AJ328" s="43"/>
    </row>
    <row r="329" spans="2:36" ht="13.5" customHeight="1">
      <c r="B329" s="69">
        <v>1</v>
      </c>
      <c r="C329" s="69">
        <v>327</v>
      </c>
      <c r="D329" s="233" t="s">
        <v>333</v>
      </c>
      <c r="E329" s="233" t="s">
        <v>1400</v>
      </c>
      <c r="F329" s="232" t="s">
        <v>363</v>
      </c>
      <c r="G329" s="232" t="s">
        <v>794</v>
      </c>
      <c r="H329" s="232" t="s">
        <v>332</v>
      </c>
      <c r="I329" s="232">
        <v>2002</v>
      </c>
      <c r="J329" s="232"/>
      <c r="K329" s="134">
        <f t="shared" si="35"/>
        <v>17</v>
      </c>
      <c r="L329" s="232">
        <v>2012</v>
      </c>
      <c r="M329" s="234">
        <v>15690</v>
      </c>
      <c r="N329" s="235">
        <f>138*3.28084</f>
        <v>452.75592</v>
      </c>
      <c r="O329" s="235">
        <v>24</v>
      </c>
      <c r="P329" s="235">
        <v>1000</v>
      </c>
      <c r="Q329" s="235"/>
      <c r="R329" s="235"/>
      <c r="S329" s="235"/>
      <c r="T329" s="232" t="s">
        <v>346</v>
      </c>
      <c r="U329" s="232" t="s">
        <v>267</v>
      </c>
      <c r="V329" s="232"/>
      <c r="W329" s="256" t="e">
        <f t="shared" si="37"/>
        <v>#DIV/0!</v>
      </c>
      <c r="X329" s="257"/>
      <c r="Y329" s="257"/>
      <c r="Z329" s="257"/>
      <c r="AA329" s="257"/>
      <c r="AB329" s="257"/>
      <c r="AC329" s="250">
        <f t="shared" si="36"/>
        <v>2002</v>
      </c>
      <c r="AH329" s="43"/>
      <c r="AI329" s="43"/>
      <c r="AJ329" s="43"/>
    </row>
    <row r="330" spans="2:36" ht="13.5" customHeight="1">
      <c r="B330" s="69">
        <v>1</v>
      </c>
      <c r="C330" s="69">
        <v>328</v>
      </c>
      <c r="D330" s="233" t="s">
        <v>344</v>
      </c>
      <c r="E330" s="233" t="s">
        <v>1401</v>
      </c>
      <c r="F330" s="232" t="s">
        <v>363</v>
      </c>
      <c r="G330" s="232" t="s">
        <v>794</v>
      </c>
      <c r="H330" s="232" t="s">
        <v>332</v>
      </c>
      <c r="I330" s="232">
        <v>2002</v>
      </c>
      <c r="J330" s="232"/>
      <c r="K330" s="134">
        <f t="shared" si="35"/>
        <v>17</v>
      </c>
      <c r="L330" s="232">
        <v>2017</v>
      </c>
      <c r="M330" s="234">
        <v>16140</v>
      </c>
      <c r="N330" s="235">
        <f>135*3.28084</f>
        <v>442.91340000000002</v>
      </c>
      <c r="O330" s="235">
        <v>23</v>
      </c>
      <c r="P330" s="235">
        <v>822</v>
      </c>
      <c r="Q330" s="235"/>
      <c r="R330" s="235"/>
      <c r="S330" s="235"/>
      <c r="T330" s="232" t="s">
        <v>348</v>
      </c>
      <c r="U330" s="232" t="s">
        <v>267</v>
      </c>
      <c r="V330" s="232"/>
      <c r="W330" s="256" t="e">
        <f t="shared" si="37"/>
        <v>#DIV/0!</v>
      </c>
      <c r="X330" s="257"/>
      <c r="Y330" s="257"/>
      <c r="Z330" s="257"/>
      <c r="AA330" s="257"/>
      <c r="AB330" s="257"/>
      <c r="AC330" s="250">
        <f t="shared" si="36"/>
        <v>2002</v>
      </c>
      <c r="AH330" s="43"/>
      <c r="AI330" s="43"/>
      <c r="AJ330" s="43"/>
    </row>
    <row r="331" spans="2:36" ht="13.5" customHeight="1">
      <c r="B331" s="69">
        <v>1</v>
      </c>
      <c r="C331" s="69">
        <v>329</v>
      </c>
      <c r="D331" s="233" t="s">
        <v>337</v>
      </c>
      <c r="E331" s="233" t="s">
        <v>1402</v>
      </c>
      <c r="F331" s="232" t="s">
        <v>363</v>
      </c>
      <c r="G331" s="232" t="s">
        <v>794</v>
      </c>
      <c r="H331" s="232" t="s">
        <v>332</v>
      </c>
      <c r="I331" s="232">
        <v>2003</v>
      </c>
      <c r="J331" s="232"/>
      <c r="K331" s="134">
        <f t="shared" si="35"/>
        <v>16</v>
      </c>
      <c r="L331" s="232">
        <v>2012</v>
      </c>
      <c r="M331" s="234">
        <v>16151</v>
      </c>
      <c r="N331" s="235">
        <f>135*3.28084</f>
        <v>442.91340000000002</v>
      </c>
      <c r="O331" s="235">
        <v>24</v>
      </c>
      <c r="P331" s="235">
        <v>1000</v>
      </c>
      <c r="Q331" s="235"/>
      <c r="R331" s="235"/>
      <c r="S331" s="235"/>
      <c r="T331" s="232" t="s">
        <v>348</v>
      </c>
      <c r="U331" s="232" t="s">
        <v>267</v>
      </c>
      <c r="V331" s="232"/>
      <c r="W331" s="256" t="e">
        <f t="shared" si="37"/>
        <v>#DIV/0!</v>
      </c>
      <c r="X331" s="257"/>
      <c r="Y331" s="257"/>
      <c r="Z331" s="257"/>
      <c r="AA331" s="257"/>
      <c r="AB331" s="257"/>
      <c r="AC331" s="250">
        <f t="shared" si="36"/>
        <v>2003</v>
      </c>
      <c r="AH331" s="43"/>
      <c r="AI331" s="43"/>
      <c r="AJ331" s="43"/>
    </row>
    <row r="332" spans="2:36" ht="13.5" customHeight="1">
      <c r="B332" s="69">
        <v>1</v>
      </c>
      <c r="C332" s="69">
        <v>330</v>
      </c>
      <c r="D332" s="233" t="s">
        <v>334</v>
      </c>
      <c r="E332" s="233" t="s">
        <v>1403</v>
      </c>
      <c r="F332" s="232" t="s">
        <v>363</v>
      </c>
      <c r="G332" s="232" t="s">
        <v>794</v>
      </c>
      <c r="H332" s="232" t="s">
        <v>332</v>
      </c>
      <c r="I332" s="232">
        <v>2007</v>
      </c>
      <c r="J332" s="232"/>
      <c r="K332" s="134">
        <f t="shared" si="35"/>
        <v>12</v>
      </c>
      <c r="L332" s="232"/>
      <c r="M332" s="234">
        <v>11647</v>
      </c>
      <c r="N332" s="235">
        <f>113*3.28084</f>
        <v>370.73491999999999</v>
      </c>
      <c r="O332" s="235">
        <v>44</v>
      </c>
      <c r="P332" s="235">
        <v>318</v>
      </c>
      <c r="Q332" s="235"/>
      <c r="R332" s="235"/>
      <c r="S332" s="235"/>
      <c r="T332" s="232" t="s">
        <v>212</v>
      </c>
      <c r="U332" s="232" t="s">
        <v>248</v>
      </c>
      <c r="V332" s="232"/>
      <c r="W332" s="256" t="e">
        <f t="shared" si="37"/>
        <v>#DIV/0!</v>
      </c>
      <c r="X332" s="257"/>
      <c r="Y332" s="257"/>
      <c r="Z332" s="257"/>
      <c r="AA332" s="257"/>
      <c r="AB332" s="257"/>
      <c r="AC332" s="250">
        <f t="shared" si="36"/>
        <v>2007</v>
      </c>
      <c r="AH332" s="43"/>
      <c r="AI332" s="43"/>
      <c r="AJ332" s="43"/>
    </row>
    <row r="333" spans="2:36" ht="13.5" customHeight="1">
      <c r="B333" s="69">
        <v>1</v>
      </c>
      <c r="C333" s="69">
        <v>331</v>
      </c>
      <c r="D333" s="233" t="s">
        <v>343</v>
      </c>
      <c r="E333" s="233" t="s">
        <v>1404</v>
      </c>
      <c r="F333" s="232" t="s">
        <v>363</v>
      </c>
      <c r="G333" s="232" t="s">
        <v>794</v>
      </c>
      <c r="H333" s="232" t="s">
        <v>332</v>
      </c>
      <c r="I333" s="232">
        <v>2014</v>
      </c>
      <c r="J333" s="232"/>
      <c r="K333" s="134">
        <f t="shared" si="35"/>
        <v>5</v>
      </c>
      <c r="L333" s="232">
        <v>2015</v>
      </c>
      <c r="M333" s="234">
        <v>6820</v>
      </c>
      <c r="N333" s="235">
        <f>98*3.28084</f>
        <v>321.52231999999998</v>
      </c>
      <c r="O333" s="235">
        <v>35</v>
      </c>
      <c r="P333" s="235">
        <v>320</v>
      </c>
      <c r="Q333" s="235"/>
      <c r="R333" s="235"/>
      <c r="S333" s="235"/>
      <c r="T333" s="232" t="s">
        <v>351</v>
      </c>
      <c r="U333" s="232" t="s">
        <v>248</v>
      </c>
      <c r="V333" s="232"/>
      <c r="W333" s="256" t="e">
        <f t="shared" si="37"/>
        <v>#DIV/0!</v>
      </c>
      <c r="X333" s="257"/>
      <c r="Y333" s="257"/>
      <c r="Z333" s="257"/>
      <c r="AA333" s="257"/>
      <c r="AB333" s="257"/>
      <c r="AC333" s="250">
        <f t="shared" si="36"/>
        <v>2014</v>
      </c>
      <c r="AH333" s="43"/>
      <c r="AI333" s="43"/>
      <c r="AJ333" s="43"/>
    </row>
    <row r="334" spans="2:36" ht="13.5" customHeight="1">
      <c r="B334" s="69">
        <v>1</v>
      </c>
      <c r="C334" s="69">
        <v>332</v>
      </c>
      <c r="D334" s="249" t="s">
        <v>911</v>
      </c>
      <c r="E334" s="249" t="s">
        <v>1405</v>
      </c>
      <c r="F334" s="250" t="s">
        <v>363</v>
      </c>
      <c r="G334" s="250" t="s">
        <v>794</v>
      </c>
      <c r="H334" s="250" t="s">
        <v>332</v>
      </c>
      <c r="I334" s="250">
        <v>2019</v>
      </c>
      <c r="J334" s="250" t="s">
        <v>1046</v>
      </c>
      <c r="K334" s="134" t="str">
        <f t="shared" si="35"/>
        <v/>
      </c>
      <c r="L334" s="250"/>
      <c r="M334" s="251">
        <v>20000</v>
      </c>
      <c r="N334" s="252"/>
      <c r="O334" s="252">
        <f>M334/P334</f>
        <v>37.735849056603776</v>
      </c>
      <c r="P334" s="252">
        <v>530</v>
      </c>
      <c r="Q334" s="252">
        <v>220</v>
      </c>
      <c r="R334" s="252">
        <f>Q334/P334*1000</f>
        <v>415.09433962264154</v>
      </c>
      <c r="S334" s="252">
        <f>ROUND(R334*CPI!$B$120/VLOOKUP($I334,CPI!$A$1:$B$140,2,FALSE)/1000,2)*1000</f>
        <v>410</v>
      </c>
      <c r="T334" s="250" t="s">
        <v>739</v>
      </c>
      <c r="U334" s="250" t="s">
        <v>248</v>
      </c>
      <c r="V334" s="250"/>
      <c r="W334" s="256"/>
      <c r="X334" s="257"/>
      <c r="Y334" s="257"/>
      <c r="Z334" s="257"/>
      <c r="AA334" s="257"/>
      <c r="AB334" s="257"/>
      <c r="AC334" s="250" t="str">
        <f t="shared" si="36"/>
        <v/>
      </c>
      <c r="AH334" s="43"/>
      <c r="AI334" s="43"/>
      <c r="AJ334" s="43"/>
    </row>
    <row r="335" spans="2:36" ht="13.5" customHeight="1">
      <c r="B335" s="69">
        <v>1</v>
      </c>
      <c r="C335" s="69">
        <v>333</v>
      </c>
      <c r="D335" s="249" t="s">
        <v>916</v>
      </c>
      <c r="E335" s="249" t="s">
        <v>1406</v>
      </c>
      <c r="F335" s="250" t="s">
        <v>363</v>
      </c>
      <c r="G335" s="250" t="s">
        <v>794</v>
      </c>
      <c r="H335" s="250" t="s">
        <v>332</v>
      </c>
      <c r="I335" s="250">
        <v>2019</v>
      </c>
      <c r="J335" s="274" t="s">
        <v>1043</v>
      </c>
      <c r="K335" s="134" t="str">
        <f t="shared" si="35"/>
        <v/>
      </c>
      <c r="L335" s="250"/>
      <c r="M335" s="251">
        <v>20000</v>
      </c>
      <c r="N335" s="252"/>
      <c r="O335" s="252">
        <f>M335/P335</f>
        <v>37.735849056603776</v>
      </c>
      <c r="P335" s="252">
        <v>530</v>
      </c>
      <c r="Q335" s="252">
        <v>220</v>
      </c>
      <c r="R335" s="252">
        <f>Q335/P335*1000</f>
        <v>415.09433962264154</v>
      </c>
      <c r="S335" s="252">
        <f>ROUND(R335*CPI!$B$120/VLOOKUP($I335,CPI!$A$1:$B$140,2,FALSE)/1000,2)*1000</f>
        <v>410</v>
      </c>
      <c r="T335" s="250" t="s">
        <v>739</v>
      </c>
      <c r="U335" s="250" t="s">
        <v>248</v>
      </c>
      <c r="V335" s="250"/>
      <c r="W335" s="256"/>
      <c r="X335" s="257"/>
      <c r="Y335" s="257"/>
      <c r="Z335" s="257"/>
      <c r="AA335" s="257"/>
      <c r="AB335" s="257"/>
      <c r="AC335" s="250" t="str">
        <f t="shared" si="36"/>
        <v/>
      </c>
      <c r="AH335" s="43"/>
      <c r="AI335" s="43"/>
      <c r="AJ335" s="43"/>
    </row>
    <row r="336" spans="2:36" ht="13.5" customHeight="1">
      <c r="B336" s="69">
        <v>1</v>
      </c>
      <c r="C336" s="69">
        <v>334</v>
      </c>
      <c r="D336" s="236" t="s">
        <v>286</v>
      </c>
      <c r="E336" s="236" t="s">
        <v>1407</v>
      </c>
      <c r="F336" s="232" t="s">
        <v>370</v>
      </c>
      <c r="G336" s="232" t="s">
        <v>794</v>
      </c>
      <c r="H336" s="232" t="s">
        <v>370</v>
      </c>
      <c r="I336" s="232">
        <v>1931</v>
      </c>
      <c r="J336" s="232"/>
      <c r="K336" s="134">
        <f t="shared" si="35"/>
        <v>88</v>
      </c>
      <c r="L336" s="232">
        <v>2011</v>
      </c>
      <c r="M336" s="234">
        <v>2532</v>
      </c>
      <c r="N336" s="235">
        <f>109*3.28084</f>
        <v>357.61156</v>
      </c>
      <c r="O336" s="235">
        <v>39</v>
      </c>
      <c r="P336" s="235">
        <v>64</v>
      </c>
      <c r="Q336" s="235"/>
      <c r="R336" s="235"/>
      <c r="S336" s="235"/>
      <c r="T336" s="232" t="s">
        <v>369</v>
      </c>
      <c r="U336" s="232" t="s">
        <v>248</v>
      </c>
      <c r="V336" s="232"/>
      <c r="W336" s="256"/>
      <c r="X336" s="257"/>
      <c r="Y336" s="257"/>
      <c r="Z336" s="257"/>
      <c r="AA336" s="257"/>
      <c r="AB336" s="257"/>
      <c r="AC336" s="250">
        <f t="shared" si="36"/>
        <v>1931</v>
      </c>
      <c r="AH336" s="43"/>
      <c r="AI336" s="43"/>
      <c r="AJ336" s="43"/>
    </row>
    <row r="337" spans="2:36" ht="13.5" customHeight="1">
      <c r="B337" s="69">
        <v>1</v>
      </c>
      <c r="C337" s="69">
        <v>335</v>
      </c>
      <c r="D337" s="236" t="s">
        <v>279</v>
      </c>
      <c r="E337" s="236" t="s">
        <v>1408</v>
      </c>
      <c r="F337" s="232" t="s">
        <v>370</v>
      </c>
      <c r="G337" s="232" t="s">
        <v>794</v>
      </c>
      <c r="H337" s="232" t="s">
        <v>370</v>
      </c>
      <c r="I337" s="232">
        <v>1966</v>
      </c>
      <c r="J337" s="232"/>
      <c r="K337" s="134">
        <f t="shared" si="35"/>
        <v>53</v>
      </c>
      <c r="L337" s="232">
        <v>2005</v>
      </c>
      <c r="M337" s="234">
        <v>3132</v>
      </c>
      <c r="N337" s="235">
        <f>89*3.28084</f>
        <v>291.99475999999999</v>
      </c>
      <c r="O337" s="235">
        <v>24</v>
      </c>
      <c r="P337" s="235">
        <v>96</v>
      </c>
      <c r="Q337" s="235">
        <v>50</v>
      </c>
      <c r="R337" s="235">
        <f>Q337/P337*1000</f>
        <v>520.83333333333337</v>
      </c>
      <c r="S337" s="235">
        <f>ROUND(R337*CPI!$B$120/VLOOKUP($I337,CPI!$A$1:$B$122,2,FALSE)/1000,2)*1000</f>
        <v>3960</v>
      </c>
      <c r="T337" s="232" t="s">
        <v>287</v>
      </c>
      <c r="U337" s="232" t="s">
        <v>248</v>
      </c>
      <c r="V337" s="232"/>
      <c r="W337" s="256"/>
      <c r="X337" s="257"/>
      <c r="Y337" s="257"/>
      <c r="Z337" s="257"/>
      <c r="AA337" s="257"/>
      <c r="AB337" s="257"/>
      <c r="AC337" s="250">
        <f t="shared" si="36"/>
        <v>1966</v>
      </c>
      <c r="AH337" s="43"/>
      <c r="AI337" s="43"/>
      <c r="AJ337" s="43"/>
    </row>
    <row r="338" spans="2:36" ht="13.5" customHeight="1">
      <c r="B338" s="69">
        <v>1</v>
      </c>
      <c r="C338" s="69">
        <v>336</v>
      </c>
      <c r="D338" s="236" t="s">
        <v>281</v>
      </c>
      <c r="E338" s="236" t="s">
        <v>1409</v>
      </c>
      <c r="F338" s="232" t="s">
        <v>370</v>
      </c>
      <c r="G338" s="232" t="s">
        <v>794</v>
      </c>
      <c r="H338" s="232" t="s">
        <v>370</v>
      </c>
      <c r="I338" s="232">
        <v>1982</v>
      </c>
      <c r="J338" s="232"/>
      <c r="K338" s="134">
        <f t="shared" si="35"/>
        <v>37</v>
      </c>
      <c r="L338" s="232">
        <v>2015</v>
      </c>
      <c r="M338" s="234">
        <v>6471</v>
      </c>
      <c r="N338" s="235">
        <f>112*3.28084</f>
        <v>367.45407999999998</v>
      </c>
      <c r="O338" s="235">
        <v>41</v>
      </c>
      <c r="P338" s="235">
        <v>148</v>
      </c>
      <c r="Q338" s="235"/>
      <c r="R338" s="235"/>
      <c r="S338" s="235"/>
      <c r="T338" s="232" t="s">
        <v>364</v>
      </c>
      <c r="U338" s="232" t="s">
        <v>248</v>
      </c>
      <c r="V338" s="232"/>
      <c r="W338" s="256"/>
      <c r="X338" s="257"/>
      <c r="Y338" s="257"/>
      <c r="Z338" s="257"/>
      <c r="AA338" s="257"/>
      <c r="AB338" s="257"/>
      <c r="AC338" s="250">
        <f t="shared" si="36"/>
        <v>1982</v>
      </c>
      <c r="AH338" s="43"/>
      <c r="AI338" s="43"/>
      <c r="AJ338" s="43"/>
    </row>
    <row r="339" spans="2:36" ht="13.5" customHeight="1">
      <c r="B339" s="69">
        <v>1</v>
      </c>
      <c r="C339" s="69">
        <v>337</v>
      </c>
      <c r="D339" s="236" t="s">
        <v>284</v>
      </c>
      <c r="E339" s="236" t="s">
        <v>1410</v>
      </c>
      <c r="F339" s="232" t="s">
        <v>370</v>
      </c>
      <c r="G339" s="232" t="s">
        <v>794</v>
      </c>
      <c r="H339" s="232" t="s">
        <v>370</v>
      </c>
      <c r="I339" s="232">
        <v>1982</v>
      </c>
      <c r="J339" s="232"/>
      <c r="K339" s="134">
        <f t="shared" si="35"/>
        <v>37</v>
      </c>
      <c r="L339" s="232">
        <v>2014</v>
      </c>
      <c r="M339" s="234">
        <v>630</v>
      </c>
      <c r="N339" s="235">
        <f>50*3.28084</f>
        <v>164.042</v>
      </c>
      <c r="O339" s="235">
        <v>24</v>
      </c>
      <c r="P339" s="235">
        <v>62</v>
      </c>
      <c r="Q339" s="235"/>
      <c r="R339" s="235"/>
      <c r="S339" s="235"/>
      <c r="T339" s="232" t="s">
        <v>368</v>
      </c>
      <c r="U339" s="232" t="s">
        <v>248</v>
      </c>
      <c r="V339" s="232"/>
      <c r="W339" s="256"/>
      <c r="X339" s="257"/>
      <c r="Y339" s="257"/>
      <c r="Z339" s="257"/>
      <c r="AA339" s="257"/>
      <c r="AB339" s="257"/>
      <c r="AC339" s="250">
        <f t="shared" si="36"/>
        <v>1982</v>
      </c>
      <c r="AH339" s="43"/>
      <c r="AI339" s="43"/>
      <c r="AJ339" s="43"/>
    </row>
    <row r="340" spans="2:36" ht="13.5" customHeight="1">
      <c r="B340" s="69">
        <v>1</v>
      </c>
      <c r="C340" s="69">
        <v>338</v>
      </c>
      <c r="D340" s="236" t="s">
        <v>285</v>
      </c>
      <c r="E340" s="236" t="s">
        <v>1411</v>
      </c>
      <c r="F340" s="232" t="s">
        <v>370</v>
      </c>
      <c r="G340" s="232" t="s">
        <v>794</v>
      </c>
      <c r="H340" s="232" t="s">
        <v>370</v>
      </c>
      <c r="I340" s="232">
        <v>1982</v>
      </c>
      <c r="J340" s="232"/>
      <c r="K340" s="134">
        <f t="shared" si="35"/>
        <v>37</v>
      </c>
      <c r="L340" s="232">
        <v>2014</v>
      </c>
      <c r="M340" s="234">
        <v>630</v>
      </c>
      <c r="N340" s="235">
        <f>50*3.28084</f>
        <v>164.042</v>
      </c>
      <c r="O340" s="235">
        <v>24</v>
      </c>
      <c r="P340" s="235">
        <v>62</v>
      </c>
      <c r="Q340" s="235"/>
      <c r="R340" s="235"/>
      <c r="S340" s="235"/>
      <c r="T340" s="232" t="s">
        <v>368</v>
      </c>
      <c r="U340" s="232" t="s">
        <v>248</v>
      </c>
      <c r="V340" s="232"/>
      <c r="W340" s="256"/>
      <c r="X340" s="257"/>
      <c r="Y340" s="257"/>
      <c r="Z340" s="257"/>
      <c r="AA340" s="257"/>
      <c r="AB340" s="257"/>
      <c r="AC340" s="250">
        <f t="shared" si="36"/>
        <v>1982</v>
      </c>
      <c r="AH340" s="43"/>
      <c r="AI340" s="43"/>
      <c r="AJ340" s="43"/>
    </row>
    <row r="341" spans="2:36" ht="13.5" customHeight="1">
      <c r="B341" s="69">
        <v>1</v>
      </c>
      <c r="C341" s="69">
        <v>339</v>
      </c>
      <c r="D341" s="236" t="s">
        <v>278</v>
      </c>
      <c r="E341" s="236" t="s">
        <v>1412</v>
      </c>
      <c r="F341" s="232" t="s">
        <v>370</v>
      </c>
      <c r="G341" s="232" t="s">
        <v>794</v>
      </c>
      <c r="H341" s="232" t="s">
        <v>370</v>
      </c>
      <c r="I341" s="232">
        <v>1985</v>
      </c>
      <c r="J341" s="232"/>
      <c r="K341" s="134">
        <f t="shared" si="35"/>
        <v>34</v>
      </c>
      <c r="L341" s="232">
        <v>2004</v>
      </c>
      <c r="M341" s="234">
        <v>729</v>
      </c>
      <c r="N341" s="235">
        <f>46*3.28084</f>
        <v>150.91864000000001</v>
      </c>
      <c r="O341" s="235">
        <v>20</v>
      </c>
      <c r="P341" s="235">
        <v>48</v>
      </c>
      <c r="Q341" s="235"/>
      <c r="R341" s="235"/>
      <c r="S341" s="235"/>
      <c r="T341" s="232" t="s">
        <v>986</v>
      </c>
      <c r="U341" s="232" t="s">
        <v>248</v>
      </c>
      <c r="V341" s="232"/>
      <c r="W341" s="256"/>
      <c r="X341" s="257"/>
      <c r="Y341" s="257"/>
      <c r="Z341" s="257"/>
      <c r="AA341" s="257"/>
      <c r="AB341" s="257"/>
      <c r="AC341" s="250">
        <f t="shared" si="36"/>
        <v>1985</v>
      </c>
      <c r="AH341" s="43"/>
      <c r="AI341" s="43"/>
      <c r="AJ341" s="43"/>
    </row>
    <row r="342" spans="2:36" ht="13.5" customHeight="1">
      <c r="B342" s="69">
        <v>1</v>
      </c>
      <c r="C342" s="69">
        <v>340</v>
      </c>
      <c r="D342" s="236" t="s">
        <v>282</v>
      </c>
      <c r="E342" s="236" t="s">
        <v>1413</v>
      </c>
      <c r="F342" s="232" t="s">
        <v>370</v>
      </c>
      <c r="G342" s="232" t="s">
        <v>794</v>
      </c>
      <c r="H342" s="232" t="s">
        <v>370</v>
      </c>
      <c r="I342" s="232">
        <v>1995</v>
      </c>
      <c r="J342" s="232"/>
      <c r="K342" s="134">
        <f t="shared" si="35"/>
        <v>24</v>
      </c>
      <c r="L342" s="232">
        <v>2015</v>
      </c>
      <c r="M342" s="234">
        <v>1021</v>
      </c>
      <c r="N342" s="235">
        <f>49*3.28084</f>
        <v>160.76115999999999</v>
      </c>
      <c r="O342" s="235">
        <v>25</v>
      </c>
      <c r="P342" s="235">
        <v>48</v>
      </c>
      <c r="Q342" s="235"/>
      <c r="R342" s="235"/>
      <c r="S342" s="235"/>
      <c r="T342" s="232" t="s">
        <v>365</v>
      </c>
      <c r="U342" s="232" t="s">
        <v>248</v>
      </c>
      <c r="V342" s="232"/>
      <c r="W342" s="256"/>
      <c r="X342" s="257"/>
      <c r="Y342" s="257"/>
      <c r="Z342" s="257"/>
      <c r="AA342" s="257"/>
      <c r="AB342" s="257"/>
      <c r="AC342" s="250">
        <f t="shared" si="36"/>
        <v>1995</v>
      </c>
      <c r="AH342" s="43"/>
      <c r="AI342" s="43"/>
      <c r="AJ342" s="43"/>
    </row>
    <row r="343" spans="2:36" ht="13.5" customHeight="1">
      <c r="B343" s="69">
        <v>1</v>
      </c>
      <c r="C343" s="69">
        <v>341</v>
      </c>
      <c r="D343" s="236" t="s">
        <v>283</v>
      </c>
      <c r="E343" s="236" t="s">
        <v>1414</v>
      </c>
      <c r="F343" s="232" t="s">
        <v>370</v>
      </c>
      <c r="G343" s="232" t="s">
        <v>794</v>
      </c>
      <c r="H343" s="232" t="s">
        <v>370</v>
      </c>
      <c r="I343" s="232">
        <v>2003</v>
      </c>
      <c r="J343" s="232"/>
      <c r="K343" s="134">
        <f t="shared" si="35"/>
        <v>16</v>
      </c>
      <c r="L343" s="232">
        <v>2014</v>
      </c>
      <c r="M343" s="234">
        <v>3984</v>
      </c>
      <c r="N343" s="235">
        <f>102*3.28084</f>
        <v>334.64567999999997</v>
      </c>
      <c r="O343" s="235">
        <v>38</v>
      </c>
      <c r="P343" s="235">
        <v>102</v>
      </c>
      <c r="Q343" s="235"/>
      <c r="R343" s="235"/>
      <c r="S343" s="235"/>
      <c r="T343" s="232" t="s">
        <v>367</v>
      </c>
      <c r="U343" s="232" t="s">
        <v>248</v>
      </c>
      <c r="V343" s="232"/>
      <c r="W343" s="256"/>
      <c r="X343" s="257"/>
      <c r="Y343" s="257"/>
      <c r="Z343" s="257"/>
      <c r="AA343" s="257"/>
      <c r="AB343" s="257"/>
      <c r="AC343" s="250">
        <f t="shared" si="36"/>
        <v>2003</v>
      </c>
      <c r="AH343" s="43"/>
      <c r="AI343" s="43"/>
      <c r="AJ343" s="43"/>
    </row>
    <row r="344" spans="2:36" ht="13.5" customHeight="1">
      <c r="B344" s="69">
        <v>1</v>
      </c>
      <c r="C344" s="69">
        <v>342</v>
      </c>
      <c r="D344" s="236" t="s">
        <v>280</v>
      </c>
      <c r="E344" s="236" t="s">
        <v>1415</v>
      </c>
      <c r="F344" s="232" t="s">
        <v>370</v>
      </c>
      <c r="G344" s="232" t="s">
        <v>794</v>
      </c>
      <c r="H344" s="232" t="s">
        <v>370</v>
      </c>
      <c r="I344" s="232">
        <v>2005</v>
      </c>
      <c r="J344" s="232"/>
      <c r="K344" s="134">
        <f t="shared" si="35"/>
        <v>14</v>
      </c>
      <c r="L344" s="232">
        <v>2016</v>
      </c>
      <c r="M344" s="234">
        <v>2716</v>
      </c>
      <c r="N344" s="235">
        <f>73*3.28084</f>
        <v>239.50131999999999</v>
      </c>
      <c r="O344" s="235">
        <v>22</v>
      </c>
      <c r="P344" s="235">
        <v>96</v>
      </c>
      <c r="Q344" s="235"/>
      <c r="R344" s="235"/>
      <c r="S344" s="235">
        <f>(18+10)/P344*CPI!B120/CPI!B117*1000</f>
        <v>307.72576616186979</v>
      </c>
      <c r="T344" s="232" t="s">
        <v>366</v>
      </c>
      <c r="U344" s="232" t="s">
        <v>248</v>
      </c>
      <c r="V344" s="232"/>
      <c r="W344" s="256"/>
      <c r="X344" s="257"/>
      <c r="Y344" s="257"/>
      <c r="Z344" s="257"/>
      <c r="AA344" s="257"/>
      <c r="AB344" s="257"/>
      <c r="AC344" s="250">
        <f t="shared" si="36"/>
        <v>2005</v>
      </c>
      <c r="AH344" s="43"/>
      <c r="AI344" s="43"/>
      <c r="AJ344" s="43"/>
    </row>
    <row r="345" spans="2:36" ht="13.5" customHeight="1">
      <c r="B345" s="69">
        <v>1</v>
      </c>
      <c r="C345" s="69">
        <v>343</v>
      </c>
      <c r="D345" s="236" t="s">
        <v>795</v>
      </c>
      <c r="E345" s="236" t="s">
        <v>1416</v>
      </c>
      <c r="F345" s="232" t="s">
        <v>370</v>
      </c>
      <c r="G345" s="232" t="s">
        <v>794</v>
      </c>
      <c r="H345" s="232" t="s">
        <v>370</v>
      </c>
      <c r="I345" s="232">
        <v>2017</v>
      </c>
      <c r="J345" s="232"/>
      <c r="K345" s="134">
        <f t="shared" si="35"/>
        <v>2</v>
      </c>
      <c r="L345" s="232"/>
      <c r="M345" s="234">
        <v>1800</v>
      </c>
      <c r="N345" s="235">
        <v>240</v>
      </c>
      <c r="O345" s="235">
        <v>18</v>
      </c>
      <c r="P345" s="235">
        <v>50</v>
      </c>
      <c r="Q345" s="235">
        <v>55</v>
      </c>
      <c r="R345" s="235">
        <f t="shared" ref="R345:R362" si="38">Q345/P345*1000</f>
        <v>1100</v>
      </c>
      <c r="S345" s="235">
        <f>ROUND(R345*CPI!$B$120/VLOOKUP($I345,CPI!$A$1:$B$140,2,FALSE)/1000,2)*1000</f>
        <v>1120</v>
      </c>
      <c r="T345" s="232" t="s">
        <v>368</v>
      </c>
      <c r="U345" s="232" t="s">
        <v>248</v>
      </c>
      <c r="V345" s="232"/>
      <c r="W345" s="256"/>
      <c r="X345" s="257"/>
      <c r="Y345" s="257"/>
      <c r="Z345" s="257"/>
      <c r="AA345" s="257"/>
      <c r="AB345" s="257"/>
      <c r="AC345" s="250">
        <f t="shared" si="36"/>
        <v>2017</v>
      </c>
      <c r="AH345" s="43"/>
      <c r="AI345" s="43"/>
      <c r="AJ345" s="43"/>
    </row>
    <row r="346" spans="2:36" ht="13.5" customHeight="1">
      <c r="B346" s="69">
        <v>1</v>
      </c>
      <c r="C346" s="69">
        <v>344</v>
      </c>
      <c r="D346" s="255" t="s">
        <v>796</v>
      </c>
      <c r="E346" s="255" t="s">
        <v>1417</v>
      </c>
      <c r="F346" s="250" t="s">
        <v>370</v>
      </c>
      <c r="G346" s="250" t="s">
        <v>794</v>
      </c>
      <c r="H346" s="250" t="s">
        <v>370</v>
      </c>
      <c r="I346" s="250">
        <v>2018</v>
      </c>
      <c r="J346" s="250" t="s">
        <v>1043</v>
      </c>
      <c r="K346" s="134">
        <f t="shared" si="35"/>
        <v>1</v>
      </c>
      <c r="L346" s="250"/>
      <c r="M346" s="251">
        <v>2906</v>
      </c>
      <c r="N346" s="252">
        <v>240</v>
      </c>
      <c r="O346" s="252">
        <v>18</v>
      </c>
      <c r="P346" s="252">
        <v>50</v>
      </c>
      <c r="Q346" s="252">
        <v>55</v>
      </c>
      <c r="R346" s="252">
        <f t="shared" si="38"/>
        <v>1100</v>
      </c>
      <c r="S346" s="252">
        <f>ROUND(R346*CPI!$B$120/VLOOKUP($I346,CPI!$A$1:$B$140,2,FALSE)/1000,2)*1000</f>
        <v>1100</v>
      </c>
      <c r="T346" s="250" t="s">
        <v>368</v>
      </c>
      <c r="U346" s="250" t="s">
        <v>248</v>
      </c>
      <c r="V346" s="250"/>
      <c r="W346" s="256"/>
      <c r="X346" s="257"/>
      <c r="Y346" s="257"/>
      <c r="Z346" s="257"/>
      <c r="AA346" s="257"/>
      <c r="AB346" s="257"/>
      <c r="AC346" s="250">
        <f t="shared" si="36"/>
        <v>2018</v>
      </c>
      <c r="AH346" s="43"/>
      <c r="AI346" s="43"/>
      <c r="AJ346" s="43"/>
    </row>
    <row r="347" spans="2:36" ht="13.5" customHeight="1">
      <c r="B347" s="69">
        <v>1</v>
      </c>
      <c r="C347" s="69">
        <v>345</v>
      </c>
      <c r="D347" s="255" t="s">
        <v>937</v>
      </c>
      <c r="E347" s="255" t="s">
        <v>1418</v>
      </c>
      <c r="F347" s="250" t="s">
        <v>370</v>
      </c>
      <c r="G347" s="250" t="s">
        <v>794</v>
      </c>
      <c r="H347" s="250" t="s">
        <v>370</v>
      </c>
      <c r="I347" s="250">
        <v>2020</v>
      </c>
      <c r="J347" s="250" t="s">
        <v>1054</v>
      </c>
      <c r="K347" s="134" t="str">
        <f t="shared" si="35"/>
        <v/>
      </c>
      <c r="L347" s="250"/>
      <c r="M347" s="251"/>
      <c r="N347" s="252"/>
      <c r="O347" s="252"/>
      <c r="P347" s="252">
        <v>126</v>
      </c>
      <c r="Q347" s="252">
        <v>135</v>
      </c>
      <c r="R347" s="252">
        <f t="shared" si="38"/>
        <v>1071.4285714285713</v>
      </c>
      <c r="S347" s="252">
        <f>ROUND(R347*CPI!$B$120/VLOOKUP($I347,CPI!$A$1:$B$140,2,FALSE)/1000,2)*1000</f>
        <v>1030</v>
      </c>
      <c r="T347" s="250" t="s">
        <v>364</v>
      </c>
      <c r="U347" s="250" t="s">
        <v>248</v>
      </c>
      <c r="V347" s="250"/>
      <c r="W347" s="256"/>
      <c r="X347" s="257"/>
      <c r="Y347" s="257"/>
      <c r="Z347" s="257"/>
      <c r="AA347" s="257"/>
      <c r="AB347" s="257"/>
      <c r="AC347" s="250" t="str">
        <f t="shared" si="36"/>
        <v/>
      </c>
      <c r="AH347" s="43"/>
      <c r="AI347" s="43"/>
      <c r="AJ347" s="43"/>
    </row>
    <row r="348" spans="2:36" ht="13.5" customHeight="1">
      <c r="B348" s="69">
        <v>1</v>
      </c>
      <c r="C348" s="69">
        <v>346</v>
      </c>
      <c r="D348" s="233" t="s">
        <v>322</v>
      </c>
      <c r="E348" s="233" t="s">
        <v>1419</v>
      </c>
      <c r="F348" s="232" t="s">
        <v>377</v>
      </c>
      <c r="G348" s="232" t="s">
        <v>202</v>
      </c>
      <c r="H348" s="232" t="s">
        <v>374</v>
      </c>
      <c r="I348" s="232">
        <v>1991</v>
      </c>
      <c r="J348" s="232"/>
      <c r="K348" s="134">
        <f t="shared" si="35"/>
        <v>28</v>
      </c>
      <c r="L348" s="232">
        <v>2011</v>
      </c>
      <c r="M348" s="234">
        <v>1189</v>
      </c>
      <c r="N348" s="235">
        <f>88*3.28084</f>
        <v>288.71391999999997</v>
      </c>
      <c r="O348" s="235">
        <v>23</v>
      </c>
      <c r="P348" s="235">
        <v>64</v>
      </c>
      <c r="Q348" s="235">
        <v>50</v>
      </c>
      <c r="R348" s="235">
        <f t="shared" si="38"/>
        <v>781.25</v>
      </c>
      <c r="S348" s="235">
        <f>ROUND(R348*CPI!$B$120/VLOOKUP($I348,CPI!$A$1:$B$122,2,FALSE)/1000,2)*1000</f>
        <v>1420</v>
      </c>
      <c r="T348" s="232" t="s">
        <v>324</v>
      </c>
      <c r="U348" s="232" t="s">
        <v>248</v>
      </c>
      <c r="V348" s="232"/>
      <c r="W348" s="256" t="e">
        <f>SUM(((X348/SUM(X348:AB348))*5),((Y348/SUM(X348:AB348))*4),((Z348/SUM(X348:AB348))*3),((AA348/SUM(X348:AB348))*2),((AB348/SUM(X348:AB348)*1)))</f>
        <v>#DIV/0!</v>
      </c>
      <c r="X348" s="257"/>
      <c r="Y348" s="257"/>
      <c r="Z348" s="257"/>
      <c r="AA348" s="257"/>
      <c r="AB348" s="257"/>
      <c r="AC348" s="250">
        <f t="shared" si="36"/>
        <v>1991</v>
      </c>
      <c r="AH348" s="43"/>
      <c r="AI348" s="43"/>
      <c r="AJ348" s="43"/>
    </row>
    <row r="349" spans="2:36" ht="13.5" customHeight="1">
      <c r="B349" s="69">
        <v>1</v>
      </c>
      <c r="C349" s="69">
        <v>347</v>
      </c>
      <c r="D349" s="233" t="s">
        <v>301</v>
      </c>
      <c r="E349" s="233" t="s">
        <v>1420</v>
      </c>
      <c r="F349" s="232" t="s">
        <v>377</v>
      </c>
      <c r="G349" s="232" t="s">
        <v>202</v>
      </c>
      <c r="H349" s="232" t="s">
        <v>374</v>
      </c>
      <c r="I349" s="232">
        <v>2010</v>
      </c>
      <c r="J349" s="232"/>
      <c r="K349" s="134">
        <f t="shared" si="35"/>
        <v>9</v>
      </c>
      <c r="L349" s="232"/>
      <c r="M349" s="234">
        <v>10944</v>
      </c>
      <c r="N349" s="235">
        <f>142*3.28084</f>
        <v>465.87927999999999</v>
      </c>
      <c r="O349" s="235">
        <v>54</v>
      </c>
      <c r="P349" s="235">
        <v>224</v>
      </c>
      <c r="Q349" s="235">
        <v>150</v>
      </c>
      <c r="R349" s="235">
        <f t="shared" si="38"/>
        <v>669.64285714285711</v>
      </c>
      <c r="S349" s="235">
        <f>ROUND(R349*CPI!$B$120/VLOOKUP($I349,CPI!$A$1:$B$122,2,FALSE)/1000,2)*1000</f>
        <v>760</v>
      </c>
      <c r="T349" s="232" t="s">
        <v>212</v>
      </c>
      <c r="U349" s="232" t="s">
        <v>248</v>
      </c>
      <c r="V349" s="232"/>
      <c r="W349" s="256" t="e">
        <f>SUM(((X349/SUM(X349:AB349))*5),((Y349/SUM(X349:AB349))*4),((Z349/SUM(X349:AB349))*3),((AA349/SUM(X349:AB349))*2),((AB349/SUM(X349:AB349)*1)))</f>
        <v>#DIV/0!</v>
      </c>
      <c r="X349" s="257"/>
      <c r="Y349" s="257"/>
      <c r="Z349" s="257"/>
      <c r="AA349" s="257"/>
      <c r="AB349" s="257"/>
      <c r="AC349" s="250">
        <f t="shared" si="36"/>
        <v>2010</v>
      </c>
      <c r="AH349" s="43"/>
      <c r="AI349" s="43"/>
      <c r="AJ349" s="43"/>
    </row>
    <row r="350" spans="2:36" ht="13.5" customHeight="1">
      <c r="B350" s="69">
        <v>1</v>
      </c>
      <c r="C350" s="69">
        <v>348</v>
      </c>
      <c r="D350" s="233" t="s">
        <v>320</v>
      </c>
      <c r="E350" s="233" t="s">
        <v>1421</v>
      </c>
      <c r="F350" s="232" t="s">
        <v>377</v>
      </c>
      <c r="G350" s="232" t="s">
        <v>202</v>
      </c>
      <c r="H350" s="232" t="s">
        <v>374</v>
      </c>
      <c r="I350" s="232">
        <v>2010</v>
      </c>
      <c r="J350" s="232"/>
      <c r="K350" s="134">
        <f t="shared" si="35"/>
        <v>9</v>
      </c>
      <c r="L350" s="232"/>
      <c r="M350" s="234">
        <v>10944</v>
      </c>
      <c r="N350" s="235">
        <v>466</v>
      </c>
      <c r="O350" s="235">
        <v>54</v>
      </c>
      <c r="P350" s="235">
        <v>224</v>
      </c>
      <c r="Q350" s="235">
        <v>150</v>
      </c>
      <c r="R350" s="235">
        <f t="shared" si="38"/>
        <v>669.64285714285711</v>
      </c>
      <c r="S350" s="235">
        <f>ROUND(R350*CPI!$B$120/VLOOKUP($I350,CPI!$A$1:$B$122,2,FALSE)/1000,2)*1000</f>
        <v>760</v>
      </c>
      <c r="T350" s="232" t="s">
        <v>212</v>
      </c>
      <c r="U350" s="232" t="s">
        <v>248</v>
      </c>
      <c r="V350" s="232"/>
      <c r="W350" s="256" t="e">
        <f>SUM(((X350/SUM(X350:AB350))*5),((Y350/SUM(X350:AB350))*4),((Z350/SUM(X350:AB350))*3),((AA350/SUM(X350:AB350))*2),((AB350/SUM(X350:AB350)*1)))</f>
        <v>#DIV/0!</v>
      </c>
      <c r="X350" s="257"/>
      <c r="Y350" s="257"/>
      <c r="Z350" s="257"/>
      <c r="AA350" s="257"/>
      <c r="AB350" s="257"/>
      <c r="AC350" s="250">
        <f t="shared" si="36"/>
        <v>2010</v>
      </c>
      <c r="AH350" s="43"/>
      <c r="AI350" s="43"/>
      <c r="AJ350" s="43"/>
    </row>
    <row r="351" spans="2:36" ht="13.5" customHeight="1">
      <c r="B351" s="69">
        <v>1</v>
      </c>
      <c r="C351" s="69">
        <v>349</v>
      </c>
      <c r="D351" s="233" t="s">
        <v>323</v>
      </c>
      <c r="E351" s="233" t="s">
        <v>1422</v>
      </c>
      <c r="F351" s="232" t="s">
        <v>377</v>
      </c>
      <c r="G351" s="232" t="s">
        <v>202</v>
      </c>
      <c r="H351" s="232" t="s">
        <v>374</v>
      </c>
      <c r="I351" s="232">
        <v>2013</v>
      </c>
      <c r="J351" s="232"/>
      <c r="K351" s="134">
        <f t="shared" ref="K351:K382" si="39">IF(ISNUMBER(AC351),$K$1-AC351+1,"")</f>
        <v>6</v>
      </c>
      <c r="L351" s="232"/>
      <c r="M351" s="234">
        <v>10992</v>
      </c>
      <c r="N351" s="235">
        <f>142*3.28084</f>
        <v>465.87927999999999</v>
      </c>
      <c r="O351" s="235">
        <v>54</v>
      </c>
      <c r="P351" s="235">
        <v>224</v>
      </c>
      <c r="Q351" s="235">
        <v>134</v>
      </c>
      <c r="R351" s="235">
        <f t="shared" si="38"/>
        <v>598.21428571428567</v>
      </c>
      <c r="S351" s="235">
        <f>ROUND(R351*CPI!$B$120/VLOOKUP($I351,CPI!$A$1:$B$122,2,FALSE)/1000,2)*1000</f>
        <v>640</v>
      </c>
      <c r="T351" s="232" t="s">
        <v>212</v>
      </c>
      <c r="U351" s="232" t="s">
        <v>248</v>
      </c>
      <c r="V351" s="232"/>
      <c r="W351" s="256" t="e">
        <f>SUM(((X351/SUM(X351:AB351))*5),((Y351/SUM(X351:AB351))*4),((Z351/SUM(X351:AB351))*3),((AA351/SUM(X351:AB351))*2),((AB351/SUM(X351:AB351)*1)))</f>
        <v>#DIV/0!</v>
      </c>
      <c r="X351" s="257"/>
      <c r="Y351" s="257"/>
      <c r="Z351" s="257"/>
      <c r="AA351" s="257"/>
      <c r="AB351" s="257"/>
      <c r="AC351" s="250">
        <f t="shared" ref="AC351:AC382" si="40">IF(I351&lt;=$K$1,I351,"")</f>
        <v>2013</v>
      </c>
      <c r="AH351" s="43"/>
      <c r="AI351" s="43"/>
      <c r="AJ351" s="43"/>
    </row>
    <row r="352" spans="2:36" ht="13.5" customHeight="1">
      <c r="B352" s="69">
        <v>1</v>
      </c>
      <c r="C352" s="69">
        <v>350</v>
      </c>
      <c r="D352" s="233" t="s">
        <v>321</v>
      </c>
      <c r="E352" s="233" t="s">
        <v>1423</v>
      </c>
      <c r="F352" s="232" t="s">
        <v>377</v>
      </c>
      <c r="G352" s="232" t="s">
        <v>202</v>
      </c>
      <c r="H352" s="232" t="s">
        <v>374</v>
      </c>
      <c r="I352" s="232">
        <v>2015</v>
      </c>
      <c r="J352" s="232"/>
      <c r="K352" s="134">
        <f t="shared" si="39"/>
        <v>4</v>
      </c>
      <c r="L352" s="232"/>
      <c r="M352" s="234">
        <v>10700</v>
      </c>
      <c r="N352" s="235">
        <f>142*3.28084</f>
        <v>465.87927999999999</v>
      </c>
      <c r="O352" s="235">
        <v>54</v>
      </c>
      <c r="P352" s="235">
        <v>224</v>
      </c>
      <c r="Q352" s="235">
        <v>150</v>
      </c>
      <c r="R352" s="235">
        <f t="shared" si="38"/>
        <v>669.64285714285711</v>
      </c>
      <c r="S352" s="235">
        <f>ROUND(R352*CPI!$B$120/VLOOKUP($I352,CPI!$A$1:$B$122,2,FALSE)/1000,2)*1000</f>
        <v>710</v>
      </c>
      <c r="T352" s="232" t="s">
        <v>212</v>
      </c>
      <c r="U352" s="232" t="s">
        <v>248</v>
      </c>
      <c r="V352" s="232"/>
      <c r="W352" s="256" t="e">
        <f>SUM(((X352/SUM(X352:AB352))*5),((Y352/SUM(X352:AB352))*4),((Z352/SUM(X352:AB352))*3),((AA352/SUM(X352:AB352))*2),((AB352/SUM(X352:AB352)*1)))</f>
        <v>#DIV/0!</v>
      </c>
      <c r="X352" s="257"/>
      <c r="Y352" s="257"/>
      <c r="Z352" s="257"/>
      <c r="AA352" s="257"/>
      <c r="AB352" s="257"/>
      <c r="AC352" s="250">
        <f t="shared" si="40"/>
        <v>2015</v>
      </c>
      <c r="AH352" s="43"/>
      <c r="AI352" s="43"/>
      <c r="AJ352" s="43"/>
    </row>
    <row r="353" spans="2:36" ht="13.5" customHeight="1">
      <c r="B353" s="69">
        <v>1</v>
      </c>
      <c r="C353" s="69">
        <v>351</v>
      </c>
      <c r="D353" s="249" t="s">
        <v>740</v>
      </c>
      <c r="E353" s="249" t="s">
        <v>1424</v>
      </c>
      <c r="F353" s="250" t="s">
        <v>377</v>
      </c>
      <c r="G353" s="250" t="s">
        <v>794</v>
      </c>
      <c r="H353" s="250" t="s">
        <v>374</v>
      </c>
      <c r="I353" s="250">
        <v>2018</v>
      </c>
      <c r="J353" s="250" t="s">
        <v>1048</v>
      </c>
      <c r="K353" s="134">
        <f t="shared" si="39"/>
        <v>1</v>
      </c>
      <c r="L353" s="250"/>
      <c r="M353" s="251">
        <v>10000</v>
      </c>
      <c r="N353" s="252">
        <v>420</v>
      </c>
      <c r="O353" s="252">
        <v>54</v>
      </c>
      <c r="P353" s="252">
        <v>180</v>
      </c>
      <c r="Q353" s="252">
        <v>110</v>
      </c>
      <c r="R353" s="252">
        <f t="shared" si="38"/>
        <v>611.1111111111112</v>
      </c>
      <c r="S353" s="252">
        <f>ROUND(R353*CPI!$B$120/VLOOKUP($I353,CPI!$A$1:$B$140,2,FALSE)/1000,2)*1000</f>
        <v>610</v>
      </c>
      <c r="T353" s="250" t="s">
        <v>777</v>
      </c>
      <c r="U353" s="250" t="s">
        <v>778</v>
      </c>
      <c r="V353" s="250"/>
      <c r="W353" s="256"/>
      <c r="X353" s="258"/>
      <c r="Y353" s="258"/>
      <c r="Z353" s="258"/>
      <c r="AA353" s="258"/>
      <c r="AB353" s="258"/>
      <c r="AC353" s="250">
        <f t="shared" si="40"/>
        <v>2018</v>
      </c>
      <c r="AH353" s="43"/>
      <c r="AI353" s="43"/>
      <c r="AJ353" s="43"/>
    </row>
    <row r="354" spans="2:36" ht="13.5" customHeight="1">
      <c r="B354" s="69">
        <v>1</v>
      </c>
      <c r="C354" s="69">
        <v>352</v>
      </c>
      <c r="D354" s="249" t="s">
        <v>741</v>
      </c>
      <c r="E354" s="249" t="s">
        <v>1425</v>
      </c>
      <c r="F354" s="250" t="s">
        <v>377</v>
      </c>
      <c r="G354" s="250" t="s">
        <v>794</v>
      </c>
      <c r="H354" s="250" t="s">
        <v>374</v>
      </c>
      <c r="I354" s="250">
        <v>2018</v>
      </c>
      <c r="J354" s="250" t="s">
        <v>1049</v>
      </c>
      <c r="K354" s="134">
        <f t="shared" si="39"/>
        <v>1</v>
      </c>
      <c r="L354" s="250"/>
      <c r="M354" s="251">
        <v>10000</v>
      </c>
      <c r="N354" s="252">
        <v>420</v>
      </c>
      <c r="O354" s="252">
        <v>54</v>
      </c>
      <c r="P354" s="252">
        <v>180</v>
      </c>
      <c r="Q354" s="252">
        <v>110</v>
      </c>
      <c r="R354" s="252">
        <f t="shared" si="38"/>
        <v>611.1111111111112</v>
      </c>
      <c r="S354" s="252">
        <f>ROUND(R354*CPI!$B$120/VLOOKUP($I354,CPI!$A$1:$B$140,2,FALSE)/1000,2)*1000</f>
        <v>610</v>
      </c>
      <c r="T354" s="250" t="s">
        <v>777</v>
      </c>
      <c r="U354" s="250" t="s">
        <v>778</v>
      </c>
      <c r="V354" s="250"/>
      <c r="W354" s="256"/>
      <c r="X354" s="258"/>
      <c r="Y354" s="258"/>
      <c r="Z354" s="258"/>
      <c r="AA354" s="258"/>
      <c r="AB354" s="258"/>
      <c r="AC354" s="250">
        <f t="shared" si="40"/>
        <v>2018</v>
      </c>
      <c r="AE354" s="275">
        <v>43363</v>
      </c>
      <c r="AF354" t="s">
        <v>1073</v>
      </c>
      <c r="AG354" t="s">
        <v>191</v>
      </c>
      <c r="AH354" s="43">
        <v>5761</v>
      </c>
      <c r="AI354" s="43">
        <v>7</v>
      </c>
      <c r="AJ354" s="43">
        <f>AH354/AI354</f>
        <v>823</v>
      </c>
    </row>
    <row r="355" spans="2:36" ht="13.5" customHeight="1">
      <c r="B355" s="69">
        <v>1</v>
      </c>
      <c r="C355" s="69">
        <v>353</v>
      </c>
      <c r="D355" s="249" t="s">
        <v>744</v>
      </c>
      <c r="E355" s="249" t="s">
        <v>1426</v>
      </c>
      <c r="F355" s="250" t="s">
        <v>377</v>
      </c>
      <c r="G355" s="250" t="s">
        <v>794</v>
      </c>
      <c r="H355" s="250" t="s">
        <v>374</v>
      </c>
      <c r="I355" s="250">
        <v>2019</v>
      </c>
      <c r="J355" s="250" t="s">
        <v>1049</v>
      </c>
      <c r="K355" s="134" t="str">
        <f t="shared" si="39"/>
        <v/>
      </c>
      <c r="L355" s="250"/>
      <c r="M355" s="251">
        <v>10000</v>
      </c>
      <c r="N355" s="252">
        <v>420</v>
      </c>
      <c r="O355" s="252">
        <v>54</v>
      </c>
      <c r="P355" s="252">
        <v>180</v>
      </c>
      <c r="Q355" s="252">
        <v>110</v>
      </c>
      <c r="R355" s="252">
        <f t="shared" si="38"/>
        <v>611.1111111111112</v>
      </c>
      <c r="S355" s="252">
        <f>ROUND(R355*CPI!$B$120/VLOOKUP($I355,CPI!$A$1:$B$140,2,FALSE)/1000,2)*1000</f>
        <v>600</v>
      </c>
      <c r="T355" s="250" t="s">
        <v>777</v>
      </c>
      <c r="U355" s="250" t="s">
        <v>778</v>
      </c>
      <c r="V355" s="250"/>
      <c r="W355" s="256"/>
      <c r="X355" s="258"/>
      <c r="Y355" s="258"/>
      <c r="Z355" s="258"/>
      <c r="AA355" s="258"/>
      <c r="AB355" s="258"/>
      <c r="AC355" s="250" t="str">
        <f t="shared" si="40"/>
        <v/>
      </c>
      <c r="AE355" s="275">
        <v>43570</v>
      </c>
      <c r="AF355" t="s">
        <v>1082</v>
      </c>
      <c r="AG355" t="s">
        <v>191</v>
      </c>
      <c r="AH355" s="43">
        <v>2860</v>
      </c>
      <c r="AI355" s="43">
        <v>7</v>
      </c>
      <c r="AJ355" s="43">
        <f>AH355/AI355</f>
        <v>408.57142857142856</v>
      </c>
    </row>
    <row r="356" spans="2:36" ht="13.5" customHeight="1">
      <c r="B356" s="69">
        <v>1</v>
      </c>
      <c r="C356" s="69">
        <v>354</v>
      </c>
      <c r="D356" s="249" t="s">
        <v>912</v>
      </c>
      <c r="E356" s="249" t="s">
        <v>1427</v>
      </c>
      <c r="F356" s="250" t="s">
        <v>377</v>
      </c>
      <c r="G356" s="250" t="s">
        <v>794</v>
      </c>
      <c r="H356" s="250" t="s">
        <v>374</v>
      </c>
      <c r="I356" s="250">
        <v>2019</v>
      </c>
      <c r="J356" s="250" t="s">
        <v>1049</v>
      </c>
      <c r="K356" s="134" t="str">
        <f t="shared" si="39"/>
        <v/>
      </c>
      <c r="L356" s="250"/>
      <c r="M356" s="251">
        <v>10000</v>
      </c>
      <c r="N356" s="252">
        <v>420</v>
      </c>
      <c r="O356" s="252">
        <v>54</v>
      </c>
      <c r="P356" s="252">
        <v>180</v>
      </c>
      <c r="Q356" s="252">
        <v>110</v>
      </c>
      <c r="R356" s="252">
        <f t="shared" si="38"/>
        <v>611.1111111111112</v>
      </c>
      <c r="S356" s="252">
        <f>ROUND(R356*CPI!$B$120/VLOOKUP($I356,CPI!$A$1:$B$140,2,FALSE)/1000,2)*1000</f>
        <v>600</v>
      </c>
      <c r="T356" s="250" t="s">
        <v>777</v>
      </c>
      <c r="U356" s="250" t="s">
        <v>778</v>
      </c>
      <c r="V356" s="250"/>
      <c r="W356" s="256"/>
      <c r="X356" s="258"/>
      <c r="Y356" s="258"/>
      <c r="Z356" s="258"/>
      <c r="AA356" s="258"/>
      <c r="AB356" s="258"/>
      <c r="AC356" s="250" t="str">
        <f t="shared" si="40"/>
        <v/>
      </c>
      <c r="AE356" s="275">
        <v>43692</v>
      </c>
      <c r="AF356" t="s">
        <v>1083</v>
      </c>
      <c r="AG356" t="s">
        <v>237</v>
      </c>
      <c r="AH356" s="43"/>
      <c r="AI356" s="43">
        <v>10</v>
      </c>
      <c r="AJ356" s="43"/>
    </row>
    <row r="357" spans="2:36" ht="13.5" customHeight="1">
      <c r="B357" s="69">
        <v>1</v>
      </c>
      <c r="C357" s="69">
        <v>355</v>
      </c>
      <c r="D357" s="249" t="s">
        <v>938</v>
      </c>
      <c r="E357" s="249" t="s">
        <v>1428</v>
      </c>
      <c r="F357" s="250" t="s">
        <v>377</v>
      </c>
      <c r="G357" s="250" t="s">
        <v>794</v>
      </c>
      <c r="H357" s="250" t="s">
        <v>374</v>
      </c>
      <c r="I357" s="250">
        <v>2020</v>
      </c>
      <c r="J357" s="250" t="s">
        <v>1052</v>
      </c>
      <c r="K357" s="134" t="str">
        <f t="shared" si="39"/>
        <v/>
      </c>
      <c r="L357" s="250"/>
      <c r="M357" s="251">
        <v>10000</v>
      </c>
      <c r="N357" s="252">
        <v>420</v>
      </c>
      <c r="O357" s="252">
        <v>54</v>
      </c>
      <c r="P357" s="252">
        <v>180</v>
      </c>
      <c r="Q357" s="252">
        <v>110</v>
      </c>
      <c r="R357" s="252">
        <f t="shared" si="38"/>
        <v>611.1111111111112</v>
      </c>
      <c r="S357" s="252">
        <f>ROUND(R357*CPI!$B$120/VLOOKUP($I357,CPI!$A$1:$B$140,2,FALSE)/1000,2)*1000</f>
        <v>590</v>
      </c>
      <c r="T357" s="250" t="s">
        <v>777</v>
      </c>
      <c r="U357" s="250" t="s">
        <v>778</v>
      </c>
      <c r="V357" s="250"/>
      <c r="W357" s="256"/>
      <c r="X357" s="258"/>
      <c r="Y357" s="258"/>
      <c r="Z357" s="258"/>
      <c r="AA357" s="258"/>
      <c r="AB357" s="258"/>
      <c r="AC357" s="250" t="str">
        <f t="shared" si="40"/>
        <v/>
      </c>
      <c r="AH357" s="43"/>
      <c r="AI357" s="43"/>
      <c r="AJ357" s="43"/>
    </row>
    <row r="358" spans="2:36" ht="13.5" customHeight="1">
      <c r="B358" s="69">
        <v>1</v>
      </c>
      <c r="C358" s="69">
        <v>356</v>
      </c>
      <c r="D358" s="249" t="s">
        <v>939</v>
      </c>
      <c r="E358" s="249" t="s">
        <v>1429</v>
      </c>
      <c r="F358" s="250" t="s">
        <v>377</v>
      </c>
      <c r="G358" s="250" t="s">
        <v>794</v>
      </c>
      <c r="H358" s="250" t="s">
        <v>374</v>
      </c>
      <c r="I358" s="250">
        <v>2020</v>
      </c>
      <c r="J358" s="250" t="s">
        <v>1046</v>
      </c>
      <c r="K358" s="134" t="str">
        <f t="shared" si="39"/>
        <v/>
      </c>
      <c r="L358" s="250"/>
      <c r="M358" s="251">
        <v>10000</v>
      </c>
      <c r="N358" s="252">
        <v>420</v>
      </c>
      <c r="O358" s="252">
        <v>54</v>
      </c>
      <c r="P358" s="252">
        <v>180</v>
      </c>
      <c r="Q358" s="252">
        <v>110</v>
      </c>
      <c r="R358" s="252">
        <f t="shared" si="38"/>
        <v>611.1111111111112</v>
      </c>
      <c r="S358" s="252">
        <f>ROUND(R358*CPI!$B$120/VLOOKUP($I358,CPI!$A$1:$B$140,2,FALSE)/1000,2)*1000</f>
        <v>590</v>
      </c>
      <c r="T358" s="250" t="s">
        <v>777</v>
      </c>
      <c r="U358" s="250" t="s">
        <v>778</v>
      </c>
      <c r="V358" s="250"/>
      <c r="W358" s="256"/>
      <c r="X358" s="258"/>
      <c r="Y358" s="258"/>
      <c r="Z358" s="258"/>
      <c r="AA358" s="258"/>
      <c r="AB358" s="258"/>
      <c r="AC358" s="250" t="str">
        <f t="shared" si="40"/>
        <v/>
      </c>
      <c r="AH358" s="43"/>
      <c r="AI358" s="43"/>
      <c r="AJ358" s="43"/>
    </row>
    <row r="359" spans="2:36" ht="13.5" customHeight="1">
      <c r="B359" s="69">
        <v>1</v>
      </c>
      <c r="C359" s="69">
        <v>357</v>
      </c>
      <c r="D359" s="249" t="s">
        <v>940</v>
      </c>
      <c r="E359" s="249" t="s">
        <v>1430</v>
      </c>
      <c r="F359" s="250" t="s">
        <v>377</v>
      </c>
      <c r="G359" s="250" t="s">
        <v>202</v>
      </c>
      <c r="H359" s="250" t="s">
        <v>374</v>
      </c>
      <c r="I359" s="250">
        <v>2021</v>
      </c>
      <c r="J359" s="250" t="s">
        <v>1046</v>
      </c>
      <c r="K359" s="134" t="str">
        <f t="shared" si="39"/>
        <v/>
      </c>
      <c r="L359" s="250"/>
      <c r="M359" s="251">
        <v>30000</v>
      </c>
      <c r="N359" s="252"/>
      <c r="O359" s="252">
        <f>M359/P359</f>
        <v>111.11111111111111</v>
      </c>
      <c r="P359" s="252">
        <v>270</v>
      </c>
      <c r="Q359" s="252">
        <v>324</v>
      </c>
      <c r="R359" s="252">
        <f t="shared" si="38"/>
        <v>1200</v>
      </c>
      <c r="S359" s="252">
        <f>ROUND(R359*CPI!$B$120/VLOOKUP($I359,CPI!$A$1:$B$140,2,FALSE)/1000,2)*1000</f>
        <v>1130</v>
      </c>
      <c r="T359" s="250" t="s">
        <v>777</v>
      </c>
      <c r="U359" s="250" t="s">
        <v>248</v>
      </c>
      <c r="V359" s="250"/>
      <c r="W359" s="256"/>
      <c r="X359" s="258"/>
      <c r="Y359" s="258"/>
      <c r="Z359" s="258"/>
      <c r="AA359" s="258"/>
      <c r="AB359" s="258"/>
      <c r="AC359" s="250" t="str">
        <f t="shared" si="40"/>
        <v/>
      </c>
      <c r="AH359" s="43"/>
      <c r="AI359" s="43"/>
      <c r="AJ359" s="43"/>
    </row>
    <row r="360" spans="2:36" ht="13.5" customHeight="1">
      <c r="B360" s="69">
        <v>1</v>
      </c>
      <c r="C360" s="69">
        <v>358</v>
      </c>
      <c r="D360" s="233" t="s">
        <v>787</v>
      </c>
      <c r="E360" s="233" t="s">
        <v>1431</v>
      </c>
      <c r="F360" s="232" t="s">
        <v>418</v>
      </c>
      <c r="G360" s="232" t="s">
        <v>200</v>
      </c>
      <c r="H360" s="232" t="s">
        <v>788</v>
      </c>
      <c r="I360" s="232">
        <v>1980</v>
      </c>
      <c r="J360" s="232"/>
      <c r="K360" s="134">
        <f t="shared" si="39"/>
        <v>39</v>
      </c>
      <c r="L360" s="232">
        <v>2014</v>
      </c>
      <c r="M360" s="234">
        <v>25611</v>
      </c>
      <c r="N360" s="235">
        <v>518</v>
      </c>
      <c r="O360" s="235">
        <v>27</v>
      </c>
      <c r="P360" s="235">
        <v>1452</v>
      </c>
      <c r="Q360" s="235">
        <v>140</v>
      </c>
      <c r="R360" s="235">
        <f t="shared" si="38"/>
        <v>96.418732782369148</v>
      </c>
      <c r="S360" s="235">
        <f>ROUND(R360*CPI!$B$120/VLOOKUP($I360,CPI!$A$1:$B$140,2,FALSE)/1000,2)*1000</f>
        <v>280</v>
      </c>
      <c r="T360" s="232" t="s">
        <v>789</v>
      </c>
      <c r="U360" s="232" t="s">
        <v>248</v>
      </c>
      <c r="V360" s="232"/>
      <c r="W360" s="256" t="e">
        <f>SUM(((X360/SUM(X360:AB360))*5),((Y360/SUM(X360:AB360))*4),((Z360/SUM(X360:AB360))*3),((AA360/SUM(X360:AB360))*2),((AB360/SUM(X360:AB360)*1)))</f>
        <v>#DIV/0!</v>
      </c>
      <c r="X360" s="257"/>
      <c r="Y360" s="257"/>
      <c r="Z360" s="257"/>
      <c r="AA360" s="257"/>
      <c r="AB360" s="257"/>
      <c r="AC360" s="250">
        <f t="shared" si="40"/>
        <v>1980</v>
      </c>
      <c r="AH360" s="43"/>
      <c r="AI360" s="43"/>
      <c r="AJ360" s="43"/>
    </row>
    <row r="361" spans="2:36" ht="13.5" customHeight="1">
      <c r="B361" s="69">
        <v>1</v>
      </c>
      <c r="C361" s="69">
        <v>359</v>
      </c>
      <c r="D361" s="233" t="s">
        <v>791</v>
      </c>
      <c r="E361" s="233" t="s">
        <v>1432</v>
      </c>
      <c r="F361" s="232" t="s">
        <v>418</v>
      </c>
      <c r="G361" s="232" t="s">
        <v>200</v>
      </c>
      <c r="H361" s="232" t="s">
        <v>788</v>
      </c>
      <c r="I361" s="232">
        <v>1982</v>
      </c>
      <c r="J361" s="232"/>
      <c r="K361" s="134">
        <f t="shared" si="39"/>
        <v>37</v>
      </c>
      <c r="L361" s="232">
        <v>2016</v>
      </c>
      <c r="M361" s="234">
        <v>37773</v>
      </c>
      <c r="N361" s="235">
        <v>705</v>
      </c>
      <c r="O361" s="235">
        <v>26</v>
      </c>
      <c r="P361" s="235">
        <v>1664</v>
      </c>
      <c r="Q361" s="235">
        <v>140</v>
      </c>
      <c r="R361" s="235">
        <f t="shared" si="38"/>
        <v>84.134615384615387</v>
      </c>
      <c r="S361" s="235">
        <f>ROUND(R361*CPI!$B$120/VLOOKUP($I361,CPI!$A$1:$B$140,2,FALSE)/1000,2)*1000</f>
        <v>220</v>
      </c>
      <c r="T361" s="232" t="s">
        <v>793</v>
      </c>
      <c r="U361" s="232" t="s">
        <v>248</v>
      </c>
      <c r="V361" s="232"/>
      <c r="W361" s="256" t="e">
        <f>SUM(((X361/SUM(X361:AB361))*5),((Y361/SUM(X361:AB361))*4),((Z361/SUM(X361:AB361))*3),((AA361/SUM(X361:AB361))*2),((AB361/SUM(X361:AB361)*1)))</f>
        <v>#DIV/0!</v>
      </c>
      <c r="X361" s="257"/>
      <c r="Y361" s="257"/>
      <c r="Z361" s="257"/>
      <c r="AA361" s="257"/>
      <c r="AB361" s="257"/>
      <c r="AC361" s="250">
        <f t="shared" si="40"/>
        <v>1982</v>
      </c>
      <c r="AH361" s="43"/>
      <c r="AI361" s="43"/>
      <c r="AJ361" s="43"/>
    </row>
    <row r="362" spans="2:36" ht="13.5" customHeight="1">
      <c r="B362" s="69">
        <v>1</v>
      </c>
      <c r="C362" s="69">
        <v>360</v>
      </c>
      <c r="D362" s="233" t="s">
        <v>790</v>
      </c>
      <c r="E362" s="233" t="s">
        <v>1433</v>
      </c>
      <c r="F362" s="232" t="s">
        <v>418</v>
      </c>
      <c r="G362" s="232" t="s">
        <v>200</v>
      </c>
      <c r="H362" s="232" t="s">
        <v>788</v>
      </c>
      <c r="I362" s="232">
        <v>1992</v>
      </c>
      <c r="J362" s="232"/>
      <c r="K362" s="134">
        <f t="shared" si="39"/>
        <v>27</v>
      </c>
      <c r="L362" s="232">
        <v>2016</v>
      </c>
      <c r="M362" s="234">
        <v>19090</v>
      </c>
      <c r="N362" s="235">
        <v>538</v>
      </c>
      <c r="O362" s="235">
        <v>21</v>
      </c>
      <c r="P362" s="235">
        <v>1074</v>
      </c>
      <c r="Q362" s="235">
        <v>240</v>
      </c>
      <c r="R362" s="235">
        <f t="shared" si="38"/>
        <v>223.46368715083798</v>
      </c>
      <c r="S362" s="235">
        <f>ROUND(R362*CPI!$B$120/VLOOKUP($I362,CPI!$A$1:$B$140,2,FALSE)/1000,2)*1000</f>
        <v>390</v>
      </c>
      <c r="T362" s="232" t="s">
        <v>792</v>
      </c>
      <c r="U362" s="232" t="s">
        <v>248</v>
      </c>
      <c r="V362" s="232"/>
      <c r="W362" s="256" t="e">
        <f>SUM(((X362/SUM(X362:AB362))*5),((Y362/SUM(X362:AB362))*4),((Z362/SUM(X362:AB362))*3),((AA362/SUM(X362:AB362))*2),((AB362/SUM(X362:AB362)*1)))</f>
        <v>#DIV/0!</v>
      </c>
      <c r="X362" s="257"/>
      <c r="Y362" s="257"/>
      <c r="Z362" s="257"/>
      <c r="AA362" s="257"/>
      <c r="AB362" s="257"/>
      <c r="AC362" s="250">
        <f t="shared" si="40"/>
        <v>1992</v>
      </c>
      <c r="AH362" s="43"/>
      <c r="AI362" s="43"/>
      <c r="AJ362" s="43"/>
    </row>
    <row r="363" spans="2:36" ht="13.5" customHeight="1">
      <c r="B363" s="69">
        <v>1</v>
      </c>
      <c r="C363" s="69">
        <v>361</v>
      </c>
      <c r="D363" s="233" t="s">
        <v>980</v>
      </c>
      <c r="E363" s="233" t="s">
        <v>1434</v>
      </c>
      <c r="F363" s="232" t="s">
        <v>418</v>
      </c>
      <c r="G363" s="232" t="s">
        <v>200</v>
      </c>
      <c r="H363" s="232" t="s">
        <v>788</v>
      </c>
      <c r="I363" s="232">
        <v>1992</v>
      </c>
      <c r="J363" s="232"/>
      <c r="K363" s="134">
        <f t="shared" si="39"/>
        <v>27</v>
      </c>
      <c r="L363" s="232">
        <v>2017</v>
      </c>
      <c r="M363" s="234">
        <v>40876</v>
      </c>
      <c r="N363" s="235">
        <f>207*3.28084</f>
        <v>679.13387999999998</v>
      </c>
      <c r="O363" s="235">
        <v>28</v>
      </c>
      <c r="P363" s="235">
        <v>1462</v>
      </c>
      <c r="Q363" s="235">
        <v>230</v>
      </c>
      <c r="R363" s="235">
        <v>101</v>
      </c>
      <c r="S363" s="235">
        <f>ROUND(R363*CPI!$B$120/VLOOKUP($I363,CPI!$A$1:$B$122,2,FALSE)/1000,2)*1000</f>
        <v>180</v>
      </c>
      <c r="T363" s="232" t="s">
        <v>362</v>
      </c>
      <c r="U363" s="232" t="s">
        <v>248</v>
      </c>
      <c r="V363" s="232"/>
      <c r="W363" s="256" t="e">
        <f>SUM(((X363/SUM(X363:AB363))*5),((Y363/SUM(X363:AB363))*4),((Z363/SUM(X363:AB363))*3),((AA363/SUM(X363:AB363))*2),((AB363/SUM(X363:AB363)*1)))</f>
        <v>#DIV/0!</v>
      </c>
      <c r="X363" s="257"/>
      <c r="Y363" s="257"/>
      <c r="Z363" s="257"/>
      <c r="AA363" s="257"/>
      <c r="AB363" s="257"/>
      <c r="AC363" s="250">
        <f t="shared" si="40"/>
        <v>1992</v>
      </c>
      <c r="AH363" s="43"/>
      <c r="AI363" s="43"/>
      <c r="AJ363" s="43"/>
    </row>
    <row r="364" spans="2:36" ht="13.5" customHeight="1">
      <c r="B364" s="69">
        <v>1</v>
      </c>
      <c r="C364" s="69">
        <v>362</v>
      </c>
      <c r="D364" s="233" t="s">
        <v>981</v>
      </c>
      <c r="E364" s="233" t="s">
        <v>1435</v>
      </c>
      <c r="F364" s="232" t="s">
        <v>418</v>
      </c>
      <c r="G364" s="232" t="s">
        <v>200</v>
      </c>
      <c r="H364" s="232" t="s">
        <v>788</v>
      </c>
      <c r="I364" s="232">
        <v>1968</v>
      </c>
      <c r="J364" s="232"/>
      <c r="K364" s="134">
        <f t="shared" si="39"/>
        <v>51</v>
      </c>
      <c r="L364" s="232">
        <v>2013</v>
      </c>
      <c r="M364" s="234">
        <v>15781</v>
      </c>
      <c r="N364" s="235">
        <v>525</v>
      </c>
      <c r="O364" s="235">
        <v>17</v>
      </c>
      <c r="P364" s="235">
        <v>828</v>
      </c>
      <c r="Q364" s="235">
        <v>15</v>
      </c>
      <c r="R364" s="235">
        <v>102</v>
      </c>
      <c r="S364" s="235">
        <f>ROUND(R364*CPI!$B$120/VLOOKUP($I364,CPI!$A$1:$B$122,2,FALSE)/1000,2)*1000</f>
        <v>720</v>
      </c>
      <c r="T364" s="232" t="s">
        <v>982</v>
      </c>
      <c r="U364" s="232" t="s">
        <v>248</v>
      </c>
      <c r="V364" s="232"/>
      <c r="W364" s="256"/>
      <c r="X364" s="257"/>
      <c r="Y364" s="257"/>
      <c r="Z364" s="257"/>
      <c r="AA364" s="257"/>
      <c r="AB364" s="257"/>
      <c r="AC364" s="250">
        <f t="shared" si="40"/>
        <v>1968</v>
      </c>
      <c r="AH364" s="43"/>
      <c r="AI364" s="43"/>
      <c r="AJ364" s="43"/>
    </row>
    <row r="365" spans="2:36" ht="13.5" customHeight="1">
      <c r="B365" s="69">
        <v>1</v>
      </c>
      <c r="C365" s="69">
        <v>363</v>
      </c>
      <c r="D365" s="249" t="s">
        <v>779</v>
      </c>
      <c r="E365" s="249" t="s">
        <v>1436</v>
      </c>
      <c r="F365" s="250" t="s">
        <v>500</v>
      </c>
      <c r="G365" s="250" t="s">
        <v>201</v>
      </c>
      <c r="H365" s="250" t="s">
        <v>500</v>
      </c>
      <c r="I365" s="250">
        <v>2020</v>
      </c>
      <c r="J365" s="250" t="s">
        <v>1052</v>
      </c>
      <c r="K365" s="134" t="str">
        <f t="shared" si="39"/>
        <v/>
      </c>
      <c r="L365" s="250"/>
      <c r="M365" s="251">
        <v>117000</v>
      </c>
      <c r="N365" s="252">
        <v>960</v>
      </c>
      <c r="O365" s="252">
        <f>M365/P365</f>
        <v>40.909090909090907</v>
      </c>
      <c r="P365" s="252">
        <v>2860</v>
      </c>
      <c r="Q365" s="252">
        <v>710</v>
      </c>
      <c r="R365" s="252">
        <f>Q365/P365*1000</f>
        <v>248.25174825174827</v>
      </c>
      <c r="S365" s="252">
        <f>ROUND(R365*CPI!$B$120/VLOOKUP($I365,CPI!$A$1:$B$140,2,FALSE)/1000,2)*1000</f>
        <v>240</v>
      </c>
      <c r="T365" s="250" t="s">
        <v>212</v>
      </c>
      <c r="U365" s="250" t="s">
        <v>778</v>
      </c>
      <c r="V365" s="250"/>
      <c r="W365" s="256"/>
      <c r="X365" s="258"/>
      <c r="Y365" s="258"/>
      <c r="Z365" s="258"/>
      <c r="AA365" s="258"/>
      <c r="AB365" s="258"/>
      <c r="AC365" s="250" t="str">
        <f t="shared" si="40"/>
        <v/>
      </c>
      <c r="AH365" s="43"/>
      <c r="AI365" s="43"/>
      <c r="AJ365" s="43"/>
    </row>
    <row r="366" spans="2:36" ht="13.5" customHeight="1">
      <c r="B366" s="69">
        <v>1</v>
      </c>
      <c r="C366" s="69">
        <v>364</v>
      </c>
      <c r="D366" s="249" t="s">
        <v>780</v>
      </c>
      <c r="E366" s="249" t="s">
        <v>1437</v>
      </c>
      <c r="F366" s="250" t="s">
        <v>500</v>
      </c>
      <c r="G366" s="250" t="s">
        <v>201</v>
      </c>
      <c r="H366" s="250" t="s">
        <v>500</v>
      </c>
      <c r="I366" s="250">
        <v>2021</v>
      </c>
      <c r="J366" s="250" t="s">
        <v>1046</v>
      </c>
      <c r="K366" s="134" t="str">
        <f t="shared" si="39"/>
        <v/>
      </c>
      <c r="L366" s="250"/>
      <c r="M366" s="251">
        <v>110000</v>
      </c>
      <c r="N366" s="252">
        <v>960</v>
      </c>
      <c r="O366" s="252">
        <f>M366/P366</f>
        <v>38.46153846153846</v>
      </c>
      <c r="P366" s="252">
        <v>2860</v>
      </c>
      <c r="Q366" s="252">
        <v>710</v>
      </c>
      <c r="R366" s="252">
        <f>Q366/P366*1000</f>
        <v>248.25174825174827</v>
      </c>
      <c r="S366" s="252">
        <f>ROUND(R366*CPI!$B$120/VLOOKUP($I366,CPI!$A$1:$B$140,2,FALSE)/1000,2)*1000</f>
        <v>230</v>
      </c>
      <c r="T366" s="250" t="s">
        <v>212</v>
      </c>
      <c r="U366" s="250" t="s">
        <v>778</v>
      </c>
      <c r="V366" s="250"/>
      <c r="W366" s="256"/>
      <c r="X366" s="258"/>
      <c r="Y366" s="258"/>
      <c r="Z366" s="258"/>
      <c r="AA366" s="258"/>
      <c r="AB366" s="258"/>
      <c r="AC366" s="250" t="str">
        <f t="shared" si="40"/>
        <v/>
      </c>
      <c r="AH366" s="43"/>
      <c r="AI366" s="43"/>
      <c r="AJ366" s="43"/>
    </row>
    <row r="367" spans="2:36" ht="13.5" customHeight="1">
      <c r="B367" s="69">
        <v>1</v>
      </c>
      <c r="C367" s="69">
        <v>365</v>
      </c>
      <c r="D367" s="249" t="s">
        <v>781</v>
      </c>
      <c r="E367" s="249" t="s">
        <v>1438</v>
      </c>
      <c r="F367" s="250" t="s">
        <v>500</v>
      </c>
      <c r="G367" s="250" t="s">
        <v>201</v>
      </c>
      <c r="H367" s="250" t="s">
        <v>500</v>
      </c>
      <c r="I367" s="250">
        <v>2022</v>
      </c>
      <c r="J367" s="250" t="s">
        <v>1049</v>
      </c>
      <c r="K367" s="134" t="str">
        <f t="shared" si="39"/>
        <v/>
      </c>
      <c r="L367" s="250"/>
      <c r="M367" s="251">
        <v>110000</v>
      </c>
      <c r="N367" s="252">
        <v>960</v>
      </c>
      <c r="O367" s="252">
        <f>M367/P367</f>
        <v>38.46153846153846</v>
      </c>
      <c r="P367" s="252">
        <v>2860</v>
      </c>
      <c r="Q367" s="252">
        <v>710</v>
      </c>
      <c r="R367" s="252">
        <f>Q367/P367*1000</f>
        <v>248.25174825174827</v>
      </c>
      <c r="S367" s="252">
        <f>ROUND(R367*CPI!$B$120/VLOOKUP($I367,CPI!$A$1:$B$140,2,FALSE)/1000,2)*1000</f>
        <v>230</v>
      </c>
      <c r="T367" s="250" t="s">
        <v>212</v>
      </c>
      <c r="U367" s="250" t="s">
        <v>778</v>
      </c>
      <c r="V367" s="250"/>
      <c r="W367" s="256"/>
      <c r="X367" s="258"/>
      <c r="Y367" s="258"/>
      <c r="Z367" s="258"/>
      <c r="AA367" s="258"/>
      <c r="AB367" s="258"/>
      <c r="AC367" s="250" t="str">
        <f t="shared" si="40"/>
        <v/>
      </c>
      <c r="AH367" s="43"/>
      <c r="AI367" s="43"/>
      <c r="AJ367" s="43"/>
    </row>
    <row r="368" spans="2:36" ht="13.5" customHeight="1">
      <c r="B368" s="69">
        <v>1</v>
      </c>
      <c r="C368" s="69">
        <v>366</v>
      </c>
      <c r="D368" s="233" t="s">
        <v>325</v>
      </c>
      <c r="E368" s="233" t="s">
        <v>1439</v>
      </c>
      <c r="F368" s="232" t="s">
        <v>277</v>
      </c>
      <c r="G368" s="232" t="s">
        <v>200</v>
      </c>
      <c r="H368" s="232" t="s">
        <v>371</v>
      </c>
      <c r="I368" s="232">
        <v>1948</v>
      </c>
      <c r="J368" s="232"/>
      <c r="K368" s="134">
        <f t="shared" si="39"/>
        <v>71</v>
      </c>
      <c r="L368" s="232"/>
      <c r="M368" s="234">
        <v>16144</v>
      </c>
      <c r="N368" s="235">
        <f>160*3.28084</f>
        <v>524.93439999999998</v>
      </c>
      <c r="O368" s="235">
        <v>30</v>
      </c>
      <c r="P368" s="235">
        <v>550</v>
      </c>
      <c r="Q368" s="235">
        <f>R368*P368/1000</f>
        <v>12.375</v>
      </c>
      <c r="R368" s="235">
        <v>22.5</v>
      </c>
      <c r="S368" s="235">
        <f>ROUND(R368*CPI!$B$120/VLOOKUP($I368,CPI!$A$1:$B$122,2,FALSE)/1000,2)*1000</f>
        <v>230</v>
      </c>
      <c r="T368" s="232" t="s">
        <v>327</v>
      </c>
      <c r="U368" s="232" t="s">
        <v>248</v>
      </c>
      <c r="V368" s="232"/>
      <c r="W368" s="256" t="e">
        <f>SUM(((X368/SUM(X368:AB368))*5),((Y368/SUM(X368:AB368))*4),((Z368/SUM(X368:AB368))*3),((AA368/SUM(X368:AB368))*2),((AB368/SUM(X368:AB368)*1)))</f>
        <v>#DIV/0!</v>
      </c>
      <c r="X368" s="257"/>
      <c r="Y368" s="257"/>
      <c r="Z368" s="257"/>
      <c r="AA368" s="257"/>
      <c r="AB368" s="257"/>
      <c r="AC368" s="250">
        <f t="shared" si="40"/>
        <v>1948</v>
      </c>
      <c r="AH368" s="43"/>
      <c r="AI368" s="43"/>
      <c r="AJ368" s="43"/>
    </row>
    <row r="369" spans="2:36" ht="13.5" customHeight="1">
      <c r="B369" s="69">
        <v>1</v>
      </c>
      <c r="C369" s="69">
        <v>367</v>
      </c>
      <c r="D369" s="233" t="s">
        <v>861</v>
      </c>
      <c r="E369" s="233" t="s">
        <v>1440</v>
      </c>
      <c r="F369" s="232" t="s">
        <v>277</v>
      </c>
      <c r="G369" s="232" t="s">
        <v>200</v>
      </c>
      <c r="H369" s="232" t="s">
        <v>371</v>
      </c>
      <c r="I369" s="232">
        <v>1965</v>
      </c>
      <c r="J369" s="232"/>
      <c r="K369" s="134">
        <f t="shared" si="39"/>
        <v>54</v>
      </c>
      <c r="L369" s="232"/>
      <c r="M369" s="234">
        <v>22080</v>
      </c>
      <c r="N369" s="235">
        <f>176*3.28084</f>
        <v>577.42783999999995</v>
      </c>
      <c r="O369" s="235">
        <v>28</v>
      </c>
      <c r="P369" s="235">
        <v>800</v>
      </c>
      <c r="Q369" s="235">
        <f>R369*P369/1000</f>
        <v>23.2</v>
      </c>
      <c r="R369" s="235">
        <v>29</v>
      </c>
      <c r="S369" s="235">
        <f>ROUND(R369*CPI!$B$120/VLOOKUP($I369,CPI!$A$1:$B$122,2,FALSE)/1000,2)*1000</f>
        <v>230</v>
      </c>
      <c r="T369" s="232" t="s">
        <v>328</v>
      </c>
      <c r="U369" s="232" t="s">
        <v>248</v>
      </c>
      <c r="V369" s="232"/>
      <c r="W369" s="256" t="e">
        <f>SUM(((X369/SUM(X369:AB369))*5),((Y369/SUM(X369:AB369))*4),((Z369/SUM(X369:AB369))*3),((AA369/SUM(X369:AB369))*2),((AB369/SUM(X369:AB369)*1)))</f>
        <v>#DIV/0!</v>
      </c>
      <c r="X369" s="257"/>
      <c r="Y369" s="257"/>
      <c r="Z369" s="257"/>
      <c r="AA369" s="257"/>
      <c r="AB369" s="257"/>
      <c r="AC369" s="250">
        <f t="shared" si="40"/>
        <v>1965</v>
      </c>
      <c r="AH369" s="43"/>
      <c r="AI369" s="43"/>
      <c r="AJ369" s="43"/>
    </row>
    <row r="370" spans="2:36" ht="13.5" customHeight="1">
      <c r="B370" s="69">
        <v>1</v>
      </c>
      <c r="C370" s="69">
        <v>368</v>
      </c>
      <c r="D370" s="233" t="s">
        <v>304</v>
      </c>
      <c r="E370" s="233" t="s">
        <v>1441</v>
      </c>
      <c r="F370" s="232" t="s">
        <v>277</v>
      </c>
      <c r="G370" s="232" t="s">
        <v>200</v>
      </c>
      <c r="H370" s="232" t="s">
        <v>371</v>
      </c>
      <c r="I370" s="232">
        <v>1985</v>
      </c>
      <c r="J370" s="232"/>
      <c r="K370" s="134">
        <f t="shared" si="39"/>
        <v>34</v>
      </c>
      <c r="L370" s="232"/>
      <c r="M370" s="234">
        <v>46052</v>
      </c>
      <c r="N370" s="235">
        <f>221*3.28084</f>
        <v>725.06564000000003</v>
      </c>
      <c r="O370" s="235">
        <v>37</v>
      </c>
      <c r="P370" s="235">
        <v>1250</v>
      </c>
      <c r="Q370" s="235">
        <f>R370*P370/1000</f>
        <v>125</v>
      </c>
      <c r="R370" s="235">
        <v>100</v>
      </c>
      <c r="S370" s="235">
        <f>ROUND(R370*CPI!$B$120/VLOOKUP($I370,CPI!$A$1:$B$122,2,FALSE)/1000,2)*1000</f>
        <v>230</v>
      </c>
      <c r="T370" s="232" t="s">
        <v>329</v>
      </c>
      <c r="U370" s="232" t="s">
        <v>330</v>
      </c>
      <c r="V370" s="232"/>
      <c r="W370" s="256" t="e">
        <f>SUM(((X370/SUM(X370:AB370))*5),((Y370/SUM(X370:AB370))*4),((Z370/SUM(X370:AB370))*3),((AA370/SUM(X370:AB370))*2),((AB370/SUM(X370:AB370)*1)))</f>
        <v>#DIV/0!</v>
      </c>
      <c r="X370" s="257"/>
      <c r="Y370" s="257"/>
      <c r="Z370" s="257"/>
      <c r="AA370" s="257"/>
      <c r="AB370" s="257"/>
      <c r="AC370" s="250">
        <f t="shared" si="40"/>
        <v>1985</v>
      </c>
      <c r="AH370" s="43"/>
      <c r="AI370" s="43"/>
      <c r="AJ370" s="43"/>
    </row>
    <row r="371" spans="2:36" ht="13.5" customHeight="1">
      <c r="B371" s="69">
        <v>1</v>
      </c>
      <c r="C371" s="69">
        <v>369</v>
      </c>
      <c r="D371" s="233" t="s">
        <v>326</v>
      </c>
      <c r="E371" s="233" t="s">
        <v>1442</v>
      </c>
      <c r="F371" s="232" t="s">
        <v>277</v>
      </c>
      <c r="G371" s="232" t="s">
        <v>200</v>
      </c>
      <c r="H371" s="232" t="s">
        <v>371</v>
      </c>
      <c r="I371" s="232">
        <v>1987</v>
      </c>
      <c r="J371" s="232"/>
      <c r="K371" s="134">
        <f t="shared" si="39"/>
        <v>32</v>
      </c>
      <c r="L371" s="232"/>
      <c r="M371" s="234">
        <v>20704</v>
      </c>
      <c r="N371" s="235">
        <f>176*3.28084</f>
        <v>577.42783999999995</v>
      </c>
      <c r="O371" s="235">
        <v>32</v>
      </c>
      <c r="P371" s="235">
        <v>600</v>
      </c>
      <c r="Q371" s="235">
        <v>65</v>
      </c>
      <c r="R371" s="235">
        <f>Q371/P371*1000</f>
        <v>108.33333333333334</v>
      </c>
      <c r="S371" s="235">
        <f>ROUND(R371*CPI!$B$120/VLOOKUP($I371,CPI!$A$1:$B$122,2,FALSE)/1000,2)*1000</f>
        <v>230</v>
      </c>
      <c r="T371" s="232" t="s">
        <v>331</v>
      </c>
      <c r="U371" s="232" t="s">
        <v>248</v>
      </c>
      <c r="V371" s="232"/>
      <c r="W371" s="256" t="e">
        <f>SUM(((X371/SUM(X371:AB371))*5),((Y371/SUM(X371:AB371))*4),((Z371/SUM(X371:AB371))*3),((AA371/SUM(X371:AB371))*2),((AB371/SUM(X371:AB371)*1)))</f>
        <v>#DIV/0!</v>
      </c>
      <c r="X371" s="257"/>
      <c r="Y371" s="257"/>
      <c r="Z371" s="257"/>
      <c r="AA371" s="257"/>
      <c r="AB371" s="257"/>
      <c r="AC371" s="250">
        <f t="shared" si="40"/>
        <v>1987</v>
      </c>
      <c r="AH371" s="43"/>
      <c r="AI371" s="43"/>
      <c r="AJ371" s="43"/>
    </row>
    <row r="372" spans="2:36" ht="13.5" customHeight="1">
      <c r="B372" s="69">
        <v>1</v>
      </c>
      <c r="C372" s="69">
        <v>370</v>
      </c>
      <c r="D372" s="233" t="s">
        <v>699</v>
      </c>
      <c r="E372" s="233" t="s">
        <v>1443</v>
      </c>
      <c r="F372" s="232" t="s">
        <v>277</v>
      </c>
      <c r="G372" s="232" t="s">
        <v>200</v>
      </c>
      <c r="H372" s="232" t="s">
        <v>371</v>
      </c>
      <c r="I372" s="232">
        <v>1989</v>
      </c>
      <c r="J372" s="232"/>
      <c r="K372" s="134">
        <f t="shared" si="39"/>
        <v>30</v>
      </c>
      <c r="L372" s="232">
        <v>2015</v>
      </c>
      <c r="M372" s="234">
        <v>63786</v>
      </c>
      <c r="N372" s="235">
        <f>245*3.28084</f>
        <v>803.80579999999998</v>
      </c>
      <c r="O372" s="235">
        <v>34</v>
      </c>
      <c r="P372" s="235">
        <v>1546</v>
      </c>
      <c r="Q372" s="235">
        <v>210</v>
      </c>
      <c r="R372" s="235">
        <f>Q372/P372*1000</f>
        <v>135.83441138421733</v>
      </c>
      <c r="S372" s="235">
        <f>ROUND(R372*CPI!$B$120/VLOOKUP($I372,CPI!$A$1:$B$122,2,FALSE)/1000,2)*1000</f>
        <v>270</v>
      </c>
      <c r="T372" s="232" t="s">
        <v>241</v>
      </c>
      <c r="U372" s="232" t="s">
        <v>248</v>
      </c>
      <c r="V372" s="232"/>
      <c r="W372" s="256" t="e">
        <f>SUM(((X372/SUM(X372:AB372))*5),((Y372/SUM(X372:AB372))*4),((Z372/SUM(X372:AB372))*3),((AA372/SUM(X372:AB372))*2),((AB372/SUM(X372:AB372)*1)))</f>
        <v>#DIV/0!</v>
      </c>
      <c r="X372" s="257"/>
      <c r="Y372" s="257"/>
      <c r="Z372" s="257"/>
      <c r="AA372" s="257"/>
      <c r="AB372" s="257"/>
      <c r="AC372" s="250">
        <f t="shared" si="40"/>
        <v>1989</v>
      </c>
      <c r="AH372" s="43"/>
      <c r="AI372" s="43"/>
      <c r="AJ372" s="43"/>
    </row>
    <row r="373" spans="2:36" ht="13.5" customHeight="1">
      <c r="B373" s="69">
        <v>1</v>
      </c>
      <c r="C373" s="69">
        <v>371</v>
      </c>
      <c r="D373" s="236" t="s">
        <v>523</v>
      </c>
      <c r="E373" s="236" t="s">
        <v>1444</v>
      </c>
      <c r="F373" s="232" t="s">
        <v>277</v>
      </c>
      <c r="G373" s="232" t="s">
        <v>200</v>
      </c>
      <c r="H373" s="232" t="s">
        <v>528</v>
      </c>
      <c r="I373" s="232">
        <v>1973</v>
      </c>
      <c r="J373" s="232"/>
      <c r="K373" s="134">
        <f t="shared" si="39"/>
        <v>46</v>
      </c>
      <c r="L373" s="232">
        <v>2013</v>
      </c>
      <c r="M373" s="234">
        <v>28518</v>
      </c>
      <c r="N373" s="235">
        <f>205*3.28084</f>
        <v>672.57219999999995</v>
      </c>
      <c r="O373" s="235">
        <v>35</v>
      </c>
      <c r="P373" s="235">
        <v>812</v>
      </c>
      <c r="Q373" s="235"/>
      <c r="R373" s="235"/>
      <c r="S373" s="235"/>
      <c r="T373" s="232" t="s">
        <v>526</v>
      </c>
      <c r="U373" s="232" t="s">
        <v>248</v>
      </c>
      <c r="V373" s="232"/>
      <c r="W373" s="256">
        <v>4.0999999999999996</v>
      </c>
      <c r="X373" s="257"/>
      <c r="Y373" s="257"/>
      <c r="Z373" s="257"/>
      <c r="AA373" s="257"/>
      <c r="AB373" s="257"/>
      <c r="AC373" s="250">
        <f t="shared" si="40"/>
        <v>1973</v>
      </c>
      <c r="AH373" s="43"/>
      <c r="AI373" s="43"/>
      <c r="AJ373" s="43"/>
    </row>
    <row r="374" spans="2:36" ht="13.5" customHeight="1">
      <c r="B374" s="69">
        <v>1</v>
      </c>
      <c r="C374" s="69">
        <v>372</v>
      </c>
      <c r="D374" s="236" t="s">
        <v>306</v>
      </c>
      <c r="E374" s="236" t="s">
        <v>1445</v>
      </c>
      <c r="F374" s="232" t="s">
        <v>277</v>
      </c>
      <c r="G374" s="232" t="s">
        <v>200</v>
      </c>
      <c r="H374" s="232" t="s">
        <v>528</v>
      </c>
      <c r="I374" s="232">
        <v>1984</v>
      </c>
      <c r="J374" s="232"/>
      <c r="K374" s="134">
        <f t="shared" si="39"/>
        <v>35</v>
      </c>
      <c r="L374" s="232">
        <v>2014</v>
      </c>
      <c r="M374" s="234">
        <v>44656</v>
      </c>
      <c r="N374" s="235">
        <f>230*3.28084</f>
        <v>754.59320000000002</v>
      </c>
      <c r="O374" s="235">
        <v>37</v>
      </c>
      <c r="P374" s="235">
        <v>1188</v>
      </c>
      <c r="Q374" s="235">
        <v>165</v>
      </c>
      <c r="R374" s="235">
        <v>100</v>
      </c>
      <c r="S374" s="235">
        <f>ROUND(R374*CPI!$B$120/VLOOKUP($I374,CPI!$A$1:$B$122,2,FALSE)/1000,2)*1000</f>
        <v>240</v>
      </c>
      <c r="T374" s="232" t="s">
        <v>526</v>
      </c>
      <c r="U374" s="232" t="s">
        <v>248</v>
      </c>
      <c r="V374" s="232"/>
      <c r="W374" s="256">
        <v>4.3</v>
      </c>
      <c r="X374" s="257"/>
      <c r="Y374" s="257"/>
      <c r="Z374" s="257"/>
      <c r="AA374" s="257"/>
      <c r="AB374" s="257"/>
      <c r="AC374" s="250">
        <f t="shared" si="40"/>
        <v>1984</v>
      </c>
      <c r="AH374" s="43"/>
      <c r="AI374" s="43"/>
      <c r="AJ374" s="43"/>
    </row>
    <row r="375" spans="2:36" ht="13.5" customHeight="1">
      <c r="B375" s="69">
        <v>1</v>
      </c>
      <c r="C375" s="69">
        <v>373</v>
      </c>
      <c r="D375" s="236" t="s">
        <v>524</v>
      </c>
      <c r="E375" s="236" t="s">
        <v>1446</v>
      </c>
      <c r="F375" s="232" t="s">
        <v>277</v>
      </c>
      <c r="G375" s="232" t="s">
        <v>200</v>
      </c>
      <c r="H375" s="232" t="s">
        <v>528</v>
      </c>
      <c r="I375" s="232">
        <v>1991</v>
      </c>
      <c r="J375" s="232"/>
      <c r="K375" s="134">
        <f t="shared" si="39"/>
        <v>28</v>
      </c>
      <c r="L375" s="232">
        <v>2013</v>
      </c>
      <c r="M375" s="234">
        <v>29008</v>
      </c>
      <c r="N375" s="235">
        <f>192*3.28084</f>
        <v>629.92128000000002</v>
      </c>
      <c r="O375" s="235">
        <v>46</v>
      </c>
      <c r="P375" s="235">
        <v>508</v>
      </c>
      <c r="Q375" s="235"/>
      <c r="R375" s="235"/>
      <c r="S375" s="235"/>
      <c r="T375" s="232" t="s">
        <v>527</v>
      </c>
      <c r="U375" s="232" t="s">
        <v>248</v>
      </c>
      <c r="V375" s="232"/>
      <c r="W375" s="256">
        <v>4.2</v>
      </c>
      <c r="X375" s="257"/>
      <c r="Y375" s="257"/>
      <c r="Z375" s="257"/>
      <c r="AA375" s="257"/>
      <c r="AB375" s="257"/>
      <c r="AC375" s="250">
        <f t="shared" si="40"/>
        <v>1991</v>
      </c>
      <c r="AH375" s="43"/>
      <c r="AI375" s="43"/>
      <c r="AJ375" s="43"/>
    </row>
    <row r="376" spans="2:36" ht="13.5" customHeight="1">
      <c r="B376" s="69">
        <v>1</v>
      </c>
      <c r="C376" s="69">
        <v>374</v>
      </c>
      <c r="D376" s="236" t="s">
        <v>525</v>
      </c>
      <c r="E376" s="296" t="s">
        <v>1490</v>
      </c>
      <c r="F376" s="232" t="s">
        <v>277</v>
      </c>
      <c r="G376" s="232" t="s">
        <v>200</v>
      </c>
      <c r="H376" s="232" t="s">
        <v>528</v>
      </c>
      <c r="I376" s="232">
        <v>1998</v>
      </c>
      <c r="J376" s="232"/>
      <c r="K376" s="134">
        <f t="shared" si="39"/>
        <v>21</v>
      </c>
      <c r="L376" s="232">
        <v>2016</v>
      </c>
      <c r="M376" s="234">
        <v>22496</v>
      </c>
      <c r="N376" s="235">
        <f>175*3.28084</f>
        <v>574.14700000000005</v>
      </c>
      <c r="O376" s="235">
        <v>37</v>
      </c>
      <c r="P376" s="235">
        <v>520</v>
      </c>
      <c r="Q376" s="235">
        <v>125</v>
      </c>
      <c r="R376" s="235">
        <v>100</v>
      </c>
      <c r="S376" s="235">
        <f>ROUND(R376*CPI!$B$120/VLOOKUP($I376,CPI!$A$1:$B$122,2,FALSE)/1000,2)*1000</f>
        <v>150</v>
      </c>
      <c r="T376" s="232" t="s">
        <v>331</v>
      </c>
      <c r="U376" s="232" t="s">
        <v>248</v>
      </c>
      <c r="V376" s="232"/>
      <c r="W376" s="256">
        <v>4.4000000000000004</v>
      </c>
      <c r="X376" s="257"/>
      <c r="Y376" s="257"/>
      <c r="Z376" s="257"/>
      <c r="AA376" s="257"/>
      <c r="AB376" s="257"/>
      <c r="AC376" s="250">
        <f t="shared" si="40"/>
        <v>1998</v>
      </c>
      <c r="AH376" s="43"/>
      <c r="AI376" s="43"/>
      <c r="AJ376" s="43"/>
    </row>
    <row r="377" spans="2:36" ht="13.5" customHeight="1">
      <c r="B377" s="69">
        <v>1</v>
      </c>
      <c r="C377" s="69">
        <v>375</v>
      </c>
      <c r="D377" s="236" t="s">
        <v>983</v>
      </c>
      <c r="E377" s="236" t="s">
        <v>1447</v>
      </c>
      <c r="F377" s="232" t="s">
        <v>277</v>
      </c>
      <c r="G377" s="232" t="s">
        <v>200</v>
      </c>
      <c r="H377" s="232" t="s">
        <v>427</v>
      </c>
      <c r="I377" s="232">
        <v>1988</v>
      </c>
      <c r="J377" s="232"/>
      <c r="K377" s="134">
        <f t="shared" si="39"/>
        <v>31</v>
      </c>
      <c r="L377" s="232">
        <v>2014</v>
      </c>
      <c r="M377" s="234">
        <v>43537</v>
      </c>
      <c r="N377" s="235">
        <v>614</v>
      </c>
      <c r="O377" s="235">
        <v>29</v>
      </c>
      <c r="P377" s="235">
        <v>1350</v>
      </c>
      <c r="Q377" s="235">
        <v>180</v>
      </c>
      <c r="R377" s="235">
        <f t="shared" ref="R377:R404" si="41">Q377/P377*1000</f>
        <v>133.33333333333334</v>
      </c>
      <c r="S377" s="235">
        <f>ROUND(R377*CPI!$B$120/VLOOKUP($I377,CPI!$A$1:$B$122,2,FALSE)/1000,2)*1000</f>
        <v>280</v>
      </c>
      <c r="T377" s="232" t="s">
        <v>228</v>
      </c>
      <c r="U377" s="232" t="s">
        <v>248</v>
      </c>
      <c r="V377" s="232"/>
      <c r="W377" s="256"/>
      <c r="X377" s="257"/>
      <c r="Y377" s="257"/>
      <c r="Z377" s="257"/>
      <c r="AA377" s="257"/>
      <c r="AB377" s="257"/>
      <c r="AC377" s="250">
        <f t="shared" si="40"/>
        <v>1988</v>
      </c>
      <c r="AH377" s="43"/>
      <c r="AI377" s="43"/>
      <c r="AJ377" s="43"/>
    </row>
    <row r="378" spans="2:36" ht="13.5" customHeight="1">
      <c r="B378" s="69">
        <v>1</v>
      </c>
      <c r="C378" s="69">
        <v>376</v>
      </c>
      <c r="D378" s="236" t="s">
        <v>984</v>
      </c>
      <c r="E378" s="236" t="s">
        <v>1448</v>
      </c>
      <c r="F378" s="232" t="s">
        <v>277</v>
      </c>
      <c r="G378" s="232" t="s">
        <v>200</v>
      </c>
      <c r="H378" s="232" t="s">
        <v>427</v>
      </c>
      <c r="I378" s="232">
        <v>1973</v>
      </c>
      <c r="J378" s="232"/>
      <c r="K378" s="134">
        <f t="shared" si="39"/>
        <v>46</v>
      </c>
      <c r="L378" s="232">
        <v>2018</v>
      </c>
      <c r="M378" s="234">
        <v>28551</v>
      </c>
      <c r="N378" s="235">
        <v>676</v>
      </c>
      <c r="O378" s="235">
        <v>32</v>
      </c>
      <c r="P378" s="235">
        <v>880</v>
      </c>
      <c r="Q378" s="235">
        <v>25</v>
      </c>
      <c r="R378" s="235">
        <f t="shared" si="41"/>
        <v>28.409090909090907</v>
      </c>
      <c r="S378" s="235">
        <f>ROUND(R378*CPI!$B$120/VLOOKUP($I378,CPI!$A$1:$B$122,2,FALSE)/1000,2)*1000</f>
        <v>150</v>
      </c>
      <c r="T378" s="232" t="s">
        <v>526</v>
      </c>
      <c r="U378" s="232" t="s">
        <v>248</v>
      </c>
      <c r="V378" s="232"/>
      <c r="W378" s="256"/>
      <c r="X378" s="257"/>
      <c r="Y378" s="257"/>
      <c r="Z378" s="257"/>
      <c r="AA378" s="257"/>
      <c r="AB378" s="257"/>
      <c r="AC378" s="250">
        <f t="shared" si="40"/>
        <v>1973</v>
      </c>
      <c r="AH378" s="43"/>
      <c r="AI378" s="43"/>
      <c r="AJ378" s="43"/>
    </row>
    <row r="379" spans="2:36" ht="13.5" customHeight="1">
      <c r="B379" s="69">
        <v>1</v>
      </c>
      <c r="C379" s="69">
        <v>377</v>
      </c>
      <c r="D379" s="236" t="s">
        <v>985</v>
      </c>
      <c r="E379" s="236" t="s">
        <v>1449</v>
      </c>
      <c r="F379" s="232" t="s">
        <v>277</v>
      </c>
      <c r="G379" s="232" t="s">
        <v>200</v>
      </c>
      <c r="H379" s="232" t="s">
        <v>427</v>
      </c>
      <c r="I379" s="232">
        <v>1972</v>
      </c>
      <c r="J379" s="232"/>
      <c r="K379" s="134">
        <f t="shared" si="39"/>
        <v>47</v>
      </c>
      <c r="L379" s="232">
        <v>2018</v>
      </c>
      <c r="M379" s="234">
        <v>28613</v>
      </c>
      <c r="N379" s="235">
        <v>673</v>
      </c>
      <c r="O379" s="235">
        <v>33</v>
      </c>
      <c r="P379" s="235">
        <v>804</v>
      </c>
      <c r="Q379" s="235">
        <v>50</v>
      </c>
      <c r="R379" s="235">
        <f t="shared" si="41"/>
        <v>62.189054726368163</v>
      </c>
      <c r="S379" s="235">
        <f>ROUND(R379*CPI!$B$120/VLOOKUP($I379,CPI!$A$1:$B$122,2,FALSE)/1000,2)*1000</f>
        <v>370</v>
      </c>
      <c r="T379" s="232" t="s">
        <v>526</v>
      </c>
      <c r="U379" s="232" t="s">
        <v>248</v>
      </c>
      <c r="V379" s="232"/>
      <c r="W379" s="256"/>
      <c r="X379" s="257"/>
      <c r="Y379" s="257"/>
      <c r="Z379" s="257"/>
      <c r="AA379" s="257"/>
      <c r="AB379" s="257"/>
      <c r="AC379" s="250">
        <f t="shared" si="40"/>
        <v>1972</v>
      </c>
      <c r="AH379" s="43"/>
      <c r="AI379" s="43"/>
      <c r="AJ379" s="43"/>
    </row>
    <row r="380" spans="2:36" ht="13.5" customHeight="1">
      <c r="B380" s="69">
        <v>1</v>
      </c>
      <c r="C380" s="69">
        <v>378</v>
      </c>
      <c r="D380" s="233" t="s">
        <v>977</v>
      </c>
      <c r="E380" s="233" t="s">
        <v>1450</v>
      </c>
      <c r="F380" s="232" t="s">
        <v>277</v>
      </c>
      <c r="G380" s="232" t="s">
        <v>200</v>
      </c>
      <c r="H380" s="232" t="s">
        <v>978</v>
      </c>
      <c r="I380" s="232">
        <v>1987</v>
      </c>
      <c r="J380" s="232"/>
      <c r="K380" s="134">
        <f t="shared" si="39"/>
        <v>32</v>
      </c>
      <c r="L380" s="232"/>
      <c r="M380" s="234">
        <v>47263</v>
      </c>
      <c r="N380" s="235">
        <v>732</v>
      </c>
      <c r="O380" s="235">
        <v>32</v>
      </c>
      <c r="P380" s="235">
        <v>1502</v>
      </c>
      <c r="Q380" s="235">
        <v>130</v>
      </c>
      <c r="R380" s="235">
        <f t="shared" si="41"/>
        <v>86.55126498002663</v>
      </c>
      <c r="S380" s="235">
        <f>ROUND(R380*CPI!$B$120/VLOOKUP($I380,CPI!$A$1:$B$122,2,FALSE)/1000,2)*1000</f>
        <v>190</v>
      </c>
      <c r="T380" s="232" t="s">
        <v>979</v>
      </c>
      <c r="U380" s="232" t="s">
        <v>330</v>
      </c>
      <c r="V380" s="232"/>
      <c r="W380" s="256"/>
      <c r="X380" s="257"/>
      <c r="Y380" s="257"/>
      <c r="Z380" s="257"/>
      <c r="AA380" s="257"/>
      <c r="AB380" s="257"/>
      <c r="AC380" s="250">
        <f t="shared" si="40"/>
        <v>1987</v>
      </c>
      <c r="AH380" s="43"/>
      <c r="AI380" s="43"/>
      <c r="AJ380" s="43"/>
    </row>
    <row r="381" spans="2:36" ht="13.5" customHeight="1">
      <c r="B381" s="69">
        <v>1</v>
      </c>
      <c r="C381" s="69">
        <v>379</v>
      </c>
      <c r="D381" s="236" t="s">
        <v>976</v>
      </c>
      <c r="E381" s="236" t="s">
        <v>1451</v>
      </c>
      <c r="F381" s="232" t="s">
        <v>277</v>
      </c>
      <c r="G381" s="232" t="s">
        <v>200</v>
      </c>
      <c r="H381" s="232" t="s">
        <v>978</v>
      </c>
      <c r="I381" s="232">
        <v>1991</v>
      </c>
      <c r="J381" s="232"/>
      <c r="K381" s="134">
        <f t="shared" si="39"/>
        <v>28</v>
      </c>
      <c r="L381" s="232">
        <v>2017</v>
      </c>
      <c r="M381" s="234">
        <v>52926</v>
      </c>
      <c r="N381" s="235">
        <f>220*3.28084</f>
        <v>721.78480000000002</v>
      </c>
      <c r="O381" s="235">
        <v>34</v>
      </c>
      <c r="P381" s="235">
        <v>1308</v>
      </c>
      <c r="Q381" s="235">
        <v>335</v>
      </c>
      <c r="R381" s="235">
        <f t="shared" si="41"/>
        <v>256.11620795107029</v>
      </c>
      <c r="S381" s="235">
        <f>ROUND(R381*CPI!$B$120/VLOOKUP($I381,CPI!$A$1:$B$122,2,FALSE)/1000,2)*1000</f>
        <v>460</v>
      </c>
      <c r="T381" s="232" t="s">
        <v>212</v>
      </c>
      <c r="U381" s="232" t="s">
        <v>256</v>
      </c>
      <c r="V381" s="232"/>
      <c r="W381" s="256"/>
      <c r="X381" s="257"/>
      <c r="Y381" s="257"/>
      <c r="Z381" s="257"/>
      <c r="AA381" s="257"/>
      <c r="AB381" s="257"/>
      <c r="AC381" s="250">
        <f t="shared" si="40"/>
        <v>1991</v>
      </c>
      <c r="AH381" s="43"/>
      <c r="AI381" s="43"/>
      <c r="AJ381" s="43"/>
    </row>
    <row r="382" spans="2:36" ht="13.5" customHeight="1">
      <c r="B382" s="69">
        <v>1</v>
      </c>
      <c r="C382" s="69">
        <v>380</v>
      </c>
      <c r="D382" s="233" t="s">
        <v>1023</v>
      </c>
      <c r="E382" s="233" t="s">
        <v>1452</v>
      </c>
      <c r="F382" s="232" t="s">
        <v>277</v>
      </c>
      <c r="G382" s="232" t="s">
        <v>201</v>
      </c>
      <c r="H382" s="232" t="s">
        <v>424</v>
      </c>
      <c r="I382" s="232">
        <v>1991</v>
      </c>
      <c r="J382" s="232"/>
      <c r="K382" s="134">
        <f t="shared" si="39"/>
        <v>28</v>
      </c>
      <c r="L382" s="232">
        <v>2018</v>
      </c>
      <c r="M382" s="234">
        <v>2298</v>
      </c>
      <c r="N382" s="235">
        <v>364</v>
      </c>
      <c r="O382" s="235">
        <v>14</v>
      </c>
      <c r="P382" s="235">
        <v>170</v>
      </c>
      <c r="Q382" s="235">
        <v>35</v>
      </c>
      <c r="R382" s="235">
        <f t="shared" si="41"/>
        <v>205.88235294117646</v>
      </c>
      <c r="S382" s="235">
        <f>ROUND(R382*CPI!$B$120/VLOOKUP($I382,CPI!$A$1:$B$140,2,FALSE)/1000,2)*1000</f>
        <v>370</v>
      </c>
      <c r="T382" s="232" t="s">
        <v>1025</v>
      </c>
      <c r="U382" s="232" t="s">
        <v>248</v>
      </c>
      <c r="V382" s="232"/>
      <c r="W382" s="256"/>
      <c r="X382" s="257"/>
      <c r="Y382" s="257"/>
      <c r="Z382" s="257"/>
      <c r="AA382" s="257"/>
      <c r="AB382" s="257"/>
      <c r="AC382" s="250">
        <f t="shared" si="40"/>
        <v>1991</v>
      </c>
      <c r="AH382" s="43"/>
      <c r="AI382" s="43"/>
      <c r="AJ382" s="43"/>
    </row>
    <row r="383" spans="2:36" ht="13.5" customHeight="1">
      <c r="B383" s="69">
        <v>1</v>
      </c>
      <c r="C383" s="69">
        <v>381</v>
      </c>
      <c r="D383" s="233" t="s">
        <v>1024</v>
      </c>
      <c r="E383" s="233" t="s">
        <v>1453</v>
      </c>
      <c r="F383" s="232" t="s">
        <v>277</v>
      </c>
      <c r="G383" s="232" t="s">
        <v>201</v>
      </c>
      <c r="H383" s="232" t="s">
        <v>424</v>
      </c>
      <c r="I383" s="232">
        <v>2000</v>
      </c>
      <c r="J383" s="232"/>
      <c r="K383" s="134">
        <f t="shared" ref="K383:K417" si="42">IF(ISNUMBER(AC383),$K$1-AC383+1,"")</f>
        <v>19</v>
      </c>
      <c r="L383" s="232">
        <v>2017</v>
      </c>
      <c r="M383" s="234">
        <v>4425</v>
      </c>
      <c r="N383" s="235">
        <v>436</v>
      </c>
      <c r="O383" s="235">
        <v>22</v>
      </c>
      <c r="P383" s="235">
        <v>224</v>
      </c>
      <c r="Q383" s="235">
        <v>70</v>
      </c>
      <c r="R383" s="235">
        <f t="shared" si="41"/>
        <v>312.5</v>
      </c>
      <c r="S383" s="235">
        <f>ROUND(R383*CPI!$B$120/VLOOKUP($I383,CPI!$A$1:$B$140,2,FALSE)/1000,2)*1000</f>
        <v>450</v>
      </c>
      <c r="T383" s="232" t="s">
        <v>1026</v>
      </c>
      <c r="U383" s="232" t="s">
        <v>248</v>
      </c>
      <c r="V383" s="232"/>
      <c r="W383" s="256"/>
      <c r="X383" s="257"/>
      <c r="Y383" s="257"/>
      <c r="Z383" s="257"/>
      <c r="AA383" s="257"/>
      <c r="AB383" s="257"/>
      <c r="AC383" s="250">
        <f t="shared" ref="AC383:AC417" si="43">IF(I383&lt;=$K$1,I383,"")</f>
        <v>2000</v>
      </c>
      <c r="AH383" s="43"/>
      <c r="AI383" s="43"/>
      <c r="AJ383" s="43"/>
    </row>
    <row r="384" spans="2:36" ht="13.5" customHeight="1">
      <c r="B384" s="69">
        <v>1</v>
      </c>
      <c r="C384" s="69">
        <v>382</v>
      </c>
      <c r="D384" s="233" t="s">
        <v>843</v>
      </c>
      <c r="E384" s="233" t="s">
        <v>1454</v>
      </c>
      <c r="F384" s="232" t="s">
        <v>277</v>
      </c>
      <c r="G384" s="232" t="s">
        <v>201</v>
      </c>
      <c r="H384" s="232" t="s">
        <v>424</v>
      </c>
      <c r="I384" s="232">
        <v>1992</v>
      </c>
      <c r="J384" s="232"/>
      <c r="K384" s="134">
        <f t="shared" si="42"/>
        <v>27</v>
      </c>
      <c r="L384" s="232">
        <v>2014</v>
      </c>
      <c r="M384" s="234">
        <v>2298</v>
      </c>
      <c r="N384" s="235">
        <v>364</v>
      </c>
      <c r="O384" s="235">
        <v>14</v>
      </c>
      <c r="P384" s="235">
        <v>170</v>
      </c>
      <c r="Q384" s="235">
        <v>35</v>
      </c>
      <c r="R384" s="235">
        <f t="shared" si="41"/>
        <v>205.88235294117646</v>
      </c>
      <c r="S384" s="235">
        <f>ROUND(R384*CPI!$B$120/VLOOKUP($I384,CPI!$A$1:$B$140,2,FALSE)/1000,2)*1000</f>
        <v>360</v>
      </c>
      <c r="T384" s="232" t="s">
        <v>1025</v>
      </c>
      <c r="U384" s="232" t="s">
        <v>248</v>
      </c>
      <c r="V384" s="232"/>
      <c r="W384" s="256"/>
      <c r="X384" s="257"/>
      <c r="Y384" s="257"/>
      <c r="Z384" s="257"/>
      <c r="AA384" s="257"/>
      <c r="AB384" s="257"/>
      <c r="AC384" s="250">
        <f t="shared" si="43"/>
        <v>1992</v>
      </c>
      <c r="AH384" s="43"/>
      <c r="AI384" s="43"/>
      <c r="AJ384" s="43"/>
    </row>
    <row r="385" spans="2:36" ht="13.5" customHeight="1">
      <c r="B385" s="69">
        <v>1</v>
      </c>
      <c r="C385" s="69">
        <v>383</v>
      </c>
      <c r="D385" s="249" t="s">
        <v>842</v>
      </c>
      <c r="E385" s="249" t="s">
        <v>1455</v>
      </c>
      <c r="F385" s="250" t="s">
        <v>277</v>
      </c>
      <c r="G385" s="250" t="s">
        <v>201</v>
      </c>
      <c r="H385" s="250" t="s">
        <v>424</v>
      </c>
      <c r="I385" s="250">
        <v>2018</v>
      </c>
      <c r="J385" s="250" t="s">
        <v>1050</v>
      </c>
      <c r="K385" s="134">
        <f t="shared" si="42"/>
        <v>1</v>
      </c>
      <c r="L385" s="250"/>
      <c r="M385" s="251">
        <v>8770</v>
      </c>
      <c r="N385" s="252"/>
      <c r="O385" s="252">
        <f>M385/P385</f>
        <v>29.233333333333334</v>
      </c>
      <c r="P385" s="252">
        <v>300</v>
      </c>
      <c r="Q385" s="252">
        <v>100</v>
      </c>
      <c r="R385" s="252">
        <f t="shared" si="41"/>
        <v>333.33333333333331</v>
      </c>
      <c r="S385" s="252">
        <f>ROUND(R385*CPI!$B$120/VLOOKUP($I385,CPI!$A$1:$B$140,2,FALSE)/1000,2)*1000</f>
        <v>330</v>
      </c>
      <c r="T385" s="250" t="s">
        <v>844</v>
      </c>
      <c r="U385" s="250" t="s">
        <v>248</v>
      </c>
      <c r="V385" s="250"/>
      <c r="W385" s="256"/>
      <c r="X385" s="257"/>
      <c r="Y385" s="257"/>
      <c r="Z385" s="257"/>
      <c r="AA385" s="257"/>
      <c r="AB385" s="257"/>
      <c r="AC385" s="250">
        <f t="shared" si="43"/>
        <v>2018</v>
      </c>
      <c r="AH385" s="43"/>
      <c r="AI385" s="43"/>
      <c r="AJ385" s="43"/>
    </row>
    <row r="386" spans="2:36" ht="13.5" customHeight="1">
      <c r="B386" s="69">
        <v>1</v>
      </c>
      <c r="C386" s="69">
        <v>384</v>
      </c>
      <c r="D386" s="233" t="s">
        <v>783</v>
      </c>
      <c r="E386" s="233" t="s">
        <v>1456</v>
      </c>
      <c r="F386" s="232" t="s">
        <v>277</v>
      </c>
      <c r="G386" s="232" t="s">
        <v>201</v>
      </c>
      <c r="H386" s="232" t="s">
        <v>420</v>
      </c>
      <c r="I386" s="232">
        <v>1981</v>
      </c>
      <c r="J386" s="232"/>
      <c r="K386" s="134">
        <f t="shared" si="42"/>
        <v>38</v>
      </c>
      <c r="L386" s="232">
        <v>2012</v>
      </c>
      <c r="M386" s="234">
        <v>18627</v>
      </c>
      <c r="N386" s="235">
        <v>538</v>
      </c>
      <c r="O386" s="235">
        <v>36</v>
      </c>
      <c r="P386" s="235">
        <v>506</v>
      </c>
      <c r="Q386" s="235">
        <v>55</v>
      </c>
      <c r="R386" s="235">
        <f t="shared" si="41"/>
        <v>108.69565217391305</v>
      </c>
      <c r="S386" s="235">
        <f>ROUND(R386*CPI!$B$120/VLOOKUP($I386,CPI!$A$1:$B$140,2,FALSE)/1000,2)*1000</f>
        <v>290</v>
      </c>
      <c r="T386" s="232" t="s">
        <v>331</v>
      </c>
      <c r="U386" s="232" t="s">
        <v>248</v>
      </c>
      <c r="V386" s="232"/>
      <c r="W386" s="256" t="e">
        <f>SUM(((X386/SUM(X386:AB386))*5),((Y386/SUM(X386:AB386))*4),((Z386/SUM(X386:AB386))*3),((AA386/SUM(X386:AB386))*2),((AB386/SUM(X386:AB386)*1)))</f>
        <v>#DIV/0!</v>
      </c>
      <c r="X386" s="257"/>
      <c r="Y386" s="257"/>
      <c r="Z386" s="257"/>
      <c r="AA386" s="257"/>
      <c r="AB386" s="257"/>
      <c r="AC386" s="250">
        <f t="shared" si="43"/>
        <v>1981</v>
      </c>
      <c r="AH386" s="43"/>
      <c r="AI386" s="43"/>
      <c r="AJ386" s="43"/>
    </row>
    <row r="387" spans="2:36" ht="13.5" customHeight="1">
      <c r="B387" s="69">
        <v>1</v>
      </c>
      <c r="C387" s="69">
        <v>385</v>
      </c>
      <c r="D387" s="233" t="s">
        <v>784</v>
      </c>
      <c r="E387" s="233" t="s">
        <v>1457</v>
      </c>
      <c r="F387" s="232" t="s">
        <v>277</v>
      </c>
      <c r="G387" s="232" t="s">
        <v>201</v>
      </c>
      <c r="H387" s="232" t="s">
        <v>420</v>
      </c>
      <c r="I387" s="232">
        <v>1981</v>
      </c>
      <c r="J387" s="232"/>
      <c r="K387" s="134">
        <f t="shared" si="42"/>
        <v>38</v>
      </c>
      <c r="L387" s="232">
        <v>2014</v>
      </c>
      <c r="M387" s="234">
        <v>37049</v>
      </c>
      <c r="N387" s="235">
        <v>653</v>
      </c>
      <c r="O387" s="235">
        <v>45</v>
      </c>
      <c r="P387" s="235">
        <v>748</v>
      </c>
      <c r="Q387" s="235">
        <v>120</v>
      </c>
      <c r="R387" s="235">
        <f t="shared" si="41"/>
        <v>160.42780748663102</v>
      </c>
      <c r="S387" s="235">
        <f>ROUND(R387*CPI!$B$120/VLOOKUP($I387,CPI!$A$1:$B$140,2,FALSE)/1000,2)*1000</f>
        <v>430</v>
      </c>
      <c r="T387" s="232" t="s">
        <v>785</v>
      </c>
      <c r="U387" s="232" t="s">
        <v>248</v>
      </c>
      <c r="V387" s="232"/>
      <c r="W387" s="256" t="e">
        <f>SUM(((X387/SUM(X387:AB387))*5),((Y387/SUM(X387:AB387))*4),((Z387/SUM(X387:AB387))*3),((AA387/SUM(X387:AB387))*2),((AB387/SUM(X387:AB387)*1)))</f>
        <v>#DIV/0!</v>
      </c>
      <c r="X387" s="257"/>
      <c r="Y387" s="257"/>
      <c r="Z387" s="257"/>
      <c r="AA387" s="257"/>
      <c r="AB387" s="257"/>
      <c r="AC387" s="250">
        <f t="shared" si="43"/>
        <v>1981</v>
      </c>
      <c r="AH387" s="43"/>
      <c r="AI387" s="43"/>
      <c r="AJ387" s="43"/>
    </row>
    <row r="388" spans="2:36" ht="13.5" customHeight="1">
      <c r="B388" s="69">
        <v>1</v>
      </c>
      <c r="C388" s="69">
        <v>386</v>
      </c>
      <c r="D388" s="249" t="s">
        <v>809</v>
      </c>
      <c r="E388" s="249" t="s">
        <v>1458</v>
      </c>
      <c r="F388" s="250" t="s">
        <v>277</v>
      </c>
      <c r="G388" s="250" t="s">
        <v>201</v>
      </c>
      <c r="H388" s="250" t="s">
        <v>420</v>
      </c>
      <c r="I388" s="250">
        <v>2019</v>
      </c>
      <c r="J388" s="250" t="s">
        <v>1049</v>
      </c>
      <c r="K388" s="134" t="str">
        <f t="shared" si="42"/>
        <v/>
      </c>
      <c r="L388" s="250"/>
      <c r="M388" s="251">
        <v>58250</v>
      </c>
      <c r="N388" s="252"/>
      <c r="O388" s="252">
        <f>M388/P388</f>
        <v>58.25</v>
      </c>
      <c r="P388" s="252">
        <v>1000</v>
      </c>
      <c r="Q388" s="252">
        <v>350</v>
      </c>
      <c r="R388" s="252">
        <f t="shared" si="41"/>
        <v>350</v>
      </c>
      <c r="S388" s="252">
        <f>ROUND(R388*CPI!$B$120/VLOOKUP($I388,CPI!$A$1:$B$140,2,FALSE)/1000,2)*1000</f>
        <v>340</v>
      </c>
      <c r="T388" s="250" t="s">
        <v>228</v>
      </c>
      <c r="U388" s="250" t="s">
        <v>248</v>
      </c>
      <c r="V388" s="250"/>
      <c r="W388" s="256"/>
      <c r="X388" s="258"/>
      <c r="Y388" s="258"/>
      <c r="Z388" s="258"/>
      <c r="AA388" s="258"/>
      <c r="AB388" s="258"/>
      <c r="AC388" s="250" t="str">
        <f t="shared" si="43"/>
        <v/>
      </c>
      <c r="AH388" s="43"/>
      <c r="AI388" s="43"/>
      <c r="AJ388" s="43"/>
    </row>
    <row r="389" spans="2:36" ht="13.5" customHeight="1">
      <c r="B389" s="69">
        <v>1</v>
      </c>
      <c r="C389" s="69">
        <v>387</v>
      </c>
      <c r="D389" s="249" t="s">
        <v>942</v>
      </c>
      <c r="E389" s="249" t="s">
        <v>1459</v>
      </c>
      <c r="F389" s="250" t="s">
        <v>277</v>
      </c>
      <c r="G389" s="250" t="s">
        <v>201</v>
      </c>
      <c r="H389" s="250" t="s">
        <v>420</v>
      </c>
      <c r="I389" s="250">
        <v>2020</v>
      </c>
      <c r="J389" s="250" t="s">
        <v>1049</v>
      </c>
      <c r="K389" s="134" t="str">
        <f t="shared" si="42"/>
        <v/>
      </c>
      <c r="L389" s="250"/>
      <c r="M389" s="251">
        <v>58250</v>
      </c>
      <c r="N389" s="252"/>
      <c r="O389" s="252">
        <f>M389/P389</f>
        <v>58.25</v>
      </c>
      <c r="P389" s="252">
        <v>1000</v>
      </c>
      <c r="Q389" s="252">
        <v>350</v>
      </c>
      <c r="R389" s="252">
        <f t="shared" si="41"/>
        <v>350</v>
      </c>
      <c r="S389" s="252">
        <f>ROUND(R389*CPI!$B$120/VLOOKUP($I389,CPI!$A$1:$B$140,2,FALSE)/1000,2)*1000</f>
        <v>340</v>
      </c>
      <c r="T389" s="250" t="s">
        <v>228</v>
      </c>
      <c r="U389" s="250" t="s">
        <v>248</v>
      </c>
      <c r="V389" s="250"/>
      <c r="W389" s="256"/>
      <c r="X389" s="258"/>
      <c r="Y389" s="258"/>
      <c r="Z389" s="258"/>
      <c r="AA389" s="258"/>
      <c r="AB389" s="258"/>
      <c r="AC389" s="250" t="str">
        <f t="shared" si="43"/>
        <v/>
      </c>
      <c r="AH389" s="43"/>
      <c r="AI389" s="43"/>
      <c r="AJ389" s="43"/>
    </row>
    <row r="390" spans="2:36" ht="13.5" customHeight="1">
      <c r="B390" s="69">
        <v>1</v>
      </c>
      <c r="C390" s="69">
        <v>388</v>
      </c>
      <c r="D390" s="233" t="s">
        <v>996</v>
      </c>
      <c r="E390" s="233" t="s">
        <v>1460</v>
      </c>
      <c r="F390" s="232" t="s">
        <v>277</v>
      </c>
      <c r="G390" s="232" t="s">
        <v>202</v>
      </c>
      <c r="H390" s="232" t="s">
        <v>454</v>
      </c>
      <c r="I390" s="232">
        <v>1992</v>
      </c>
      <c r="J390" s="232"/>
      <c r="K390" s="134">
        <f t="shared" si="42"/>
        <v>27</v>
      </c>
      <c r="L390" s="232"/>
      <c r="M390" s="234">
        <v>9961</v>
      </c>
      <c r="N390" s="235">
        <v>443</v>
      </c>
      <c r="O390" s="235">
        <v>39</v>
      </c>
      <c r="P390" s="235">
        <v>212</v>
      </c>
      <c r="Q390" s="235">
        <v>87</v>
      </c>
      <c r="R390" s="235">
        <f t="shared" si="41"/>
        <v>410.37735849056605</v>
      </c>
      <c r="S390" s="235">
        <f>ROUND(R390*CPI!$B$120/VLOOKUP($I390,CPI!$A$1:$B$140,2,FALSE)/1000,2)*1000</f>
        <v>720</v>
      </c>
      <c r="T390" s="232" t="s">
        <v>1002</v>
      </c>
      <c r="U390" s="232" t="s">
        <v>1003</v>
      </c>
      <c r="V390" s="232"/>
      <c r="W390" s="256"/>
      <c r="X390" s="257"/>
      <c r="Y390" s="257"/>
      <c r="Z390" s="257"/>
      <c r="AA390" s="257"/>
      <c r="AB390" s="257"/>
      <c r="AC390" s="250">
        <f t="shared" si="43"/>
        <v>1992</v>
      </c>
      <c r="AH390" s="43"/>
      <c r="AI390" s="43"/>
      <c r="AJ390" s="43"/>
    </row>
    <row r="391" spans="2:36" ht="13.5" customHeight="1">
      <c r="B391" s="69">
        <v>1</v>
      </c>
      <c r="C391" s="69">
        <v>389</v>
      </c>
      <c r="D391" s="233" t="s">
        <v>997</v>
      </c>
      <c r="E391" s="233" t="s">
        <v>1461</v>
      </c>
      <c r="F391" s="232" t="s">
        <v>277</v>
      </c>
      <c r="G391" s="232" t="s">
        <v>202</v>
      </c>
      <c r="H391" s="232" t="s">
        <v>454</v>
      </c>
      <c r="I391" s="232">
        <v>1989</v>
      </c>
      <c r="J391" s="232"/>
      <c r="K391" s="134">
        <f t="shared" si="42"/>
        <v>30</v>
      </c>
      <c r="L391" s="232"/>
      <c r="M391" s="234">
        <v>9975</v>
      </c>
      <c r="N391" s="235">
        <v>440</v>
      </c>
      <c r="O391" s="235">
        <v>39</v>
      </c>
      <c r="P391" s="235">
        <v>212</v>
      </c>
      <c r="Q391" s="235">
        <v>87</v>
      </c>
      <c r="R391" s="235">
        <f t="shared" si="41"/>
        <v>410.37735849056605</v>
      </c>
      <c r="S391" s="235">
        <f>ROUND(R391*CPI!$B$120/VLOOKUP($I391,CPI!$A$1:$B$140,2,FALSE)/1000,2)*1000</f>
        <v>810</v>
      </c>
      <c r="T391" s="232" t="s">
        <v>1002</v>
      </c>
      <c r="U391" s="232" t="s">
        <v>1003</v>
      </c>
      <c r="V391" s="232"/>
      <c r="W391" s="256"/>
      <c r="X391" s="257"/>
      <c r="Y391" s="257"/>
      <c r="Z391" s="257"/>
      <c r="AA391" s="257"/>
      <c r="AB391" s="257"/>
      <c r="AC391" s="250">
        <f t="shared" si="43"/>
        <v>1989</v>
      </c>
      <c r="AH391" s="43"/>
      <c r="AI391" s="43"/>
      <c r="AJ391" s="43"/>
    </row>
    <row r="392" spans="2:36" ht="13.5" customHeight="1">
      <c r="B392" s="69">
        <v>1</v>
      </c>
      <c r="C392" s="69">
        <v>390</v>
      </c>
      <c r="D392" s="233" t="s">
        <v>998</v>
      </c>
      <c r="E392" s="233" t="s">
        <v>1462</v>
      </c>
      <c r="F392" s="232" t="s">
        <v>277</v>
      </c>
      <c r="G392" s="232" t="s">
        <v>202</v>
      </c>
      <c r="H392" s="232" t="s">
        <v>454</v>
      </c>
      <c r="I392" s="232">
        <v>1988</v>
      </c>
      <c r="J392" s="232"/>
      <c r="K392" s="134">
        <f t="shared" si="42"/>
        <v>31</v>
      </c>
      <c r="L392" s="232"/>
      <c r="M392" s="234">
        <v>9975</v>
      </c>
      <c r="N392" s="235">
        <v>436</v>
      </c>
      <c r="O392" s="235">
        <v>39</v>
      </c>
      <c r="P392" s="235">
        <v>212</v>
      </c>
      <c r="Q392" s="235">
        <v>50</v>
      </c>
      <c r="R392" s="235">
        <f t="shared" si="41"/>
        <v>235.84905660377359</v>
      </c>
      <c r="S392" s="235">
        <f>ROUND(R392*CPI!$B$120/VLOOKUP($I392,CPI!$A$1:$B$140,2,FALSE)/1000,2)*1000</f>
        <v>490</v>
      </c>
      <c r="T392" s="232" t="s">
        <v>1002</v>
      </c>
      <c r="U392" s="232" t="s">
        <v>1003</v>
      </c>
      <c r="V392" s="232"/>
      <c r="W392" s="256"/>
      <c r="X392" s="257"/>
      <c r="Y392" s="257"/>
      <c r="Z392" s="257"/>
      <c r="AA392" s="257"/>
      <c r="AB392" s="257"/>
      <c r="AC392" s="250">
        <f t="shared" si="43"/>
        <v>1988</v>
      </c>
      <c r="AH392" s="43"/>
      <c r="AI392" s="43"/>
      <c r="AJ392" s="43"/>
    </row>
    <row r="393" spans="2:36" ht="13.5" customHeight="1">
      <c r="B393" s="69">
        <v>1</v>
      </c>
      <c r="C393" s="69">
        <v>391</v>
      </c>
      <c r="D393" s="233" t="s">
        <v>999</v>
      </c>
      <c r="E393" s="233" t="s">
        <v>1463</v>
      </c>
      <c r="F393" s="232" t="s">
        <v>277</v>
      </c>
      <c r="G393" s="232" t="s">
        <v>202</v>
      </c>
      <c r="H393" s="232" t="s">
        <v>454</v>
      </c>
      <c r="I393" s="232">
        <v>1990</v>
      </c>
      <c r="J393" s="232"/>
      <c r="K393" s="134">
        <f t="shared" si="42"/>
        <v>29</v>
      </c>
      <c r="L393" s="232"/>
      <c r="M393" s="234">
        <v>14745</v>
      </c>
      <c r="N393" s="235">
        <v>614</v>
      </c>
      <c r="O393" s="235">
        <v>39</v>
      </c>
      <c r="P393" s="235">
        <v>312</v>
      </c>
      <c r="Q393" s="235">
        <v>65</v>
      </c>
      <c r="R393" s="235">
        <f t="shared" si="41"/>
        <v>208.33333333333334</v>
      </c>
      <c r="S393" s="235">
        <f>ROUND(R393*CPI!$B$120/VLOOKUP($I393,CPI!$A$1:$B$140,2,FALSE)/1000,2)*1000</f>
        <v>390</v>
      </c>
      <c r="T393" s="232" t="s">
        <v>1004</v>
      </c>
      <c r="U393" s="232" t="s">
        <v>1005</v>
      </c>
      <c r="V393" s="232"/>
      <c r="W393" s="256"/>
      <c r="X393" s="257"/>
      <c r="Y393" s="257"/>
      <c r="Z393" s="257"/>
      <c r="AA393" s="257"/>
      <c r="AB393" s="257"/>
      <c r="AC393" s="250">
        <f t="shared" si="43"/>
        <v>1990</v>
      </c>
      <c r="AH393" s="43"/>
      <c r="AI393" s="43"/>
      <c r="AJ393" s="43"/>
    </row>
    <row r="394" spans="2:36" ht="13.5" customHeight="1">
      <c r="B394" s="69">
        <v>1</v>
      </c>
      <c r="C394" s="69">
        <v>392</v>
      </c>
      <c r="D394" s="233" t="s">
        <v>1000</v>
      </c>
      <c r="E394" s="233" t="s">
        <v>1464</v>
      </c>
      <c r="F394" s="232" t="s">
        <v>277</v>
      </c>
      <c r="G394" s="232" t="s">
        <v>202</v>
      </c>
      <c r="H394" s="232" t="s">
        <v>454</v>
      </c>
      <c r="I394" s="232">
        <v>1988</v>
      </c>
      <c r="J394" s="232"/>
      <c r="K394" s="134">
        <f t="shared" si="42"/>
        <v>31</v>
      </c>
      <c r="L394" s="232"/>
      <c r="M394" s="234">
        <v>5307</v>
      </c>
      <c r="N394" s="235">
        <v>440</v>
      </c>
      <c r="O394" s="235">
        <v>32</v>
      </c>
      <c r="P394" s="235">
        <v>148</v>
      </c>
      <c r="Q394" s="235">
        <v>65</v>
      </c>
      <c r="R394" s="235">
        <f t="shared" si="41"/>
        <v>439.18918918918922</v>
      </c>
      <c r="S394" s="235">
        <f>ROUND(R394*CPI!$B$120/VLOOKUP($I394,CPI!$A$1:$B$140,2,FALSE)/1000,2)*1000</f>
        <v>910</v>
      </c>
      <c r="T394" s="232" t="s">
        <v>1004</v>
      </c>
      <c r="U394" s="232" t="s">
        <v>1005</v>
      </c>
      <c r="V394" s="232"/>
      <c r="W394" s="256"/>
      <c r="X394" s="257"/>
      <c r="Y394" s="257"/>
      <c r="Z394" s="257"/>
      <c r="AA394" s="257"/>
      <c r="AB394" s="257"/>
      <c r="AC394" s="250">
        <f t="shared" si="43"/>
        <v>1988</v>
      </c>
      <c r="AH394" s="43"/>
      <c r="AI394" s="43"/>
      <c r="AJ394" s="43"/>
    </row>
    <row r="395" spans="2:36" ht="13.5" customHeight="1">
      <c r="B395" s="69">
        <v>1</v>
      </c>
      <c r="C395" s="69">
        <v>393</v>
      </c>
      <c r="D395" s="233" t="s">
        <v>1001</v>
      </c>
      <c r="E395" s="233" t="s">
        <v>1465</v>
      </c>
      <c r="F395" s="232" t="s">
        <v>277</v>
      </c>
      <c r="G395" s="232" t="s">
        <v>202</v>
      </c>
      <c r="H395" s="232" t="s">
        <v>454</v>
      </c>
      <c r="I395" s="232">
        <v>1986</v>
      </c>
      <c r="J395" s="232"/>
      <c r="K395" s="134">
        <f t="shared" si="42"/>
        <v>33</v>
      </c>
      <c r="L395" s="232"/>
      <c r="M395" s="234">
        <v>5397</v>
      </c>
      <c r="N395" s="235">
        <v>440</v>
      </c>
      <c r="O395" s="235">
        <v>32</v>
      </c>
      <c r="P395" s="235">
        <v>148</v>
      </c>
      <c r="Q395" s="235">
        <v>65</v>
      </c>
      <c r="R395" s="235">
        <f t="shared" si="41"/>
        <v>439.18918918918922</v>
      </c>
      <c r="S395" s="235">
        <f>ROUND(R395*CPI!$B$120/VLOOKUP($I395,CPI!$A$1:$B$140,2,FALSE)/1000,2)*1000</f>
        <v>990</v>
      </c>
      <c r="T395" s="232" t="s">
        <v>1004</v>
      </c>
      <c r="U395" s="232" t="s">
        <v>1005</v>
      </c>
      <c r="V395" s="232"/>
      <c r="W395" s="256"/>
      <c r="X395" s="257"/>
      <c r="Y395" s="257"/>
      <c r="Z395" s="257"/>
      <c r="AA395" s="257"/>
      <c r="AB395" s="257"/>
      <c r="AC395" s="250">
        <f t="shared" si="43"/>
        <v>1986</v>
      </c>
      <c r="AH395" s="43"/>
      <c r="AI395" s="43"/>
      <c r="AJ395" s="43"/>
    </row>
    <row r="396" spans="2:36" ht="13.5" customHeight="1">
      <c r="B396" s="69">
        <v>1</v>
      </c>
      <c r="C396" s="69">
        <v>394</v>
      </c>
      <c r="D396" s="249" t="s">
        <v>920</v>
      </c>
      <c r="E396" s="249" t="s">
        <v>1466</v>
      </c>
      <c r="F396" s="250" t="s">
        <v>277</v>
      </c>
      <c r="G396" s="250" t="s">
        <v>202</v>
      </c>
      <c r="H396" s="250" t="s">
        <v>921</v>
      </c>
      <c r="I396" s="250">
        <v>2019</v>
      </c>
      <c r="J396" s="250" t="s">
        <v>1044</v>
      </c>
      <c r="K396" s="134" t="str">
        <f t="shared" si="42"/>
        <v/>
      </c>
      <c r="L396" s="250"/>
      <c r="M396" s="251">
        <v>25000</v>
      </c>
      <c r="N396" s="252"/>
      <c r="O396" s="252">
        <f t="shared" ref="O396:O404" si="44">M396/P396</f>
        <v>83.892617449664428</v>
      </c>
      <c r="P396" s="252">
        <v>298</v>
      </c>
      <c r="Q396" s="252">
        <v>225</v>
      </c>
      <c r="R396" s="252">
        <f t="shared" si="41"/>
        <v>755.03355704697981</v>
      </c>
      <c r="S396" s="252">
        <f>ROUND(R396*CPI!$B$120/VLOOKUP($I396,CPI!$A$1:$B$140,2,FALSE)/1000,2)*1000</f>
        <v>740</v>
      </c>
      <c r="T396" s="250" t="s">
        <v>848</v>
      </c>
      <c r="U396" s="250" t="s">
        <v>248</v>
      </c>
      <c r="V396" s="250"/>
      <c r="W396" s="256"/>
      <c r="X396" s="257"/>
      <c r="Y396" s="257"/>
      <c r="Z396" s="257"/>
      <c r="AA396" s="257"/>
      <c r="AB396" s="257"/>
      <c r="AC396" s="250" t="str">
        <f t="shared" si="43"/>
        <v/>
      </c>
      <c r="AH396" s="43"/>
      <c r="AI396" s="43"/>
      <c r="AJ396" s="43"/>
    </row>
    <row r="397" spans="2:36" ht="13.5" customHeight="1">
      <c r="B397" s="69">
        <v>1</v>
      </c>
      <c r="C397" s="69">
        <v>395</v>
      </c>
      <c r="D397" s="249" t="s">
        <v>951</v>
      </c>
      <c r="E397" s="249" t="s">
        <v>1467</v>
      </c>
      <c r="F397" s="250" t="s">
        <v>277</v>
      </c>
      <c r="G397" s="250" t="s">
        <v>202</v>
      </c>
      <c r="H397" s="250" t="s">
        <v>921</v>
      </c>
      <c r="I397" s="250">
        <v>2021</v>
      </c>
      <c r="J397" s="250" t="s">
        <v>1052</v>
      </c>
      <c r="K397" s="134" t="str">
        <f t="shared" si="42"/>
        <v/>
      </c>
      <c r="L397" s="250"/>
      <c r="M397" s="251">
        <v>25000</v>
      </c>
      <c r="N397" s="252"/>
      <c r="O397" s="252">
        <f t="shared" si="44"/>
        <v>83.892617449664428</v>
      </c>
      <c r="P397" s="252">
        <v>298</v>
      </c>
      <c r="Q397" s="252">
        <v>225</v>
      </c>
      <c r="R397" s="252">
        <f t="shared" si="41"/>
        <v>755.03355704697981</v>
      </c>
      <c r="S397" s="252">
        <f>ROUND(R397*CPI!$B$120/VLOOKUP($I397,CPI!$A$1:$B$140,2,FALSE)/1000,2)*1000</f>
        <v>710</v>
      </c>
      <c r="T397" s="250" t="s">
        <v>848</v>
      </c>
      <c r="U397" s="250" t="s">
        <v>248</v>
      </c>
      <c r="V397" s="250"/>
      <c r="W397" s="256"/>
      <c r="X397" s="257"/>
      <c r="Y397" s="257"/>
      <c r="Z397" s="257"/>
      <c r="AA397" s="257"/>
      <c r="AB397" s="257"/>
      <c r="AC397" s="250" t="str">
        <f t="shared" si="43"/>
        <v/>
      </c>
      <c r="AH397" s="43"/>
      <c r="AI397" s="43"/>
      <c r="AJ397" s="43"/>
    </row>
    <row r="398" spans="2:36" ht="13.5" customHeight="1">
      <c r="B398" s="69">
        <v>1</v>
      </c>
      <c r="C398" s="69">
        <v>396</v>
      </c>
      <c r="D398" s="249" t="s">
        <v>952</v>
      </c>
      <c r="E398" s="249" t="s">
        <v>1468</v>
      </c>
      <c r="F398" s="250" t="s">
        <v>277</v>
      </c>
      <c r="G398" s="250" t="s">
        <v>202</v>
      </c>
      <c r="H398" s="250" t="s">
        <v>921</v>
      </c>
      <c r="I398" s="250">
        <v>2022</v>
      </c>
      <c r="J398" s="250" t="s">
        <v>1052</v>
      </c>
      <c r="K398" s="134" t="str">
        <f t="shared" si="42"/>
        <v/>
      </c>
      <c r="L398" s="250"/>
      <c r="M398" s="251">
        <v>25000</v>
      </c>
      <c r="N398" s="252"/>
      <c r="O398" s="252">
        <f t="shared" si="44"/>
        <v>83.892617449664428</v>
      </c>
      <c r="P398" s="252">
        <v>298</v>
      </c>
      <c r="Q398" s="252">
        <v>225</v>
      </c>
      <c r="R398" s="252">
        <f t="shared" si="41"/>
        <v>755.03355704697981</v>
      </c>
      <c r="S398" s="252">
        <f>ROUND(R398*CPI!$B$120/VLOOKUP($I398,CPI!$A$1:$B$140,2,FALSE)/1000,2)*1000</f>
        <v>700</v>
      </c>
      <c r="T398" s="250" t="s">
        <v>848</v>
      </c>
      <c r="U398" s="250" t="s">
        <v>248</v>
      </c>
      <c r="V398" s="250"/>
      <c r="W398" s="256"/>
      <c r="X398" s="257"/>
      <c r="Y398" s="257"/>
      <c r="Z398" s="257"/>
      <c r="AA398" s="257"/>
      <c r="AB398" s="257"/>
      <c r="AC398" s="250" t="str">
        <f t="shared" si="43"/>
        <v/>
      </c>
      <c r="AH398" s="43"/>
      <c r="AI398" s="43"/>
      <c r="AJ398" s="43"/>
    </row>
    <row r="399" spans="2:36" ht="13.5" customHeight="1">
      <c r="B399" s="69">
        <v>1</v>
      </c>
      <c r="C399" s="69">
        <v>397</v>
      </c>
      <c r="D399" s="249" t="s">
        <v>450</v>
      </c>
      <c r="E399" s="249" t="s">
        <v>1469</v>
      </c>
      <c r="F399" s="250" t="s">
        <v>277</v>
      </c>
      <c r="G399" s="250" t="s">
        <v>202</v>
      </c>
      <c r="H399" s="250" t="s">
        <v>438</v>
      </c>
      <c r="I399" s="250">
        <v>2018</v>
      </c>
      <c r="J399" s="250" t="s">
        <v>1049</v>
      </c>
      <c r="K399" s="134">
        <f t="shared" si="42"/>
        <v>1</v>
      </c>
      <c r="L399" s="250"/>
      <c r="M399" s="251">
        <v>16500</v>
      </c>
      <c r="N399" s="252"/>
      <c r="O399" s="252">
        <f t="shared" si="44"/>
        <v>72.368421052631575</v>
      </c>
      <c r="P399" s="252">
        <v>228</v>
      </c>
      <c r="Q399" s="252">
        <v>185</v>
      </c>
      <c r="R399" s="252">
        <f t="shared" si="41"/>
        <v>811.40350877192975</v>
      </c>
      <c r="S399" s="252">
        <f>ROUND(R399*CPI!$B$120/VLOOKUP($I399,CPI!$A$1:$B$140,2,FALSE)/1000,2)*1000</f>
        <v>810</v>
      </c>
      <c r="T399" s="250" t="s">
        <v>782</v>
      </c>
      <c r="U399" s="250" t="s">
        <v>248</v>
      </c>
      <c r="V399" s="250"/>
      <c r="W399" s="256"/>
      <c r="X399" s="257"/>
      <c r="Y399" s="257"/>
      <c r="Z399" s="257"/>
      <c r="AA399" s="257"/>
      <c r="AB399" s="257"/>
      <c r="AC399" s="250">
        <f t="shared" si="43"/>
        <v>2018</v>
      </c>
      <c r="AH399" s="43"/>
      <c r="AI399" s="43"/>
      <c r="AJ399" s="43"/>
    </row>
    <row r="400" spans="2:36" ht="13.5" customHeight="1">
      <c r="B400" s="69">
        <v>1</v>
      </c>
      <c r="C400" s="69">
        <v>398</v>
      </c>
      <c r="D400" s="249" t="s">
        <v>941</v>
      </c>
      <c r="E400" s="249" t="s">
        <v>1470</v>
      </c>
      <c r="F400" s="250" t="s">
        <v>277</v>
      </c>
      <c r="G400" s="250" t="s">
        <v>202</v>
      </c>
      <c r="H400" s="250" t="s">
        <v>438</v>
      </c>
      <c r="I400" s="250">
        <v>2020</v>
      </c>
      <c r="J400" s="250" t="s">
        <v>1046</v>
      </c>
      <c r="K400" s="134" t="str">
        <f t="shared" si="42"/>
        <v/>
      </c>
      <c r="L400" s="250"/>
      <c r="M400" s="251">
        <v>16500</v>
      </c>
      <c r="N400" s="252"/>
      <c r="O400" s="252">
        <f t="shared" si="44"/>
        <v>72.368421052631575</v>
      </c>
      <c r="P400" s="252">
        <v>228</v>
      </c>
      <c r="Q400" s="252">
        <v>185</v>
      </c>
      <c r="R400" s="252">
        <f t="shared" si="41"/>
        <v>811.40350877192975</v>
      </c>
      <c r="S400" s="252">
        <f>ROUND(R400*CPI!$B$120/VLOOKUP($I400,CPI!$A$1:$B$140,2,FALSE)/1000,2)*1000</f>
        <v>780</v>
      </c>
      <c r="T400" s="250" t="s">
        <v>782</v>
      </c>
      <c r="U400" s="250" t="s">
        <v>248</v>
      </c>
      <c r="V400" s="250"/>
      <c r="W400" s="256"/>
      <c r="X400" s="257"/>
      <c r="Y400" s="257"/>
      <c r="Z400" s="257"/>
      <c r="AA400" s="257"/>
      <c r="AB400" s="257"/>
      <c r="AC400" s="250" t="str">
        <f t="shared" si="43"/>
        <v/>
      </c>
      <c r="AH400" s="43"/>
      <c r="AI400" s="43"/>
      <c r="AJ400" s="43"/>
    </row>
    <row r="401" spans="2:36" ht="13.5" customHeight="1">
      <c r="B401" s="69">
        <v>1</v>
      </c>
      <c r="C401" s="69">
        <v>399</v>
      </c>
      <c r="D401" s="249" t="s">
        <v>917</v>
      </c>
      <c r="E401" s="249" t="s">
        <v>1471</v>
      </c>
      <c r="F401" s="250" t="s">
        <v>277</v>
      </c>
      <c r="G401" s="250" t="s">
        <v>794</v>
      </c>
      <c r="H401" s="250" t="s">
        <v>852</v>
      </c>
      <c r="I401" s="250">
        <v>2019</v>
      </c>
      <c r="J401" s="250" t="s">
        <v>1049</v>
      </c>
      <c r="K401" s="134" t="str">
        <f t="shared" si="42"/>
        <v/>
      </c>
      <c r="L401" s="250"/>
      <c r="M401" s="251">
        <v>8000</v>
      </c>
      <c r="N401" s="252"/>
      <c r="O401" s="252">
        <f t="shared" si="44"/>
        <v>50</v>
      </c>
      <c r="P401" s="252">
        <v>160</v>
      </c>
      <c r="Q401" s="252">
        <v>65</v>
      </c>
      <c r="R401" s="252">
        <f t="shared" si="41"/>
        <v>406.25</v>
      </c>
      <c r="S401" s="252">
        <f>ROUND(R401*CPI!$B$120/VLOOKUP($I401,CPI!$A$1:$B$140,2,FALSE)/1000,2)*1000</f>
        <v>400</v>
      </c>
      <c r="T401" s="250" t="s">
        <v>847</v>
      </c>
      <c r="U401" s="250" t="s">
        <v>248</v>
      </c>
      <c r="V401" s="250"/>
      <c r="W401" s="256"/>
      <c r="X401" s="257"/>
      <c r="Y401" s="257"/>
      <c r="Z401" s="257"/>
      <c r="AA401" s="257"/>
      <c r="AB401" s="257"/>
      <c r="AC401" s="250" t="str">
        <f t="shared" si="43"/>
        <v/>
      </c>
      <c r="AH401" s="43"/>
      <c r="AI401" s="43"/>
      <c r="AJ401" s="43"/>
    </row>
    <row r="402" spans="2:36" ht="13.5" customHeight="1">
      <c r="B402" s="69">
        <v>1</v>
      </c>
      <c r="C402" s="69">
        <v>400</v>
      </c>
      <c r="D402" s="249" t="s">
        <v>851</v>
      </c>
      <c r="E402" s="249" t="s">
        <v>1472</v>
      </c>
      <c r="F402" s="250" t="s">
        <v>277</v>
      </c>
      <c r="G402" s="250" t="s">
        <v>794</v>
      </c>
      <c r="H402" s="250" t="s">
        <v>852</v>
      </c>
      <c r="I402" s="250">
        <v>2020</v>
      </c>
      <c r="J402" s="250" t="s">
        <v>1049</v>
      </c>
      <c r="K402" s="134" t="str">
        <f t="shared" si="42"/>
        <v/>
      </c>
      <c r="L402" s="250"/>
      <c r="M402" s="251">
        <v>8000</v>
      </c>
      <c r="N402" s="252"/>
      <c r="O402" s="252">
        <f t="shared" si="44"/>
        <v>50</v>
      </c>
      <c r="P402" s="252">
        <v>160</v>
      </c>
      <c r="Q402" s="252">
        <v>65</v>
      </c>
      <c r="R402" s="252">
        <f t="shared" si="41"/>
        <v>406.25</v>
      </c>
      <c r="S402" s="252">
        <f>ROUND(R402*CPI!$B$120/VLOOKUP($I402,CPI!$A$1:$B$140,2,FALSE)/1000,2)*1000</f>
        <v>390</v>
      </c>
      <c r="T402" s="250" t="s">
        <v>847</v>
      </c>
      <c r="U402" s="250" t="s">
        <v>248</v>
      </c>
      <c r="V402" s="250"/>
      <c r="W402" s="256"/>
      <c r="X402" s="257"/>
      <c r="Y402" s="257"/>
      <c r="Z402" s="257"/>
      <c r="AA402" s="257"/>
      <c r="AB402" s="257"/>
      <c r="AC402" s="250" t="str">
        <f t="shared" si="43"/>
        <v/>
      </c>
      <c r="AH402" s="43"/>
      <c r="AI402" s="43"/>
      <c r="AJ402" s="43"/>
    </row>
    <row r="403" spans="2:36" ht="13.5" customHeight="1">
      <c r="B403" s="69">
        <v>1</v>
      </c>
      <c r="C403" s="69">
        <v>401</v>
      </c>
      <c r="D403" s="249" t="s">
        <v>925</v>
      </c>
      <c r="E403" s="249" t="s">
        <v>1473</v>
      </c>
      <c r="F403" s="250" t="s">
        <v>277</v>
      </c>
      <c r="G403" s="250" t="s">
        <v>794</v>
      </c>
      <c r="H403" s="250" t="s">
        <v>852</v>
      </c>
      <c r="I403" s="250">
        <v>2021</v>
      </c>
      <c r="J403" s="250" t="s">
        <v>1042</v>
      </c>
      <c r="K403" s="134" t="str">
        <f t="shared" si="42"/>
        <v/>
      </c>
      <c r="L403" s="250"/>
      <c r="M403" s="251">
        <v>8000</v>
      </c>
      <c r="N403" s="252"/>
      <c r="O403" s="252">
        <f t="shared" si="44"/>
        <v>40</v>
      </c>
      <c r="P403" s="252">
        <v>200</v>
      </c>
      <c r="Q403" s="252">
        <v>65</v>
      </c>
      <c r="R403" s="252">
        <f t="shared" si="41"/>
        <v>325</v>
      </c>
      <c r="S403" s="252">
        <f>ROUND(R403*CPI!$B$120/VLOOKUP($I403,CPI!$A$1:$B$140,2,FALSE)/1000,2)*1000</f>
        <v>310</v>
      </c>
      <c r="T403" s="250" t="s">
        <v>847</v>
      </c>
      <c r="U403" s="250" t="s">
        <v>248</v>
      </c>
      <c r="V403" s="250"/>
      <c r="W403" s="256"/>
      <c r="X403" s="257"/>
      <c r="Y403" s="257"/>
      <c r="Z403" s="257"/>
      <c r="AA403" s="257"/>
      <c r="AB403" s="257"/>
      <c r="AC403" s="250" t="str">
        <f t="shared" si="43"/>
        <v/>
      </c>
      <c r="AH403" s="43"/>
      <c r="AI403" s="43"/>
      <c r="AJ403" s="43"/>
    </row>
    <row r="404" spans="2:36" ht="13.5" customHeight="1">
      <c r="B404" s="69">
        <v>1</v>
      </c>
      <c r="C404" s="69">
        <v>402</v>
      </c>
      <c r="D404" s="249" t="s">
        <v>857</v>
      </c>
      <c r="E404" s="249" t="s">
        <v>1474</v>
      </c>
      <c r="F404" s="250" t="s">
        <v>277</v>
      </c>
      <c r="G404" s="250" t="s">
        <v>794</v>
      </c>
      <c r="H404" s="250" t="s">
        <v>852</v>
      </c>
      <c r="I404" s="250">
        <v>2021</v>
      </c>
      <c r="J404" s="250" t="s">
        <v>1049</v>
      </c>
      <c r="K404" s="134" t="str">
        <f t="shared" si="42"/>
        <v/>
      </c>
      <c r="L404" s="250"/>
      <c r="M404" s="251">
        <v>8000</v>
      </c>
      <c r="N404" s="252"/>
      <c r="O404" s="252">
        <f t="shared" si="44"/>
        <v>50</v>
      </c>
      <c r="P404" s="252">
        <v>160</v>
      </c>
      <c r="Q404" s="252">
        <v>65</v>
      </c>
      <c r="R404" s="252">
        <f t="shared" si="41"/>
        <v>406.25</v>
      </c>
      <c r="S404" s="252">
        <f>ROUND(R404*CPI!$B$120/VLOOKUP($I404,CPI!$A$1:$B$140,2,FALSE)/1000,2)*1000</f>
        <v>380</v>
      </c>
      <c r="T404" s="250" t="s">
        <v>847</v>
      </c>
      <c r="U404" s="250" t="s">
        <v>248</v>
      </c>
      <c r="V404" s="250"/>
      <c r="W404" s="256"/>
      <c r="X404" s="257"/>
      <c r="Y404" s="257"/>
      <c r="Z404" s="257"/>
      <c r="AA404" s="257"/>
      <c r="AB404" s="257"/>
      <c r="AC404" s="250" t="str">
        <f t="shared" si="43"/>
        <v/>
      </c>
      <c r="AH404" s="43"/>
      <c r="AI404" s="43"/>
      <c r="AJ404" s="43"/>
    </row>
    <row r="405" spans="2:36" ht="13.5" customHeight="1">
      <c r="B405" s="69">
        <v>1</v>
      </c>
      <c r="C405" s="69">
        <v>403</v>
      </c>
      <c r="D405" s="233" t="s">
        <v>934</v>
      </c>
      <c r="E405" s="233" t="s">
        <v>1363</v>
      </c>
      <c r="F405" s="232" t="s">
        <v>277</v>
      </c>
      <c r="G405" s="232" t="s">
        <v>794</v>
      </c>
      <c r="H405" s="232" t="s">
        <v>933</v>
      </c>
      <c r="I405" s="232">
        <v>1992</v>
      </c>
      <c r="J405" s="232"/>
      <c r="K405" s="134">
        <f t="shared" si="42"/>
        <v>27</v>
      </c>
      <c r="L405" s="232">
        <v>2006</v>
      </c>
      <c r="M405" s="234"/>
      <c r="N405" s="235">
        <v>240</v>
      </c>
      <c r="O405" s="235"/>
      <c r="P405" s="235">
        <v>72</v>
      </c>
      <c r="Q405" s="235"/>
      <c r="R405" s="235"/>
      <c r="S405" s="235"/>
      <c r="T405" s="232"/>
      <c r="U405" s="232" t="s">
        <v>248</v>
      </c>
      <c r="V405" s="232"/>
      <c r="W405" s="256"/>
      <c r="X405" s="257"/>
      <c r="Y405" s="257"/>
      <c r="Z405" s="257"/>
      <c r="AA405" s="257"/>
      <c r="AB405" s="257"/>
      <c r="AC405" s="250">
        <f t="shared" si="43"/>
        <v>1992</v>
      </c>
      <c r="AH405" s="43"/>
      <c r="AI405" s="43"/>
      <c r="AJ405" s="43"/>
    </row>
    <row r="406" spans="2:36" ht="13.5" customHeight="1">
      <c r="B406" s="69">
        <v>1</v>
      </c>
      <c r="C406" s="69">
        <v>404</v>
      </c>
      <c r="D406" s="233" t="s">
        <v>935</v>
      </c>
      <c r="E406" s="233" t="s">
        <v>1475</v>
      </c>
      <c r="F406" s="232" t="s">
        <v>277</v>
      </c>
      <c r="G406" s="232" t="s">
        <v>794</v>
      </c>
      <c r="H406" s="232" t="s">
        <v>933</v>
      </c>
      <c r="I406" s="232">
        <v>1992</v>
      </c>
      <c r="J406" s="232"/>
      <c r="K406" s="134">
        <f t="shared" si="42"/>
        <v>27</v>
      </c>
      <c r="L406" s="232">
        <v>2016</v>
      </c>
      <c r="M406" s="234"/>
      <c r="N406" s="235">
        <f>3.28084*90.6</f>
        <v>297.24410399999999</v>
      </c>
      <c r="O406" s="235"/>
      <c r="P406" s="235">
        <v>100</v>
      </c>
      <c r="Q406" s="235"/>
      <c r="R406" s="235"/>
      <c r="S406" s="235"/>
      <c r="T406" s="232"/>
      <c r="U406" s="232" t="s">
        <v>248</v>
      </c>
      <c r="V406" s="232"/>
      <c r="W406" s="256"/>
      <c r="X406" s="257"/>
      <c r="Y406" s="257"/>
      <c r="Z406" s="257"/>
      <c r="AA406" s="257"/>
      <c r="AB406" s="257"/>
      <c r="AC406" s="250">
        <f t="shared" si="43"/>
        <v>1992</v>
      </c>
      <c r="AH406" s="43"/>
      <c r="AI406" s="43"/>
      <c r="AJ406" s="43"/>
    </row>
    <row r="407" spans="2:36" ht="13.5" customHeight="1">
      <c r="B407" s="69">
        <v>1</v>
      </c>
      <c r="C407" s="69">
        <v>405</v>
      </c>
      <c r="D407" s="249" t="s">
        <v>936</v>
      </c>
      <c r="E407" s="249" t="s">
        <v>1476</v>
      </c>
      <c r="F407" s="250" t="s">
        <v>277</v>
      </c>
      <c r="G407" s="250" t="s">
        <v>794</v>
      </c>
      <c r="H407" s="250" t="s">
        <v>933</v>
      </c>
      <c r="I407" s="250">
        <v>2019</v>
      </c>
      <c r="J407" s="250" t="s">
        <v>1044</v>
      </c>
      <c r="K407" s="134" t="str">
        <f t="shared" si="42"/>
        <v/>
      </c>
      <c r="L407" s="250"/>
      <c r="M407" s="251">
        <v>4900</v>
      </c>
      <c r="N407" s="252">
        <v>297</v>
      </c>
      <c r="O407" s="252">
        <f>M407/P407</f>
        <v>49</v>
      </c>
      <c r="P407" s="252">
        <v>100</v>
      </c>
      <c r="Q407" s="252">
        <v>50</v>
      </c>
      <c r="R407" s="252">
        <f t="shared" ref="R407:R412" si="45">Q407/P407*1000</f>
        <v>500</v>
      </c>
      <c r="S407" s="252">
        <f>ROUND(R407*CPI!$B$120/VLOOKUP($I407,CPI!$A$1:$B$140,2,FALSE)/1000,2)*1000</f>
        <v>490</v>
      </c>
      <c r="T407" s="250" t="s">
        <v>366</v>
      </c>
      <c r="U407" s="250" t="s">
        <v>248</v>
      </c>
      <c r="V407" s="250"/>
      <c r="W407" s="256"/>
      <c r="X407" s="257"/>
      <c r="Y407" s="257"/>
      <c r="Z407" s="257"/>
      <c r="AA407" s="257"/>
      <c r="AB407" s="257"/>
      <c r="AC407" s="250" t="str">
        <f t="shared" si="43"/>
        <v/>
      </c>
      <c r="AH407" s="43"/>
      <c r="AI407" s="43"/>
      <c r="AJ407" s="43"/>
    </row>
    <row r="408" spans="2:36" ht="13.5" customHeight="1">
      <c r="B408" s="69">
        <v>1</v>
      </c>
      <c r="C408" s="69">
        <v>406</v>
      </c>
      <c r="D408" s="249" t="s">
        <v>846</v>
      </c>
      <c r="E408" s="249" t="s">
        <v>1477</v>
      </c>
      <c r="F408" s="250" t="s">
        <v>277</v>
      </c>
      <c r="G408" s="250" t="s">
        <v>794</v>
      </c>
      <c r="H408" s="250" t="s">
        <v>1053</v>
      </c>
      <c r="I408" s="250">
        <v>2019</v>
      </c>
      <c r="J408" s="250" t="s">
        <v>1046</v>
      </c>
      <c r="K408" s="134" t="str">
        <f t="shared" si="42"/>
        <v/>
      </c>
      <c r="L408" s="250"/>
      <c r="M408" s="251">
        <v>6300</v>
      </c>
      <c r="N408" s="252"/>
      <c r="O408" s="252">
        <f>M408/P408</f>
        <v>32.142857142857146</v>
      </c>
      <c r="P408" s="252">
        <v>196</v>
      </c>
      <c r="Q408" s="252">
        <v>85</v>
      </c>
      <c r="R408" s="252">
        <f t="shared" si="45"/>
        <v>433.67346938775506</v>
      </c>
      <c r="S408" s="252">
        <f>ROUND(R408*CPI!$B$120/VLOOKUP($I408,CPI!$A$1:$B$140,2,FALSE)/1000,2)*1000</f>
        <v>430</v>
      </c>
      <c r="T408" s="250" t="s">
        <v>844</v>
      </c>
      <c r="U408" s="250" t="s">
        <v>248</v>
      </c>
      <c r="V408" s="250"/>
      <c r="W408" s="256"/>
      <c r="X408" s="257"/>
      <c r="Y408" s="257"/>
      <c r="Z408" s="257"/>
      <c r="AA408" s="257"/>
      <c r="AB408" s="257"/>
      <c r="AC408" s="250" t="str">
        <f t="shared" si="43"/>
        <v/>
      </c>
      <c r="AH408" s="43"/>
      <c r="AI408" s="43"/>
      <c r="AJ408" s="43"/>
    </row>
    <row r="409" spans="2:36" ht="13.5" customHeight="1">
      <c r="B409" s="69">
        <v>1</v>
      </c>
      <c r="C409" s="69">
        <v>407</v>
      </c>
      <c r="D409" s="249" t="s">
        <v>929</v>
      </c>
      <c r="E409" s="249" t="s">
        <v>1478</v>
      </c>
      <c r="F409" s="250" t="s">
        <v>277</v>
      </c>
      <c r="G409" s="250" t="s">
        <v>794</v>
      </c>
      <c r="H409" s="250" t="s">
        <v>250</v>
      </c>
      <c r="I409" s="250">
        <v>2019</v>
      </c>
      <c r="J409" s="250" t="s">
        <v>1052</v>
      </c>
      <c r="K409" s="134" t="str">
        <f t="shared" si="42"/>
        <v/>
      </c>
      <c r="L409" s="250"/>
      <c r="M409" s="251">
        <v>5500</v>
      </c>
      <c r="N409" s="252"/>
      <c r="O409" s="252">
        <f>M409/P409</f>
        <v>45.833333333333336</v>
      </c>
      <c r="P409" s="252">
        <v>120</v>
      </c>
      <c r="Q409" s="252">
        <v>75</v>
      </c>
      <c r="R409" s="252">
        <f t="shared" si="45"/>
        <v>625</v>
      </c>
      <c r="S409" s="252">
        <f>ROUND(R409*CPI!$B$120/VLOOKUP($I409,CPI!$A$1:$B$140,2,FALSE)/1000,2)*1000</f>
        <v>610</v>
      </c>
      <c r="T409" s="250" t="s">
        <v>930</v>
      </c>
      <c r="U409" s="250" t="s">
        <v>248</v>
      </c>
      <c r="V409" s="250"/>
      <c r="W409" s="256"/>
      <c r="X409" s="257"/>
      <c r="Y409" s="257"/>
      <c r="Z409" s="257"/>
      <c r="AA409" s="257"/>
      <c r="AB409" s="257"/>
      <c r="AC409" s="250" t="str">
        <f t="shared" si="43"/>
        <v/>
      </c>
      <c r="AH409" s="43"/>
      <c r="AI409" s="43"/>
      <c r="AJ409" s="43"/>
    </row>
    <row r="410" spans="2:36" ht="13.5" customHeight="1">
      <c r="B410" s="69">
        <v>1</v>
      </c>
      <c r="C410" s="69">
        <v>408</v>
      </c>
      <c r="D410" s="233" t="s">
        <v>1006</v>
      </c>
      <c r="E410" s="233" t="s">
        <v>1479</v>
      </c>
      <c r="F410" s="232" t="s">
        <v>277</v>
      </c>
      <c r="G410" s="232" t="s">
        <v>200</v>
      </c>
      <c r="H410" s="232" t="s">
        <v>1007</v>
      </c>
      <c r="I410" s="232">
        <v>2004</v>
      </c>
      <c r="J410" s="232"/>
      <c r="K410" s="134">
        <f t="shared" si="42"/>
        <v>15</v>
      </c>
      <c r="L410" s="232">
        <v>2013</v>
      </c>
      <c r="M410" s="234">
        <v>34924</v>
      </c>
      <c r="N410" s="235">
        <v>581</v>
      </c>
      <c r="O410" s="235">
        <v>19</v>
      </c>
      <c r="P410" s="235">
        <v>1800</v>
      </c>
      <c r="Q410" s="235">
        <v>155</v>
      </c>
      <c r="R410" s="235">
        <f t="shared" si="45"/>
        <v>86.111111111111114</v>
      </c>
      <c r="S410" s="235">
        <f>ROUND(R410*CPI!$B$120/VLOOKUP($I410,CPI!$A$1:$B$140,2,FALSE)/1000,2)*1000</f>
        <v>110</v>
      </c>
      <c r="T410" s="232" t="s">
        <v>1008</v>
      </c>
      <c r="U410" s="232" t="s">
        <v>248</v>
      </c>
      <c r="V410" s="232"/>
      <c r="W410" s="256"/>
      <c r="X410" s="257"/>
      <c r="Y410" s="257"/>
      <c r="Z410" s="257"/>
      <c r="AA410" s="257"/>
      <c r="AB410" s="257"/>
      <c r="AC410" s="250">
        <f t="shared" si="43"/>
        <v>2004</v>
      </c>
      <c r="AH410" s="43"/>
      <c r="AI410" s="43"/>
      <c r="AJ410" s="43"/>
    </row>
    <row r="411" spans="2:36" ht="13.5" customHeight="1">
      <c r="B411" s="69">
        <v>1</v>
      </c>
      <c r="C411" s="69">
        <v>409</v>
      </c>
      <c r="D411" s="233" t="s">
        <v>1009</v>
      </c>
      <c r="E411" s="233" t="s">
        <v>1480</v>
      </c>
      <c r="F411" s="232" t="s">
        <v>277</v>
      </c>
      <c r="G411" s="232" t="s">
        <v>200</v>
      </c>
      <c r="H411" s="232" t="s">
        <v>1010</v>
      </c>
      <c r="I411" s="232">
        <v>2001</v>
      </c>
      <c r="J411" s="232"/>
      <c r="K411" s="134">
        <f t="shared" si="42"/>
        <v>18</v>
      </c>
      <c r="L411" s="232">
        <v>2016</v>
      </c>
      <c r="M411" s="234">
        <v>24318</v>
      </c>
      <c r="N411" s="235">
        <v>591</v>
      </c>
      <c r="O411" s="235">
        <v>30</v>
      </c>
      <c r="P411" s="235">
        <v>838</v>
      </c>
      <c r="Q411" s="235">
        <v>175</v>
      </c>
      <c r="R411" s="235">
        <f t="shared" si="45"/>
        <v>208.83054892601433</v>
      </c>
      <c r="S411" s="235">
        <f>ROUND(R411*CPI!$B$120/VLOOKUP($I411,CPI!$A$1:$B$140,2,FALSE)/1000,2)*1000</f>
        <v>300</v>
      </c>
      <c r="T411" s="232" t="s">
        <v>1011</v>
      </c>
      <c r="U411" s="232" t="s">
        <v>248</v>
      </c>
      <c r="V411" s="232"/>
      <c r="W411" s="256"/>
      <c r="X411" s="257"/>
      <c r="Y411" s="257"/>
      <c r="Z411" s="257"/>
      <c r="AA411" s="257"/>
      <c r="AB411" s="257"/>
      <c r="AC411" s="250">
        <f t="shared" si="43"/>
        <v>2001</v>
      </c>
      <c r="AH411" s="43"/>
      <c r="AI411" s="43"/>
      <c r="AJ411" s="43"/>
    </row>
    <row r="412" spans="2:36" ht="13.5" customHeight="1">
      <c r="B412" s="69">
        <v>1</v>
      </c>
      <c r="C412" s="69">
        <v>410</v>
      </c>
      <c r="D412" s="233" t="s">
        <v>736</v>
      </c>
      <c r="E412" s="233" t="s">
        <v>1481</v>
      </c>
      <c r="F412" s="232" t="s">
        <v>277</v>
      </c>
      <c r="G412" s="232" t="s">
        <v>200</v>
      </c>
      <c r="H412" s="232" t="s">
        <v>734</v>
      </c>
      <c r="I412" s="232">
        <v>2000</v>
      </c>
      <c r="J412" s="232"/>
      <c r="K412" s="134">
        <f t="shared" si="42"/>
        <v>19</v>
      </c>
      <c r="L412" s="232">
        <v>2014</v>
      </c>
      <c r="M412" s="234">
        <v>24430</v>
      </c>
      <c r="N412" s="235">
        <v>594</v>
      </c>
      <c r="O412" s="235">
        <f>M412/P412</f>
        <v>29.36298076923077</v>
      </c>
      <c r="P412" s="235">
        <v>832</v>
      </c>
      <c r="Q412" s="235">
        <v>150</v>
      </c>
      <c r="R412" s="235">
        <f t="shared" si="45"/>
        <v>180.28846153846155</v>
      </c>
      <c r="S412" s="235">
        <f>ROUND(R412*CPI!$B$120/VLOOKUP($I412,CPI!$A$1:$B$140,2,FALSE)/1000,2)*1000</f>
        <v>260</v>
      </c>
      <c r="T412" s="232" t="s">
        <v>1011</v>
      </c>
      <c r="U412" s="232" t="s">
        <v>261</v>
      </c>
      <c r="V412" s="232"/>
      <c r="W412" s="256"/>
      <c r="X412" s="257"/>
      <c r="Y412" s="257"/>
      <c r="Z412" s="257"/>
      <c r="AA412" s="257"/>
      <c r="AB412" s="257"/>
      <c r="AC412" s="250">
        <f t="shared" si="43"/>
        <v>2000</v>
      </c>
      <c r="AH412" s="43"/>
      <c r="AI412" s="43"/>
      <c r="AJ412" s="43"/>
    </row>
    <row r="413" spans="2:36" ht="13.5" customHeight="1">
      <c r="B413" s="69">
        <v>1</v>
      </c>
      <c r="C413" s="69">
        <v>411</v>
      </c>
      <c r="D413" s="233" t="s">
        <v>1012</v>
      </c>
      <c r="E413" s="233" t="s">
        <v>1482</v>
      </c>
      <c r="F413" s="232" t="s">
        <v>277</v>
      </c>
      <c r="G413" s="232" t="s">
        <v>200</v>
      </c>
      <c r="H413" s="232" t="s">
        <v>1013</v>
      </c>
      <c r="I413" s="232">
        <v>1998</v>
      </c>
      <c r="J413" s="232"/>
      <c r="K413" s="134">
        <f t="shared" si="42"/>
        <v>21</v>
      </c>
      <c r="L413" s="232"/>
      <c r="M413" s="234">
        <v>26594</v>
      </c>
      <c r="N413" s="235">
        <v>600</v>
      </c>
      <c r="O413" s="235">
        <f>M413/P413</f>
        <v>39.108823529411765</v>
      </c>
      <c r="P413" s="235">
        <v>680</v>
      </c>
      <c r="Q413" s="235"/>
      <c r="R413" s="235"/>
      <c r="S413" s="235"/>
      <c r="T413" s="232" t="s">
        <v>1016</v>
      </c>
      <c r="U413" s="232" t="s">
        <v>248</v>
      </c>
      <c r="V413" s="232"/>
      <c r="W413" s="256"/>
      <c r="X413" s="257"/>
      <c r="Y413" s="257"/>
      <c r="Z413" s="257"/>
      <c r="AA413" s="257"/>
      <c r="AB413" s="257"/>
      <c r="AC413" s="250">
        <f t="shared" si="43"/>
        <v>1998</v>
      </c>
      <c r="AH413" s="43"/>
      <c r="AI413" s="43"/>
      <c r="AJ413" s="43"/>
    </row>
    <row r="414" spans="2:36" ht="13.5" customHeight="1">
      <c r="B414" s="69">
        <v>1</v>
      </c>
      <c r="C414" s="69">
        <v>412</v>
      </c>
      <c r="D414" s="233" t="s">
        <v>1017</v>
      </c>
      <c r="E414" s="233" t="s">
        <v>1483</v>
      </c>
      <c r="F414" s="232" t="s">
        <v>277</v>
      </c>
      <c r="G414" s="232" t="s">
        <v>200</v>
      </c>
      <c r="H414" s="232" t="s">
        <v>1018</v>
      </c>
      <c r="I414" s="232">
        <v>1997</v>
      </c>
      <c r="J414" s="232"/>
      <c r="K414" s="134">
        <f t="shared" si="42"/>
        <v>22</v>
      </c>
      <c r="L414" s="232">
        <v>2012</v>
      </c>
      <c r="M414" s="234">
        <v>15067</v>
      </c>
      <c r="N414" s="235">
        <v>472</v>
      </c>
      <c r="O414" s="235">
        <v>38</v>
      </c>
      <c r="P414" s="235">
        <v>394</v>
      </c>
      <c r="Q414" s="235"/>
      <c r="R414" s="235"/>
      <c r="S414" s="235"/>
      <c r="T414" s="232" t="s">
        <v>1019</v>
      </c>
      <c r="U414" s="232" t="s">
        <v>248</v>
      </c>
      <c r="V414" s="232"/>
      <c r="W414" s="256"/>
      <c r="X414" s="257"/>
      <c r="Y414" s="257"/>
      <c r="Z414" s="257"/>
      <c r="AA414" s="257"/>
      <c r="AB414" s="257"/>
      <c r="AC414" s="250">
        <f t="shared" si="43"/>
        <v>1997</v>
      </c>
      <c r="AH414" s="43"/>
      <c r="AI414" s="43"/>
      <c r="AJ414" s="43"/>
    </row>
    <row r="415" spans="2:36" ht="13.5" customHeight="1">
      <c r="B415" s="69">
        <v>1</v>
      </c>
      <c r="C415" s="69">
        <v>413</v>
      </c>
      <c r="D415" s="233" t="s">
        <v>425</v>
      </c>
      <c r="E415" s="233" t="s">
        <v>1484</v>
      </c>
      <c r="F415" s="232" t="s">
        <v>277</v>
      </c>
      <c r="G415" s="232" t="s">
        <v>202</v>
      </c>
      <c r="H415" s="232" t="s">
        <v>425</v>
      </c>
      <c r="I415" s="232">
        <v>1997</v>
      </c>
      <c r="J415" s="232"/>
      <c r="K415" s="134">
        <f t="shared" si="42"/>
        <v>22</v>
      </c>
      <c r="L415" s="232">
        <v>2012</v>
      </c>
      <c r="M415" s="234">
        <v>19170</v>
      </c>
      <c r="N415" s="235">
        <v>502</v>
      </c>
      <c r="O415" s="235">
        <v>54</v>
      </c>
      <c r="P415" s="235">
        <v>320</v>
      </c>
      <c r="Q415" s="235">
        <v>150</v>
      </c>
      <c r="R415" s="235">
        <f>Q415/P415*1000</f>
        <v>468.75</v>
      </c>
      <c r="S415" s="235">
        <f>ROUND(R415*CPI!$B$120/VLOOKUP($I415,CPI!$A$1:$B$140,2,FALSE)/1000,2)*1000</f>
        <v>730</v>
      </c>
      <c r="T415" s="232" t="s">
        <v>241</v>
      </c>
      <c r="U415" s="232" t="s">
        <v>248</v>
      </c>
      <c r="V415" s="232"/>
      <c r="W415" s="256"/>
      <c r="X415" s="257"/>
      <c r="Y415" s="257"/>
      <c r="Z415" s="257"/>
      <c r="AA415" s="257"/>
      <c r="AB415" s="257"/>
      <c r="AC415" s="250">
        <f t="shared" si="43"/>
        <v>1997</v>
      </c>
      <c r="AH415" s="43"/>
      <c r="AI415" s="43"/>
      <c r="AJ415" s="43"/>
    </row>
    <row r="416" spans="2:36" ht="13.5" customHeight="1">
      <c r="B416" s="69">
        <v>1</v>
      </c>
      <c r="C416" s="69">
        <v>414</v>
      </c>
      <c r="D416" s="233" t="s">
        <v>1021</v>
      </c>
      <c r="E416" s="233" t="s">
        <v>1485</v>
      </c>
      <c r="F416" s="232" t="s">
        <v>277</v>
      </c>
      <c r="G416" s="232" t="s">
        <v>202</v>
      </c>
      <c r="H416" s="232" t="s">
        <v>430</v>
      </c>
      <c r="I416" s="232">
        <v>1984</v>
      </c>
      <c r="J416" s="232"/>
      <c r="K416" s="134">
        <f t="shared" si="42"/>
        <v>35</v>
      </c>
      <c r="L416" s="232">
        <v>2018</v>
      </c>
      <c r="M416" s="234">
        <v>4260</v>
      </c>
      <c r="N416" s="235">
        <v>354</v>
      </c>
      <c r="O416" s="235">
        <v>39</v>
      </c>
      <c r="P416" s="235">
        <v>94</v>
      </c>
      <c r="Q416" s="235">
        <v>35</v>
      </c>
      <c r="R416" s="235">
        <f>Q416/P416*1000</f>
        <v>372.34042553191489</v>
      </c>
      <c r="S416" s="235">
        <f>ROUND(R416*CPI!$B$120/VLOOKUP($I416,CPI!$A$1:$B$140,2,FALSE)/1000,2)*1000</f>
        <v>880</v>
      </c>
      <c r="T416" s="232" t="s">
        <v>793</v>
      </c>
      <c r="U416" s="232" t="s">
        <v>248</v>
      </c>
      <c r="V416" s="232"/>
      <c r="W416" s="256"/>
      <c r="X416" s="257"/>
      <c r="Y416" s="257"/>
      <c r="Z416" s="257"/>
      <c r="AA416" s="257"/>
      <c r="AB416" s="257"/>
      <c r="AC416" s="250">
        <f t="shared" si="43"/>
        <v>1984</v>
      </c>
      <c r="AH416" s="43"/>
      <c r="AI416" s="43"/>
      <c r="AJ416" s="43"/>
    </row>
    <row r="417" spans="2:36" ht="13.5" customHeight="1">
      <c r="B417" s="69">
        <v>1</v>
      </c>
      <c r="C417" s="69">
        <v>415</v>
      </c>
      <c r="D417" s="233" t="s">
        <v>1022</v>
      </c>
      <c r="E417" s="233" t="s">
        <v>1486</v>
      </c>
      <c r="F417" s="232" t="s">
        <v>277</v>
      </c>
      <c r="G417" s="232" t="s">
        <v>202</v>
      </c>
      <c r="H417" s="232" t="s">
        <v>430</v>
      </c>
      <c r="I417" s="232">
        <v>1984</v>
      </c>
      <c r="J417" s="232"/>
      <c r="K417" s="134">
        <f t="shared" si="42"/>
        <v>35</v>
      </c>
      <c r="L417" s="232">
        <v>2017</v>
      </c>
      <c r="M417" s="234">
        <v>4333</v>
      </c>
      <c r="N417" s="235">
        <v>354</v>
      </c>
      <c r="O417" s="235">
        <v>39</v>
      </c>
      <c r="P417" s="235">
        <v>94</v>
      </c>
      <c r="Q417" s="235">
        <v>35</v>
      </c>
      <c r="R417" s="235">
        <f>Q417/P417*1000</f>
        <v>372.34042553191489</v>
      </c>
      <c r="S417" s="235">
        <f>ROUND(R417*CPI!$B$120/VLOOKUP($I417,CPI!$A$1:$B$140,2,FALSE)/1000,2)*1000</f>
        <v>880</v>
      </c>
      <c r="T417" s="232" t="s">
        <v>793</v>
      </c>
      <c r="U417" s="232" t="s">
        <v>248</v>
      </c>
      <c r="V417" s="232"/>
      <c r="W417" s="256"/>
      <c r="X417" s="257"/>
      <c r="Y417" s="257"/>
      <c r="Z417" s="257"/>
      <c r="AA417" s="257"/>
      <c r="AB417" s="257"/>
      <c r="AC417" s="250">
        <f t="shared" si="43"/>
        <v>1984</v>
      </c>
      <c r="AH417" s="43"/>
      <c r="AI417" s="43"/>
      <c r="AJ417" s="43"/>
    </row>
    <row r="418" spans="2:36" ht="13.5" customHeight="1">
      <c r="E418" t="s">
        <v>1487</v>
      </c>
    </row>
  </sheetData>
  <autoFilter ref="B2:AJ2"/>
  <sortState ref="C374:AF381">
    <sortCondition ref="I374:I381"/>
  </sortState>
  <mergeCells count="1">
    <mergeCell ref="W1:AB1"/>
  </mergeCells>
  <pageMargins left="0.7" right="0.7" top="0.75" bottom="0.75" header="0.3" footer="0.3"/>
  <pageSetup orientation="portrait" horizontalDpi="90" verticalDpi="9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24"/>
  <sheetViews>
    <sheetView topLeftCell="A19" workbookViewId="0">
      <selection activeCell="D65" sqref="D65"/>
    </sheetView>
  </sheetViews>
  <sheetFormatPr defaultRowHeight="12.75"/>
  <cols>
    <col min="1" max="1" width="2.7109375" customWidth="1"/>
    <col min="2" max="2" width="11" customWidth="1"/>
    <col min="3" max="3" width="22.7109375" customWidth="1"/>
    <col min="4" max="4" width="10.7109375" style="174" customWidth="1"/>
    <col min="5" max="5" width="12.7109375" style="279" customWidth="1"/>
    <col min="6" max="10" width="12.7109375" style="43" customWidth="1"/>
  </cols>
  <sheetData>
    <row r="2" spans="2:10">
      <c r="C2" s="272"/>
    </row>
    <row r="4" spans="2:10">
      <c r="C4" s="240" t="s">
        <v>439</v>
      </c>
      <c r="D4" s="240" t="s">
        <v>204</v>
      </c>
      <c r="E4" s="280" t="s">
        <v>1086</v>
      </c>
      <c r="F4" s="278" t="s">
        <v>1087</v>
      </c>
      <c r="G4" s="278" t="s">
        <v>1088</v>
      </c>
      <c r="H4" s="278" t="s">
        <v>1089</v>
      </c>
      <c r="I4" s="278" t="s">
        <v>189</v>
      </c>
      <c r="J4" s="278" t="s">
        <v>190</v>
      </c>
    </row>
    <row r="5" spans="2:10">
      <c r="B5" s="286" t="s">
        <v>200</v>
      </c>
      <c r="C5" s="2" t="s">
        <v>251</v>
      </c>
      <c r="D5" s="30" t="s">
        <v>45</v>
      </c>
      <c r="E5" s="281">
        <f t="shared" ref="E5:E32" si="0">SUM(((F5/SUM(F5:J5))*5),((G5/SUM(F5:J5))*4),((H5/SUM(F5:J5))*3),((I5/SUM(F5:J5))*2),((J5/SUM(F5:J5)*1)))</f>
        <v>4.0082382926138562</v>
      </c>
      <c r="F5" s="235">
        <v>17907</v>
      </c>
      <c r="G5" s="235">
        <v>9868</v>
      </c>
      <c r="H5" s="235">
        <v>6235</v>
      </c>
      <c r="I5" s="235">
        <v>3147</v>
      </c>
      <c r="J5" s="235">
        <v>1686</v>
      </c>
    </row>
    <row r="6" spans="2:10">
      <c r="B6" s="286"/>
      <c r="C6" s="2" t="s">
        <v>71</v>
      </c>
      <c r="D6" s="30" t="s">
        <v>93</v>
      </c>
      <c r="E6" s="281">
        <f t="shared" si="0"/>
        <v>3.9569340045514103</v>
      </c>
      <c r="F6" s="235">
        <v>12915</v>
      </c>
      <c r="G6" s="235">
        <v>7384</v>
      </c>
      <c r="H6" s="235">
        <v>4691</v>
      </c>
      <c r="I6" s="235">
        <v>2563</v>
      </c>
      <c r="J6" s="235">
        <v>1449</v>
      </c>
    </row>
    <row r="7" spans="2:10">
      <c r="B7" s="286"/>
      <c r="C7" s="2" t="s">
        <v>46</v>
      </c>
      <c r="D7" s="30" t="s">
        <v>63</v>
      </c>
      <c r="E7" s="281">
        <f t="shared" si="0"/>
        <v>3.8134237945238669</v>
      </c>
      <c r="F7" s="235">
        <v>11030</v>
      </c>
      <c r="G7" s="235">
        <v>7907</v>
      </c>
      <c r="H7" s="235">
        <v>5205</v>
      </c>
      <c r="I7" s="235">
        <v>3026</v>
      </c>
      <c r="J7" s="235">
        <v>1721</v>
      </c>
    </row>
    <row r="8" spans="2:10">
      <c r="B8" s="286"/>
      <c r="C8" s="2" t="s">
        <v>151</v>
      </c>
      <c r="D8" s="30" t="s">
        <v>93</v>
      </c>
      <c r="E8" s="281">
        <f t="shared" si="0"/>
        <v>3.6674364896073897</v>
      </c>
      <c r="F8" s="235">
        <v>1154</v>
      </c>
      <c r="G8" s="235">
        <v>882</v>
      </c>
      <c r="H8" s="235">
        <v>782</v>
      </c>
      <c r="I8" s="235">
        <v>414</v>
      </c>
      <c r="J8" s="235">
        <v>232</v>
      </c>
    </row>
    <row r="9" spans="2:10">
      <c r="B9" s="286"/>
      <c r="C9" s="2" t="s">
        <v>184</v>
      </c>
      <c r="D9" s="30" t="s">
        <v>184</v>
      </c>
      <c r="E9" s="281">
        <f t="shared" si="0"/>
        <v>3.4536063456926769</v>
      </c>
      <c r="F9" s="235">
        <v>1772</v>
      </c>
      <c r="G9" s="235">
        <v>1192</v>
      </c>
      <c r="H9" s="235">
        <v>884</v>
      </c>
      <c r="I9" s="235">
        <v>869</v>
      </c>
      <c r="J9" s="235">
        <v>704</v>
      </c>
    </row>
    <row r="10" spans="2:10">
      <c r="B10" s="286"/>
      <c r="C10" s="2" t="s">
        <v>132</v>
      </c>
      <c r="D10" s="30" t="s">
        <v>93</v>
      </c>
      <c r="E10" s="281">
        <f t="shared" si="0"/>
        <v>3.2386934673366832</v>
      </c>
      <c r="F10" s="235">
        <v>440</v>
      </c>
      <c r="G10" s="235">
        <v>321</v>
      </c>
      <c r="H10" s="235">
        <v>282</v>
      </c>
      <c r="I10" s="235">
        <v>277</v>
      </c>
      <c r="J10" s="235">
        <v>272</v>
      </c>
    </row>
    <row r="11" spans="2:10">
      <c r="B11" s="286"/>
      <c r="C11" s="2" t="s">
        <v>1090</v>
      </c>
      <c r="D11" s="30" t="s">
        <v>93</v>
      </c>
      <c r="E11" s="281">
        <f t="shared" si="0"/>
        <v>3.1786690975387422</v>
      </c>
      <c r="F11" s="235">
        <v>222</v>
      </c>
      <c r="G11" s="235">
        <v>272</v>
      </c>
      <c r="H11" s="235">
        <v>253</v>
      </c>
      <c r="I11" s="235">
        <v>180</v>
      </c>
      <c r="J11" s="235">
        <v>170</v>
      </c>
    </row>
    <row r="12" spans="2:10">
      <c r="B12" s="286"/>
      <c r="C12" s="2" t="s">
        <v>37</v>
      </c>
      <c r="D12" s="30" t="s">
        <v>45</v>
      </c>
      <c r="E12" s="281">
        <f t="shared" si="0"/>
        <v>3.134020618556701</v>
      </c>
      <c r="F12" s="235">
        <v>21</v>
      </c>
      <c r="G12" s="235">
        <v>19</v>
      </c>
      <c r="H12" s="235">
        <v>22</v>
      </c>
      <c r="I12" s="235">
        <v>22</v>
      </c>
      <c r="J12" s="235">
        <v>13</v>
      </c>
    </row>
    <row r="13" spans="2:10">
      <c r="B13" s="286" t="s">
        <v>201</v>
      </c>
      <c r="C13" s="2" t="s">
        <v>317</v>
      </c>
      <c r="D13" s="30" t="s">
        <v>277</v>
      </c>
      <c r="E13" s="281">
        <f t="shared" si="0"/>
        <v>4.6181102362204722</v>
      </c>
      <c r="F13" s="235">
        <v>2073</v>
      </c>
      <c r="G13" s="235">
        <v>466</v>
      </c>
      <c r="H13" s="235">
        <v>184</v>
      </c>
      <c r="I13" s="235">
        <v>51</v>
      </c>
      <c r="J13" s="235">
        <v>20</v>
      </c>
    </row>
    <row r="14" spans="2:10">
      <c r="B14" s="286"/>
      <c r="C14" s="2" t="s">
        <v>797</v>
      </c>
      <c r="D14" s="30" t="s">
        <v>45</v>
      </c>
      <c r="E14" s="281">
        <f t="shared" si="0"/>
        <v>4.3770614692653682</v>
      </c>
      <c r="F14" s="235">
        <v>827</v>
      </c>
      <c r="G14" s="235">
        <v>284</v>
      </c>
      <c r="H14" s="235">
        <v>145</v>
      </c>
      <c r="I14" s="235">
        <v>55</v>
      </c>
      <c r="J14" s="235">
        <v>23</v>
      </c>
    </row>
    <row r="15" spans="2:10">
      <c r="B15" s="286"/>
      <c r="C15" s="2" t="s">
        <v>178</v>
      </c>
      <c r="D15" s="30" t="s">
        <v>254</v>
      </c>
      <c r="E15" s="281">
        <f t="shared" si="0"/>
        <v>4.3692384769539077</v>
      </c>
      <c r="F15" s="235">
        <v>1284</v>
      </c>
      <c r="G15" s="235">
        <v>354</v>
      </c>
      <c r="H15" s="235">
        <v>215</v>
      </c>
      <c r="I15" s="235">
        <v>97</v>
      </c>
      <c r="J15" s="235">
        <v>46</v>
      </c>
    </row>
    <row r="16" spans="2:10">
      <c r="B16" s="286"/>
      <c r="C16" s="2" t="s">
        <v>420</v>
      </c>
      <c r="D16" s="30" t="s">
        <v>277</v>
      </c>
      <c r="E16" s="281">
        <f t="shared" si="0"/>
        <v>4.3333333333333339</v>
      </c>
      <c r="F16" s="235">
        <v>35</v>
      </c>
      <c r="G16" s="235">
        <v>9</v>
      </c>
      <c r="H16" s="235">
        <v>10</v>
      </c>
      <c r="I16" s="235">
        <v>3</v>
      </c>
      <c r="J16" s="235"/>
    </row>
    <row r="17" spans="2:10">
      <c r="B17" s="286"/>
      <c r="C17" s="2" t="s">
        <v>198</v>
      </c>
      <c r="D17" s="30" t="s">
        <v>45</v>
      </c>
      <c r="E17" s="281">
        <f t="shared" si="0"/>
        <v>4.1922619833619432</v>
      </c>
      <c r="F17" s="235">
        <v>7925</v>
      </c>
      <c r="G17" s="235">
        <v>3907</v>
      </c>
      <c r="H17" s="235">
        <v>2016</v>
      </c>
      <c r="I17" s="235">
        <v>897</v>
      </c>
      <c r="J17" s="235">
        <v>401</v>
      </c>
    </row>
    <row r="18" spans="2:10">
      <c r="B18" s="286"/>
      <c r="C18" s="2" t="s">
        <v>196</v>
      </c>
      <c r="D18" s="30" t="s">
        <v>63</v>
      </c>
      <c r="E18" s="281">
        <f t="shared" si="0"/>
        <v>4.0362389813907935</v>
      </c>
      <c r="F18" s="235">
        <v>973</v>
      </c>
      <c r="G18" s="235">
        <v>510</v>
      </c>
      <c r="H18" s="235">
        <v>304</v>
      </c>
      <c r="I18" s="235">
        <v>170</v>
      </c>
      <c r="J18" s="235">
        <v>85</v>
      </c>
    </row>
    <row r="19" spans="2:10">
      <c r="B19" s="286"/>
      <c r="C19" s="2" t="s">
        <v>747</v>
      </c>
      <c r="D19" s="30" t="s">
        <v>93</v>
      </c>
      <c r="E19" s="281">
        <f t="shared" si="0"/>
        <v>4.0028561636010505</v>
      </c>
      <c r="F19" s="235">
        <v>4031</v>
      </c>
      <c r="G19" s="235">
        <v>2239</v>
      </c>
      <c r="H19" s="235">
        <v>1359</v>
      </c>
      <c r="I19" s="235">
        <v>725</v>
      </c>
      <c r="J19" s="235">
        <v>399</v>
      </c>
    </row>
    <row r="20" spans="2:10">
      <c r="B20" s="286"/>
      <c r="C20" s="2" t="s">
        <v>195</v>
      </c>
      <c r="D20" s="30" t="s">
        <v>93</v>
      </c>
      <c r="E20" s="281">
        <f t="shared" si="0"/>
        <v>3.9803770452928622</v>
      </c>
      <c r="F20" s="235">
        <v>7275</v>
      </c>
      <c r="G20" s="235">
        <v>4720</v>
      </c>
      <c r="H20" s="235">
        <v>2829</v>
      </c>
      <c r="I20" s="235">
        <v>1355</v>
      </c>
      <c r="J20" s="235">
        <v>689</v>
      </c>
    </row>
    <row r="21" spans="2:10">
      <c r="B21" s="286"/>
      <c r="C21" s="2" t="s">
        <v>155</v>
      </c>
      <c r="D21" s="30" t="s">
        <v>93</v>
      </c>
      <c r="E21" s="281">
        <f t="shared" si="0"/>
        <v>3.9066279632317364</v>
      </c>
      <c r="F21" s="235">
        <v>935</v>
      </c>
      <c r="G21" s="235">
        <v>438</v>
      </c>
      <c r="H21" s="235">
        <v>371</v>
      </c>
      <c r="I21" s="235">
        <v>212</v>
      </c>
      <c r="J21" s="235">
        <v>111</v>
      </c>
    </row>
    <row r="22" spans="2:10">
      <c r="B22" s="286" t="s">
        <v>1084</v>
      </c>
      <c r="C22" s="2" t="s">
        <v>354</v>
      </c>
      <c r="D22" s="30" t="s">
        <v>199</v>
      </c>
      <c r="E22" s="281">
        <f t="shared" si="0"/>
        <v>4.7307692307692308</v>
      </c>
      <c r="F22" s="235">
        <v>20</v>
      </c>
      <c r="G22" s="235">
        <v>5</v>
      </c>
      <c r="H22" s="235">
        <v>1</v>
      </c>
      <c r="I22" s="235"/>
      <c r="J22" s="235"/>
    </row>
    <row r="23" spans="2:10">
      <c r="B23" s="286"/>
      <c r="C23" s="2" t="s">
        <v>370</v>
      </c>
      <c r="D23" s="30" t="s">
        <v>798</v>
      </c>
      <c r="E23" s="281">
        <f t="shared" si="0"/>
        <v>4.489583333333333</v>
      </c>
      <c r="F23" s="235">
        <v>66</v>
      </c>
      <c r="G23" s="235">
        <v>17</v>
      </c>
      <c r="H23" s="235">
        <v>9</v>
      </c>
      <c r="I23" s="235">
        <v>2</v>
      </c>
      <c r="J23" s="235">
        <v>2</v>
      </c>
    </row>
    <row r="24" spans="2:10">
      <c r="B24" s="286"/>
      <c r="C24" s="2" t="s">
        <v>430</v>
      </c>
      <c r="D24" s="30" t="s">
        <v>430</v>
      </c>
      <c r="E24" s="281">
        <f t="shared" si="0"/>
        <v>4.2972972972972974</v>
      </c>
      <c r="F24" s="235">
        <v>47</v>
      </c>
      <c r="G24" s="235">
        <v>13</v>
      </c>
      <c r="H24" s="235">
        <v>5</v>
      </c>
      <c r="I24" s="235">
        <v>7</v>
      </c>
      <c r="J24" s="235">
        <v>2</v>
      </c>
    </row>
    <row r="25" spans="2:10">
      <c r="B25" s="286"/>
      <c r="C25" s="2" t="s">
        <v>288</v>
      </c>
      <c r="D25" s="30" t="s">
        <v>253</v>
      </c>
      <c r="E25" s="281">
        <f t="shared" si="0"/>
        <v>4.2765531062124245</v>
      </c>
      <c r="F25" s="235">
        <v>298</v>
      </c>
      <c r="G25" s="235">
        <v>99</v>
      </c>
      <c r="H25" s="235">
        <v>56</v>
      </c>
      <c r="I25" s="235">
        <v>34</v>
      </c>
      <c r="J25" s="235">
        <v>12</v>
      </c>
    </row>
    <row r="26" spans="2:10">
      <c r="B26" s="286"/>
      <c r="C26" s="2" t="s">
        <v>111</v>
      </c>
      <c r="D26" s="30" t="s">
        <v>93</v>
      </c>
      <c r="E26" s="281">
        <f t="shared" si="0"/>
        <v>4.2606741573033711</v>
      </c>
      <c r="F26" s="235">
        <v>270</v>
      </c>
      <c r="G26" s="235">
        <v>73</v>
      </c>
      <c r="H26" s="235">
        <v>59</v>
      </c>
      <c r="I26" s="235">
        <v>34</v>
      </c>
      <c r="J26" s="235">
        <v>9</v>
      </c>
    </row>
    <row r="27" spans="2:10">
      <c r="B27" s="286"/>
      <c r="C27" s="2" t="s">
        <v>454</v>
      </c>
      <c r="D27" s="30" t="s">
        <v>454</v>
      </c>
      <c r="E27" s="281">
        <f t="shared" si="0"/>
        <v>4.1847133757961785</v>
      </c>
      <c r="F27" s="235">
        <v>372</v>
      </c>
      <c r="G27" s="235">
        <v>101</v>
      </c>
      <c r="H27" s="235">
        <v>79</v>
      </c>
      <c r="I27" s="235">
        <v>51</v>
      </c>
      <c r="J27" s="235">
        <v>25</v>
      </c>
    </row>
    <row r="28" spans="2:10">
      <c r="B28" s="286"/>
      <c r="C28" s="2" t="s">
        <v>332</v>
      </c>
      <c r="D28" s="30" t="s">
        <v>786</v>
      </c>
      <c r="E28" s="281">
        <f t="shared" si="0"/>
        <v>4.1225000000000005</v>
      </c>
      <c r="F28" s="235">
        <v>214</v>
      </c>
      <c r="G28" s="235">
        <v>93</v>
      </c>
      <c r="H28" s="235">
        <v>42</v>
      </c>
      <c r="I28" s="235">
        <v>30</v>
      </c>
      <c r="J28" s="235">
        <v>21</v>
      </c>
    </row>
    <row r="29" spans="2:10">
      <c r="B29" s="286"/>
      <c r="C29" s="2" t="s">
        <v>944</v>
      </c>
      <c r="D29" s="30" t="s">
        <v>1020</v>
      </c>
      <c r="E29" s="281">
        <f t="shared" si="0"/>
        <v>3.96</v>
      </c>
      <c r="F29" s="235">
        <v>12</v>
      </c>
      <c r="G29" s="235">
        <v>4</v>
      </c>
      <c r="H29" s="235">
        <v>5</v>
      </c>
      <c r="I29" s="235">
        <v>4</v>
      </c>
      <c r="J29" s="235"/>
    </row>
    <row r="30" spans="2:10">
      <c r="B30" s="286"/>
      <c r="C30" s="2" t="s">
        <v>374</v>
      </c>
      <c r="D30" s="30" t="s">
        <v>377</v>
      </c>
      <c r="E30" s="281">
        <f t="shared" si="0"/>
        <v>3.9509803921568629</v>
      </c>
      <c r="F30" s="235">
        <v>108</v>
      </c>
      <c r="G30" s="235">
        <v>32</v>
      </c>
      <c r="H30" s="235">
        <v>25</v>
      </c>
      <c r="I30" s="235">
        <v>24</v>
      </c>
      <c r="J30" s="235">
        <v>15</v>
      </c>
    </row>
    <row r="31" spans="2:10">
      <c r="B31" s="286"/>
      <c r="C31" s="2" t="s">
        <v>316</v>
      </c>
      <c r="D31" s="30" t="s">
        <v>45</v>
      </c>
      <c r="E31" s="281">
        <f t="shared" si="0"/>
        <v>3.9430814524043178</v>
      </c>
      <c r="F31" s="235">
        <v>477</v>
      </c>
      <c r="G31" s="235">
        <v>210</v>
      </c>
      <c r="H31" s="235">
        <v>180</v>
      </c>
      <c r="I31" s="235">
        <v>101</v>
      </c>
      <c r="J31" s="235">
        <v>51</v>
      </c>
    </row>
    <row r="32" spans="2:10">
      <c r="B32" s="286"/>
      <c r="C32" s="2" t="s">
        <v>65</v>
      </c>
      <c r="D32" s="30" t="s">
        <v>63</v>
      </c>
      <c r="E32" s="281">
        <f t="shared" si="0"/>
        <v>3.9077720207253881</v>
      </c>
      <c r="F32" s="235">
        <v>459</v>
      </c>
      <c r="G32" s="235">
        <v>175</v>
      </c>
      <c r="H32" s="235">
        <v>163</v>
      </c>
      <c r="I32" s="235">
        <v>119</v>
      </c>
      <c r="J32" s="235">
        <v>49</v>
      </c>
    </row>
    <row r="33" spans="3:10">
      <c r="C33" s="2"/>
      <c r="D33" s="30" t="s">
        <v>93</v>
      </c>
      <c r="E33" s="281">
        <f t="shared" ref="E33:E37" si="1">SUM(((F33/SUM(F33:J33))*5),((G33/SUM(F33:J33))*4),((H33/SUM(F33:J33))*3),((I33/SUM(F33:J33))*2),((J33/SUM(F33:J33)*1)))</f>
        <v>3.9226235621286816</v>
      </c>
      <c r="F33" s="67">
        <f>SUMIFS(F$5:F$32,$D$5:$D$32,$D33)</f>
        <v>27242</v>
      </c>
      <c r="G33" s="67">
        <f t="shared" ref="G33:J36" si="2">SUMIFS(G$5:G$32,$D$5:$D$32,$D33)</f>
        <v>16329</v>
      </c>
      <c r="H33" s="67">
        <f t="shared" si="2"/>
        <v>10626</v>
      </c>
      <c r="I33" s="67">
        <f t="shared" si="2"/>
        <v>5760</v>
      </c>
      <c r="J33" s="67">
        <f t="shared" si="2"/>
        <v>3331</v>
      </c>
    </row>
    <row r="34" spans="3:10">
      <c r="C34" s="2"/>
      <c r="D34" s="30" t="s">
        <v>45</v>
      </c>
      <c r="E34" s="281">
        <f t="shared" si="1"/>
        <v>4.0636616524034794</v>
      </c>
      <c r="F34" s="67">
        <f t="shared" ref="F34:F36" si="3">SUMIFS(F$5:F$32,$D$5:$D$32,$D34)</f>
        <v>27157</v>
      </c>
      <c r="G34" s="67">
        <f t="shared" si="2"/>
        <v>14288</v>
      </c>
      <c r="H34" s="67">
        <f t="shared" si="2"/>
        <v>8598</v>
      </c>
      <c r="I34" s="67">
        <f t="shared" si="2"/>
        <v>4222</v>
      </c>
      <c r="J34" s="67">
        <f t="shared" si="2"/>
        <v>2174</v>
      </c>
    </row>
    <row r="35" spans="3:10">
      <c r="C35" s="2"/>
      <c r="D35" s="30" t="s">
        <v>184</v>
      </c>
      <c r="E35" s="281">
        <f t="shared" si="1"/>
        <v>3.4536063456926769</v>
      </c>
      <c r="F35" s="67">
        <f t="shared" si="3"/>
        <v>1772</v>
      </c>
      <c r="G35" s="67">
        <f t="shared" si="2"/>
        <v>1192</v>
      </c>
      <c r="H35" s="67">
        <f t="shared" si="2"/>
        <v>884</v>
      </c>
      <c r="I35" s="67">
        <f t="shared" si="2"/>
        <v>869</v>
      </c>
      <c r="J35" s="67">
        <f t="shared" si="2"/>
        <v>704</v>
      </c>
    </row>
    <row r="36" spans="3:10">
      <c r="C36" s="2"/>
      <c r="D36" s="30" t="s">
        <v>63</v>
      </c>
      <c r="E36" s="281">
        <f t="shared" si="1"/>
        <v>3.8305430147980943</v>
      </c>
      <c r="F36" s="67">
        <f t="shared" si="3"/>
        <v>12462</v>
      </c>
      <c r="G36" s="67">
        <f t="shared" si="2"/>
        <v>8592</v>
      </c>
      <c r="H36" s="67">
        <f t="shared" si="2"/>
        <v>5672</v>
      </c>
      <c r="I36" s="67">
        <f t="shared" si="2"/>
        <v>3315</v>
      </c>
      <c r="J36" s="67">
        <f t="shared" si="2"/>
        <v>1855</v>
      </c>
    </row>
    <row r="37" spans="3:10" ht="13.5" thickBot="1">
      <c r="C37" s="2"/>
      <c r="D37" s="33" t="s">
        <v>244</v>
      </c>
      <c r="E37" s="284">
        <f t="shared" si="1"/>
        <v>3.9584480264643589</v>
      </c>
      <c r="F37" s="178">
        <f>SUM(F39,F40,F41)</f>
        <v>73162</v>
      </c>
      <c r="G37" s="178">
        <f>SUM(G39,G40,G41)</f>
        <v>41594</v>
      </c>
      <c r="H37" s="178">
        <f>SUM(H39,H40,H41)</f>
        <v>26411</v>
      </c>
      <c r="I37" s="178">
        <f>SUM(I39,I40,I41)</f>
        <v>14469</v>
      </c>
      <c r="J37" s="178">
        <f>SUM(J39,J40,J41)</f>
        <v>8207</v>
      </c>
    </row>
    <row r="38" spans="3:10">
      <c r="C38" s="2"/>
      <c r="D38" s="30"/>
    </row>
    <row r="39" spans="3:10">
      <c r="C39" s="65" t="s">
        <v>200</v>
      </c>
      <c r="D39" s="177"/>
      <c r="E39" s="282">
        <f>SUM(((F39/SUM(F39:J39))*5),((G39/SUM(F39:J39))*4),((H39/SUM(F39:J39))*3),((I39/SUM(F39:J39))*2),((J39/SUM(F39:J39)*1)))</f>
        <v>3.8834924588349247</v>
      </c>
      <c r="F39" s="283">
        <f>SUM(F5:F12)</f>
        <v>45461</v>
      </c>
      <c r="G39" s="283">
        <f>SUM(G5:G12)</f>
        <v>27845</v>
      </c>
      <c r="H39" s="283">
        <f>SUM(H5:H12)</f>
        <v>18354</v>
      </c>
      <c r="I39" s="283">
        <f>SUM(I5:I12)</f>
        <v>10498</v>
      </c>
      <c r="J39" s="283">
        <f>SUM(J5:J12)</f>
        <v>6247</v>
      </c>
    </row>
    <row r="40" spans="3:10">
      <c r="C40" s="65" t="s">
        <v>201</v>
      </c>
      <c r="D40" s="177"/>
      <c r="E40" s="282">
        <f>SUM(((F40/SUM(F40:J40))*5),((G40/SUM(F40:J40))*4),((H40/SUM(F40:J40))*3),((I40/SUM(F40:J40))*2),((J40/SUM(F40:J40)*1)))</f>
        <v>4.1071939205202037</v>
      </c>
      <c r="F40" s="283">
        <f>SUM(F13:F21)</f>
        <v>25358</v>
      </c>
      <c r="G40" s="283">
        <f>SUM(G13:G21)</f>
        <v>12927</v>
      </c>
      <c r="H40" s="283">
        <f>SUM(H13:H21)</f>
        <v>7433</v>
      </c>
      <c r="I40" s="283">
        <f>SUM(I13:I21)</f>
        <v>3565</v>
      </c>
      <c r="J40" s="283">
        <f>SUM(J13:J21)</f>
        <v>1774</v>
      </c>
    </row>
    <row r="41" spans="3:10">
      <c r="C41" s="65" t="s">
        <v>1084</v>
      </c>
      <c r="D41" s="177"/>
      <c r="E41" s="282">
        <f>SUM(((F41/SUM(F41:J41))*5),((G41/SUM(F41:J41))*4),((H41/SUM(F41:J41))*3),((I41/SUM(F41:J41))*2),((J41/SUM(F41:J41)*1)))</f>
        <v>4.0796621775850257</v>
      </c>
      <c r="F41" s="283">
        <f>SUM(F22:F32)</f>
        <v>2343</v>
      </c>
      <c r="G41" s="283">
        <f>SUM(G22:G32)</f>
        <v>822</v>
      </c>
      <c r="H41" s="283">
        <f>SUM(H22:H32)</f>
        <v>624</v>
      </c>
      <c r="I41" s="283">
        <f>SUM(I22:I32)</f>
        <v>406</v>
      </c>
      <c r="J41" s="283">
        <f>SUM(J22:J32)</f>
        <v>186</v>
      </c>
    </row>
    <row r="42" spans="3:10">
      <c r="C42" s="2"/>
      <c r="D42" s="30"/>
    </row>
    <row r="43" spans="3:10">
      <c r="C43" s="2"/>
      <c r="D43" s="30"/>
    </row>
    <row r="44" spans="3:10">
      <c r="C44" s="2"/>
      <c r="D44" s="30"/>
    </row>
    <row r="45" spans="3:10">
      <c r="C45" s="2"/>
      <c r="D45" s="30"/>
    </row>
    <row r="46" spans="3:10">
      <c r="C46" s="2"/>
      <c r="D46" s="30"/>
    </row>
    <row r="47" spans="3:10">
      <c r="C47" s="2"/>
      <c r="D47" s="30"/>
    </row>
    <row r="48" spans="3:10">
      <c r="C48" s="2"/>
      <c r="D48" s="30"/>
    </row>
    <row r="49" spans="3:4">
      <c r="C49" s="2"/>
      <c r="D49" s="30"/>
    </row>
    <row r="50" spans="3:4">
      <c r="C50" s="2"/>
      <c r="D50" s="30"/>
    </row>
    <row r="51" spans="3:4">
      <c r="C51" s="2"/>
      <c r="D51" s="30"/>
    </row>
    <row r="52" spans="3:4">
      <c r="C52" s="2"/>
      <c r="D52" s="30"/>
    </row>
    <row r="53" spans="3:4">
      <c r="C53" s="2"/>
      <c r="D53" s="30"/>
    </row>
    <row r="54" spans="3:4">
      <c r="C54" s="2"/>
      <c r="D54" s="30"/>
    </row>
    <row r="55" spans="3:4" ht="13.5" thickBot="1">
      <c r="C55" s="34"/>
      <c r="D55" s="30"/>
    </row>
    <row r="56" spans="3:4" ht="13.5" thickBot="1">
      <c r="C56" s="2"/>
      <c r="D56" s="179"/>
    </row>
    <row r="57" spans="3:4">
      <c r="C57" s="2"/>
      <c r="D57" s="30"/>
    </row>
    <row r="118" spans="4:4">
      <c r="D118" s="180"/>
    </row>
    <row r="120" spans="4:4">
      <c r="D120" s="180"/>
    </row>
    <row r="121" spans="4:4">
      <c r="D121" s="180"/>
    </row>
    <row r="123" spans="4:4">
      <c r="D123" s="180"/>
    </row>
    <row r="124" spans="4:4">
      <c r="D124" s="180"/>
    </row>
  </sheetData>
  <sortState ref="C24:J34">
    <sortCondition descending="1" ref="E24:E34"/>
  </sortState>
  <mergeCells count="3">
    <mergeCell ref="B5:B12"/>
    <mergeCell ref="B13:B21"/>
    <mergeCell ref="B22:B3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F131"/>
  <sheetViews>
    <sheetView showZeros="0" zoomScale="80" zoomScaleNormal="80" workbookViewId="0">
      <pane xSplit="2" ySplit="3" topLeftCell="C4" activePane="bottomRight" state="frozen"/>
      <selection pane="topRight" activeCell="C1" sqref="C1"/>
      <selection pane="bottomLeft" activeCell="A6" sqref="A6"/>
      <selection pane="bottomRight" activeCell="S34" sqref="S34"/>
    </sheetView>
  </sheetViews>
  <sheetFormatPr defaultRowHeight="12.75"/>
  <cols>
    <col min="1" max="1" width="2.7109375" style="127" customWidth="1"/>
    <col min="2" max="2" width="50.7109375" style="127" customWidth="1"/>
    <col min="3" max="74" width="9.140625" style="127" customWidth="1"/>
    <col min="75" max="16384" width="9.140625" style="127"/>
  </cols>
  <sheetData>
    <row r="2" spans="1:162" ht="13.5" customHeight="1">
      <c r="A2" s="260"/>
      <c r="B2" s="261" t="s">
        <v>867</v>
      </c>
      <c r="C2" s="262">
        <v>31502</v>
      </c>
      <c r="D2" s="262">
        <v>31593</v>
      </c>
      <c r="E2" s="262">
        <v>31685</v>
      </c>
      <c r="F2" s="262">
        <v>31777</v>
      </c>
      <c r="G2" s="262">
        <v>31867</v>
      </c>
      <c r="H2" s="262">
        <v>31958</v>
      </c>
      <c r="I2" s="262">
        <v>32050</v>
      </c>
      <c r="J2" s="262">
        <v>32142</v>
      </c>
      <c r="K2" s="262">
        <v>32233</v>
      </c>
      <c r="L2" s="262">
        <v>32324</v>
      </c>
      <c r="M2" s="262">
        <v>32416</v>
      </c>
      <c r="N2" s="262">
        <v>32508</v>
      </c>
      <c r="O2" s="262">
        <v>32598</v>
      </c>
      <c r="P2" s="262">
        <v>32689</v>
      </c>
      <c r="Q2" s="262">
        <v>32781</v>
      </c>
      <c r="R2" s="262">
        <v>32873</v>
      </c>
      <c r="S2" s="262">
        <v>32963</v>
      </c>
      <c r="T2" s="262">
        <v>33054</v>
      </c>
      <c r="U2" s="262">
        <v>33146</v>
      </c>
      <c r="V2" s="262">
        <v>33238</v>
      </c>
      <c r="W2" s="262">
        <v>33328</v>
      </c>
      <c r="X2" s="262">
        <v>33419</v>
      </c>
      <c r="Y2" s="262">
        <v>33511</v>
      </c>
      <c r="Z2" s="262">
        <v>33603</v>
      </c>
      <c r="AA2" s="262">
        <v>33694</v>
      </c>
      <c r="AB2" s="262">
        <v>33785</v>
      </c>
      <c r="AC2" s="262">
        <v>33877</v>
      </c>
      <c r="AD2" s="262">
        <v>33969</v>
      </c>
      <c r="AE2" s="262">
        <v>34059</v>
      </c>
      <c r="AF2" s="262">
        <v>34150</v>
      </c>
      <c r="AG2" s="262">
        <v>34242</v>
      </c>
      <c r="AH2" s="262">
        <v>34334</v>
      </c>
      <c r="AI2" s="262">
        <v>34424</v>
      </c>
      <c r="AJ2" s="262">
        <v>34515</v>
      </c>
      <c r="AK2" s="262">
        <v>34607</v>
      </c>
      <c r="AL2" s="262">
        <v>34699</v>
      </c>
      <c r="AM2" s="262">
        <v>34789</v>
      </c>
      <c r="AN2" s="262">
        <v>34880</v>
      </c>
      <c r="AO2" s="262">
        <v>34972</v>
      </c>
      <c r="AP2" s="262">
        <v>35064</v>
      </c>
      <c r="AQ2" s="262">
        <v>35155</v>
      </c>
      <c r="AR2" s="262">
        <v>35246</v>
      </c>
      <c r="AS2" s="262">
        <v>35338</v>
      </c>
      <c r="AT2" s="262">
        <v>35430</v>
      </c>
      <c r="AU2" s="262">
        <v>35520</v>
      </c>
      <c r="AV2" s="262">
        <v>35611</v>
      </c>
      <c r="AW2" s="262">
        <v>35703</v>
      </c>
      <c r="AX2" s="262">
        <v>35795</v>
      </c>
      <c r="AY2" s="262">
        <v>35885</v>
      </c>
      <c r="AZ2" s="262">
        <v>35976</v>
      </c>
      <c r="BA2" s="262">
        <v>36068</v>
      </c>
      <c r="BB2" s="262">
        <v>36160</v>
      </c>
      <c r="BC2" s="262">
        <v>36250</v>
      </c>
      <c r="BD2" s="262">
        <v>36341</v>
      </c>
      <c r="BE2" s="262">
        <v>36433</v>
      </c>
      <c r="BF2" s="262">
        <v>36525</v>
      </c>
      <c r="BG2" s="262">
        <v>36616</v>
      </c>
      <c r="BH2" s="262">
        <v>36707</v>
      </c>
      <c r="BI2" s="262">
        <v>36799</v>
      </c>
      <c r="BJ2" s="262">
        <v>36891</v>
      </c>
      <c r="BK2" s="262">
        <v>36981</v>
      </c>
      <c r="BL2" s="262">
        <v>37072</v>
      </c>
      <c r="BM2" s="262">
        <v>37164</v>
      </c>
      <c r="BN2" s="262">
        <v>37256</v>
      </c>
      <c r="BO2" s="262">
        <v>37346</v>
      </c>
      <c r="BP2" s="262">
        <v>37437</v>
      </c>
      <c r="BQ2" s="262">
        <v>37529</v>
      </c>
      <c r="BR2" s="262">
        <v>37621</v>
      </c>
      <c r="BS2" s="262">
        <v>37711</v>
      </c>
      <c r="BT2" s="262">
        <v>37802</v>
      </c>
      <c r="BU2" s="262">
        <v>37894</v>
      </c>
      <c r="BV2" s="262">
        <v>37986</v>
      </c>
      <c r="BW2" s="262">
        <v>38077</v>
      </c>
      <c r="BX2" s="262">
        <v>38168</v>
      </c>
      <c r="BY2" s="262">
        <v>38260</v>
      </c>
      <c r="BZ2" s="262">
        <v>38352</v>
      </c>
      <c r="CA2" s="262">
        <v>38442</v>
      </c>
      <c r="CB2" s="262">
        <v>38533</v>
      </c>
      <c r="CC2" s="262">
        <v>38625</v>
      </c>
      <c r="CD2" s="262">
        <v>38717</v>
      </c>
      <c r="CE2" s="262">
        <v>38807</v>
      </c>
      <c r="CF2" s="262">
        <v>38898</v>
      </c>
      <c r="CG2" s="262">
        <v>38990</v>
      </c>
      <c r="CH2" s="262">
        <v>39082</v>
      </c>
      <c r="CI2" s="262">
        <v>39172</v>
      </c>
      <c r="CJ2" s="262">
        <v>39263</v>
      </c>
      <c r="CK2" s="262">
        <v>39355</v>
      </c>
      <c r="CL2" s="262">
        <v>39447</v>
      </c>
      <c r="CM2" s="262">
        <v>39538</v>
      </c>
      <c r="CN2" s="262">
        <v>39629</v>
      </c>
      <c r="CO2" s="262">
        <v>39721</v>
      </c>
      <c r="CP2" s="262">
        <v>39813</v>
      </c>
      <c r="CQ2" s="262">
        <v>39903</v>
      </c>
      <c r="CR2" s="262">
        <v>39994</v>
      </c>
      <c r="CS2" s="262">
        <v>40086</v>
      </c>
      <c r="CT2" s="262">
        <v>40178</v>
      </c>
      <c r="CU2" s="262">
        <v>40268</v>
      </c>
      <c r="CV2" s="262">
        <v>40359</v>
      </c>
      <c r="CW2" s="262">
        <v>40451</v>
      </c>
      <c r="CX2" s="262">
        <v>40543</v>
      </c>
      <c r="CY2" s="262">
        <v>40633</v>
      </c>
      <c r="CZ2" s="262">
        <v>40724</v>
      </c>
      <c r="DA2" s="262">
        <v>40816</v>
      </c>
      <c r="DB2" s="262">
        <v>40908</v>
      </c>
      <c r="DC2" s="262">
        <v>40999</v>
      </c>
      <c r="DD2" s="262">
        <v>41090</v>
      </c>
      <c r="DE2" s="262">
        <v>41182</v>
      </c>
      <c r="DF2" s="262">
        <v>41274</v>
      </c>
      <c r="DG2" s="262">
        <v>41364</v>
      </c>
      <c r="DH2" s="262">
        <v>41455</v>
      </c>
      <c r="DI2" s="262">
        <v>41547</v>
      </c>
      <c r="DJ2" s="262">
        <v>41639</v>
      </c>
      <c r="DK2" s="262">
        <v>41729</v>
      </c>
      <c r="DL2" s="262">
        <v>41820</v>
      </c>
      <c r="DM2" s="262">
        <v>41912</v>
      </c>
      <c r="DN2" s="262">
        <v>42004</v>
      </c>
      <c r="DO2" s="262">
        <v>42094</v>
      </c>
      <c r="DP2" s="262">
        <v>42185</v>
      </c>
      <c r="DQ2" s="262">
        <v>42277</v>
      </c>
      <c r="DR2" s="262">
        <v>42369</v>
      </c>
      <c r="DS2" s="262">
        <v>42460</v>
      </c>
      <c r="DT2" s="262">
        <v>42551</v>
      </c>
      <c r="DU2" s="262">
        <v>42643</v>
      </c>
      <c r="DV2" s="262">
        <v>42735</v>
      </c>
      <c r="DW2" s="262">
        <v>42825</v>
      </c>
      <c r="DX2" s="262">
        <v>42916</v>
      </c>
      <c r="DY2" s="262">
        <v>43008</v>
      </c>
      <c r="DZ2" s="262">
        <v>43100</v>
      </c>
      <c r="EA2" s="262">
        <v>43190</v>
      </c>
      <c r="EB2" s="262">
        <v>43281</v>
      </c>
      <c r="EC2" s="262">
        <v>43373</v>
      </c>
      <c r="ED2" s="262">
        <v>43465</v>
      </c>
      <c r="EE2" s="262">
        <v>43555</v>
      </c>
      <c r="EF2" s="262">
        <v>43646</v>
      </c>
      <c r="EG2" s="262">
        <v>43738</v>
      </c>
      <c r="EH2" s="262">
        <v>43830</v>
      </c>
      <c r="EI2" s="262">
        <v>43921</v>
      </c>
      <c r="EJ2" s="262">
        <v>44012</v>
      </c>
      <c r="EK2" s="262">
        <v>44104</v>
      </c>
      <c r="EL2" s="262">
        <v>44196</v>
      </c>
      <c r="EM2" s="262">
        <v>44286</v>
      </c>
      <c r="EN2" s="262">
        <v>44377</v>
      </c>
      <c r="EO2" s="262">
        <v>44469</v>
      </c>
      <c r="EP2" s="262">
        <v>44561</v>
      </c>
      <c r="EQ2" s="262">
        <v>44651</v>
      </c>
      <c r="ER2" s="262">
        <v>44742</v>
      </c>
      <c r="ES2" s="262">
        <v>44834</v>
      </c>
      <c r="ET2" s="262">
        <v>44926</v>
      </c>
      <c r="EU2" s="262">
        <v>45016</v>
      </c>
      <c r="EV2" s="262">
        <v>45107</v>
      </c>
      <c r="EW2" s="262">
        <v>45199</v>
      </c>
      <c r="EX2" s="262">
        <v>45291</v>
      </c>
      <c r="EY2" s="262">
        <v>45382</v>
      </c>
      <c r="EZ2" s="262">
        <v>45473</v>
      </c>
      <c r="FA2" s="262">
        <v>45565</v>
      </c>
      <c r="FB2" s="262">
        <v>45657</v>
      </c>
      <c r="FC2" s="262">
        <v>45747</v>
      </c>
      <c r="FD2" s="262">
        <v>45838</v>
      </c>
      <c r="FE2" s="262">
        <v>45930</v>
      </c>
      <c r="FF2" s="262">
        <v>46022</v>
      </c>
    </row>
    <row r="3" spans="1:162" ht="13.5" customHeight="1">
      <c r="A3" s="260"/>
      <c r="B3" s="261"/>
      <c r="C3" s="263"/>
      <c r="D3" s="263"/>
      <c r="E3" s="263"/>
      <c r="F3" s="263"/>
      <c r="G3" s="263"/>
      <c r="H3" s="263"/>
      <c r="I3" s="263"/>
      <c r="J3" s="263"/>
      <c r="K3" s="263"/>
      <c r="L3" s="263"/>
      <c r="M3" s="263"/>
      <c r="N3" s="263"/>
      <c r="O3" s="263"/>
      <c r="P3" s="263"/>
      <c r="Q3" s="263"/>
      <c r="R3" s="263"/>
      <c r="S3" s="263"/>
      <c r="T3" s="263"/>
      <c r="U3" s="263"/>
      <c r="V3" s="263"/>
      <c r="W3" s="263"/>
      <c r="X3" s="263"/>
      <c r="Y3" s="263"/>
      <c r="Z3" s="263"/>
      <c r="AA3" s="263"/>
      <c r="AB3" s="263"/>
      <c r="AC3" s="263"/>
      <c r="AD3" s="263"/>
      <c r="AE3" s="263"/>
      <c r="AF3" s="263"/>
      <c r="AG3" s="263"/>
      <c r="AH3" s="263"/>
      <c r="AI3" s="263"/>
      <c r="AJ3" s="263"/>
      <c r="AK3" s="263"/>
      <c r="AL3" s="263"/>
      <c r="AM3" s="263"/>
      <c r="AN3" s="263"/>
      <c r="AO3" s="263"/>
      <c r="AP3" s="263"/>
      <c r="AQ3" s="263"/>
      <c r="AR3" s="263"/>
      <c r="AS3" s="263"/>
      <c r="AT3" s="263"/>
      <c r="AU3" s="263"/>
      <c r="AV3" s="263"/>
      <c r="AW3" s="263"/>
      <c r="AX3" s="263"/>
      <c r="AY3" s="263"/>
      <c r="AZ3" s="263"/>
      <c r="BA3" s="263"/>
      <c r="BB3" s="263"/>
      <c r="BC3" s="263"/>
      <c r="BD3" s="263"/>
      <c r="BE3" s="263"/>
      <c r="BF3" s="263"/>
      <c r="BG3" s="263"/>
      <c r="BH3" s="263"/>
      <c r="BI3" s="263"/>
      <c r="BJ3" s="263"/>
      <c r="BK3" s="263"/>
      <c r="BL3" s="263"/>
      <c r="BM3" s="263"/>
      <c r="BN3" s="263"/>
      <c r="BO3" s="263"/>
      <c r="BP3" s="263"/>
      <c r="BQ3" s="263"/>
      <c r="BR3" s="263"/>
      <c r="BS3" s="263"/>
      <c r="BT3" s="263"/>
      <c r="BU3" s="263"/>
      <c r="BV3" s="263"/>
      <c r="BW3" s="263"/>
      <c r="BX3" s="263"/>
      <c r="BY3" s="263"/>
      <c r="BZ3" s="263"/>
      <c r="CA3" s="263"/>
      <c r="CB3" s="263"/>
      <c r="CC3" s="263"/>
      <c r="CD3" s="263"/>
      <c r="CE3" s="263"/>
      <c r="CF3" s="263"/>
      <c r="CG3" s="263"/>
      <c r="CH3" s="263"/>
      <c r="CI3" s="263"/>
      <c r="CJ3" s="263"/>
      <c r="CK3" s="263"/>
      <c r="CL3" s="263"/>
      <c r="CM3" s="263"/>
      <c r="CN3" s="263"/>
      <c r="CO3" s="263"/>
      <c r="CP3" s="263"/>
      <c r="CQ3" s="263"/>
      <c r="CR3" s="263"/>
      <c r="CS3" s="263"/>
      <c r="CT3" s="263"/>
      <c r="CU3" s="263"/>
      <c r="CV3" s="263"/>
      <c r="CW3" s="263"/>
      <c r="CX3" s="263"/>
      <c r="CY3" s="263"/>
      <c r="CZ3" s="263"/>
      <c r="DA3" s="263"/>
      <c r="DB3" s="263"/>
      <c r="DC3" s="263"/>
      <c r="DD3" s="263"/>
      <c r="DE3" s="263"/>
      <c r="DF3" s="263"/>
      <c r="DG3" s="263"/>
      <c r="DH3" s="263"/>
      <c r="DI3" s="263"/>
      <c r="DJ3" s="263"/>
      <c r="DK3" s="263"/>
      <c r="DL3" s="263"/>
      <c r="DM3" s="263"/>
      <c r="DN3" s="263"/>
      <c r="DO3" s="263"/>
      <c r="DP3" s="263"/>
      <c r="DQ3" s="263"/>
      <c r="DR3" s="263"/>
      <c r="DS3" s="263"/>
      <c r="DT3" s="263"/>
      <c r="DU3" s="263"/>
      <c r="DV3" s="263"/>
      <c r="DW3" s="263"/>
      <c r="DX3" s="263"/>
      <c r="DY3" s="263"/>
      <c r="DZ3" s="263"/>
      <c r="EA3" s="263"/>
      <c r="EB3" s="263"/>
      <c r="EC3" s="263"/>
      <c r="ED3" s="263"/>
      <c r="EE3" s="263"/>
      <c r="EF3" s="263"/>
      <c r="EG3" s="263"/>
      <c r="EH3" s="263"/>
      <c r="EI3" s="263"/>
      <c r="EJ3" s="263"/>
      <c r="EK3" s="263"/>
      <c r="EL3" s="263"/>
      <c r="EM3" s="263"/>
      <c r="EN3" s="263"/>
      <c r="EO3" s="263"/>
      <c r="EP3" s="263"/>
      <c r="EQ3" s="263"/>
      <c r="ER3" s="263"/>
      <c r="ES3" s="263"/>
      <c r="ET3" s="263"/>
      <c r="EU3" s="263"/>
      <c r="EV3" s="263"/>
      <c r="EW3" s="263"/>
      <c r="EX3" s="263"/>
      <c r="EY3" s="263"/>
      <c r="EZ3" s="263"/>
      <c r="FA3" s="263"/>
      <c r="FB3" s="263"/>
      <c r="FC3" s="263"/>
      <c r="FD3" s="263"/>
      <c r="FE3" s="263"/>
      <c r="FF3" s="263"/>
    </row>
    <row r="4" spans="1:162">
      <c r="B4" s="127" t="s">
        <v>868</v>
      </c>
      <c r="AE4" s="264">
        <f>SUM(AE6:AE8)</f>
        <v>7374</v>
      </c>
      <c r="AF4" s="264">
        <f t="shared" ref="AF4:BV4" si="0">SUM(AF6:AF8)</f>
        <v>5024</v>
      </c>
      <c r="AG4" s="264">
        <f t="shared" si="0"/>
        <v>5024</v>
      </c>
      <c r="AH4" s="264">
        <f t="shared" si="0"/>
        <v>7064</v>
      </c>
      <c r="AI4" s="264">
        <f t="shared" si="0"/>
        <v>2040</v>
      </c>
      <c r="AJ4" s="264">
        <f t="shared" si="0"/>
        <v>2040</v>
      </c>
      <c r="AK4" s="264">
        <f t="shared" si="0"/>
        <v>4080</v>
      </c>
      <c r="AL4" s="264">
        <f t="shared" si="0"/>
        <v>3306</v>
      </c>
      <c r="AM4" s="264">
        <f t="shared" si="0"/>
        <v>3306</v>
      </c>
      <c r="AN4" s="264">
        <f t="shared" si="0"/>
        <v>5106</v>
      </c>
      <c r="AO4" s="264">
        <f t="shared" si="0"/>
        <v>5106</v>
      </c>
      <c r="AP4" s="264">
        <f t="shared" si="0"/>
        <v>3840</v>
      </c>
      <c r="AQ4" s="264">
        <f t="shared" si="0"/>
        <v>3840</v>
      </c>
      <c r="AR4" s="264">
        <f t="shared" si="0"/>
        <v>7146</v>
      </c>
      <c r="AS4" s="264">
        <f t="shared" si="0"/>
        <v>5106</v>
      </c>
      <c r="AT4" s="264">
        <f t="shared" si="0"/>
        <v>9698</v>
      </c>
      <c r="AU4" s="264">
        <f t="shared" si="0"/>
        <v>9698</v>
      </c>
      <c r="AV4" s="264">
        <f t="shared" si="0"/>
        <v>6592</v>
      </c>
      <c r="AW4" s="264">
        <f t="shared" si="0"/>
        <v>8542</v>
      </c>
      <c r="AX4" s="264">
        <f t="shared" si="0"/>
        <v>7116</v>
      </c>
      <c r="AY4" s="264">
        <f t="shared" si="0"/>
        <v>7116</v>
      </c>
      <c r="AZ4" s="264">
        <f t="shared" si="0"/>
        <v>9480</v>
      </c>
      <c r="BA4" s="264">
        <f t="shared" si="0"/>
        <v>7530</v>
      </c>
      <c r="BB4" s="264">
        <f t="shared" si="0"/>
        <v>4364</v>
      </c>
      <c r="BC4" s="264">
        <f t="shared" si="0"/>
        <v>6416</v>
      </c>
      <c r="BD4" s="264">
        <f t="shared" si="0"/>
        <v>2052</v>
      </c>
      <c r="BE4" s="264">
        <f t="shared" si="0"/>
        <v>6738</v>
      </c>
      <c r="BF4" s="264">
        <f t="shared" si="0"/>
        <v>11278</v>
      </c>
      <c r="BG4" s="264">
        <f t="shared" si="0"/>
        <v>9226</v>
      </c>
      <c r="BH4" s="264">
        <f t="shared" si="0"/>
        <v>10666</v>
      </c>
      <c r="BI4" s="264">
        <f t="shared" si="0"/>
        <v>8130</v>
      </c>
      <c r="BJ4" s="264">
        <f t="shared" si="0"/>
        <v>10828</v>
      </c>
      <c r="BK4" s="264">
        <f t="shared" si="0"/>
        <v>12978</v>
      </c>
      <c r="BL4" s="264">
        <f t="shared" si="0"/>
        <v>15762</v>
      </c>
      <c r="BM4" s="264">
        <f t="shared" si="0"/>
        <v>13612</v>
      </c>
      <c r="BN4" s="264">
        <f t="shared" si="0"/>
        <v>15908</v>
      </c>
      <c r="BO4" s="264">
        <f t="shared" si="0"/>
        <v>15882</v>
      </c>
      <c r="BP4" s="264">
        <f t="shared" si="0"/>
        <v>13708</v>
      </c>
      <c r="BQ4" s="264">
        <f t="shared" si="0"/>
        <v>17932</v>
      </c>
      <c r="BR4" s="264">
        <f t="shared" si="0"/>
        <v>11498</v>
      </c>
      <c r="BS4" s="264">
        <f t="shared" si="0"/>
        <v>16536</v>
      </c>
      <c r="BT4" s="264">
        <f t="shared" si="0"/>
        <v>14486</v>
      </c>
      <c r="BU4" s="264">
        <f t="shared" si="0"/>
        <v>19298</v>
      </c>
      <c r="BV4" s="264">
        <f t="shared" si="0"/>
        <v>19298</v>
      </c>
      <c r="BW4" s="264">
        <f>SUM(BW6:BW10)</f>
        <v>19600</v>
      </c>
      <c r="BX4" s="264">
        <f t="shared" ref="BX4:EI4" si="1">SUM(BX6:BX10)</f>
        <v>31446</v>
      </c>
      <c r="BY4" s="264">
        <f t="shared" si="1"/>
        <v>25084</v>
      </c>
      <c r="BZ4" s="264">
        <f t="shared" si="1"/>
        <v>24686</v>
      </c>
      <c r="CA4" s="264">
        <f t="shared" si="1"/>
        <v>20190</v>
      </c>
      <c r="CB4" s="264">
        <f t="shared" si="1"/>
        <v>10292</v>
      </c>
      <c r="CC4" s="264">
        <f t="shared" si="1"/>
        <v>15146</v>
      </c>
      <c r="CD4" s="264">
        <f t="shared" si="1"/>
        <v>12444</v>
      </c>
      <c r="CE4" s="264">
        <f t="shared" si="1"/>
        <v>13796</v>
      </c>
      <c r="CF4" s="264">
        <f t="shared" si="1"/>
        <v>15448</v>
      </c>
      <c r="CG4" s="264">
        <f t="shared" si="1"/>
        <v>16528</v>
      </c>
      <c r="CH4" s="264">
        <f t="shared" si="1"/>
        <v>16478</v>
      </c>
      <c r="CI4" s="264">
        <f t="shared" si="1"/>
        <v>14552</v>
      </c>
      <c r="CJ4" s="264">
        <f t="shared" si="1"/>
        <v>26126</v>
      </c>
      <c r="CK4" s="264">
        <f t="shared" si="1"/>
        <v>17568</v>
      </c>
      <c r="CL4" s="264">
        <f t="shared" si="1"/>
        <v>19962</v>
      </c>
      <c r="CM4" s="264">
        <f t="shared" si="1"/>
        <v>19584</v>
      </c>
      <c r="CN4" s="264">
        <f t="shared" si="1"/>
        <v>10024</v>
      </c>
      <c r="CO4" s="264">
        <f t="shared" si="1"/>
        <v>10024</v>
      </c>
      <c r="CP4" s="264">
        <f t="shared" si="1"/>
        <v>22382</v>
      </c>
      <c r="CQ4" s="264">
        <f t="shared" si="1"/>
        <v>20402</v>
      </c>
      <c r="CR4" s="264">
        <f t="shared" si="1"/>
        <v>21930</v>
      </c>
      <c r="CS4" s="264">
        <f t="shared" si="1"/>
        <v>35846</v>
      </c>
      <c r="CT4" s="264">
        <f t="shared" si="1"/>
        <v>30136</v>
      </c>
      <c r="CU4" s="264">
        <f t="shared" si="1"/>
        <v>36996</v>
      </c>
      <c r="CV4" s="264">
        <f t="shared" si="1"/>
        <v>35768</v>
      </c>
      <c r="CW4" s="264">
        <f t="shared" si="1"/>
        <v>28636</v>
      </c>
      <c r="CX4" s="264">
        <f t="shared" si="1"/>
        <v>27086</v>
      </c>
      <c r="CY4" s="264">
        <f t="shared" si="1"/>
        <v>20226</v>
      </c>
      <c r="CZ4" s="264">
        <f t="shared" si="1"/>
        <v>20160</v>
      </c>
      <c r="DA4" s="264">
        <f t="shared" si="1"/>
        <v>19660</v>
      </c>
      <c r="DB4" s="264">
        <f t="shared" si="1"/>
        <v>12168</v>
      </c>
      <c r="DC4" s="264">
        <f t="shared" si="1"/>
        <v>12168</v>
      </c>
      <c r="DD4" s="264">
        <f t="shared" si="1"/>
        <v>14736</v>
      </c>
      <c r="DE4" s="264">
        <f t="shared" si="1"/>
        <v>12142</v>
      </c>
      <c r="DF4" s="264">
        <f t="shared" si="1"/>
        <v>15142</v>
      </c>
      <c r="DG4" s="264">
        <f t="shared" si="1"/>
        <v>18416</v>
      </c>
      <c r="DH4" s="264">
        <f t="shared" si="1"/>
        <v>16115</v>
      </c>
      <c r="DI4" s="264">
        <f t="shared" si="1"/>
        <v>15985</v>
      </c>
      <c r="DJ4" s="264">
        <f t="shared" si="1"/>
        <v>12985</v>
      </c>
      <c r="DK4" s="264">
        <f t="shared" si="1"/>
        <v>13668</v>
      </c>
      <c r="DL4" s="264">
        <f t="shared" si="1"/>
        <v>13577</v>
      </c>
      <c r="DM4" s="264">
        <f t="shared" si="1"/>
        <v>10017</v>
      </c>
      <c r="DN4" s="264">
        <f t="shared" si="1"/>
        <v>17889</v>
      </c>
      <c r="DO4" s="264">
        <f t="shared" si="1"/>
        <v>13932</v>
      </c>
      <c r="DP4" s="264">
        <f t="shared" si="1"/>
        <v>18167</v>
      </c>
      <c r="DQ4" s="264">
        <f t="shared" si="1"/>
        <v>18167</v>
      </c>
      <c r="DR4" s="264">
        <f t="shared" si="1"/>
        <v>14561</v>
      </c>
      <c r="DS4" s="264">
        <f t="shared" si="1"/>
        <v>14511</v>
      </c>
      <c r="DT4" s="264">
        <f t="shared" si="1"/>
        <v>24292</v>
      </c>
      <c r="DU4" s="264">
        <f t="shared" si="1"/>
        <v>27546</v>
      </c>
      <c r="DV4" s="264">
        <f t="shared" si="1"/>
        <v>26632</v>
      </c>
      <c r="DW4" s="264">
        <f t="shared" si="1"/>
        <v>26632</v>
      </c>
      <c r="DX4" s="264">
        <f t="shared" si="1"/>
        <v>13594</v>
      </c>
      <c r="DY4" s="264">
        <f t="shared" si="1"/>
        <v>21386</v>
      </c>
      <c r="DZ4" s="264">
        <f t="shared" si="1"/>
        <v>25520</v>
      </c>
      <c r="EA4" s="264">
        <f t="shared" si="1"/>
        <v>25520</v>
      </c>
      <c r="EB4" s="264">
        <f t="shared" si="1"/>
        <v>35574</v>
      </c>
      <c r="EC4" s="264">
        <f t="shared" si="1"/>
        <v>25376</v>
      </c>
      <c r="ED4" s="264">
        <f t="shared" si="1"/>
        <v>29142</v>
      </c>
      <c r="EE4" s="264">
        <f t="shared" si="1"/>
        <v>45480</v>
      </c>
      <c r="EF4" s="264">
        <f t="shared" si="1"/>
        <v>35488</v>
      </c>
      <c r="EG4" s="264">
        <f t="shared" si="1"/>
        <v>31288</v>
      </c>
      <c r="EH4" s="264">
        <f t="shared" si="1"/>
        <v>40236</v>
      </c>
      <c r="EI4" s="264">
        <f t="shared" si="1"/>
        <v>28098</v>
      </c>
      <c r="EJ4" s="264">
        <f t="shared" ref="EJ4:FF4" si="2">SUM(EJ6:EJ10)</f>
        <v>29148</v>
      </c>
      <c r="EK4" s="264">
        <f t="shared" si="2"/>
        <v>42774</v>
      </c>
      <c r="EL4" s="264">
        <f t="shared" si="2"/>
        <v>38836</v>
      </c>
      <c r="EM4" s="264">
        <f t="shared" si="2"/>
        <v>45086</v>
      </c>
      <c r="EN4" s="264">
        <f t="shared" si="2"/>
        <v>44886</v>
      </c>
      <c r="EO4" s="264">
        <f t="shared" si="2"/>
        <v>41760</v>
      </c>
      <c r="EP4" s="264">
        <f t="shared" si="2"/>
        <v>28850</v>
      </c>
      <c r="EQ4" s="264">
        <f t="shared" si="2"/>
        <v>24700</v>
      </c>
      <c r="ER4" s="264">
        <f t="shared" si="2"/>
        <v>27650</v>
      </c>
      <c r="ES4" s="264">
        <f t="shared" si="2"/>
        <v>25350</v>
      </c>
      <c r="ET4" s="264">
        <f t="shared" si="2"/>
        <v>28250</v>
      </c>
      <c r="EU4" s="264">
        <f t="shared" si="2"/>
        <v>25250</v>
      </c>
      <c r="EV4" s="264">
        <f t="shared" si="2"/>
        <v>14400</v>
      </c>
      <c r="EW4" s="264">
        <f t="shared" si="2"/>
        <v>8700</v>
      </c>
      <c r="EX4" s="264">
        <f t="shared" si="2"/>
        <v>5800</v>
      </c>
      <c r="EY4" s="264">
        <f t="shared" si="2"/>
        <v>5800</v>
      </c>
      <c r="EZ4" s="264">
        <f t="shared" si="2"/>
        <v>11450</v>
      </c>
      <c r="FA4" s="264">
        <f t="shared" si="2"/>
        <v>14350</v>
      </c>
      <c r="FB4" s="264">
        <f t="shared" si="2"/>
        <v>14350</v>
      </c>
      <c r="FC4" s="264">
        <f t="shared" si="2"/>
        <v>14350</v>
      </c>
      <c r="FD4" s="264">
        <f t="shared" si="2"/>
        <v>8700</v>
      </c>
      <c r="FE4" s="264">
        <f t="shared" si="2"/>
        <v>8700</v>
      </c>
      <c r="FF4" s="264">
        <f t="shared" si="2"/>
        <v>8700</v>
      </c>
    </row>
    <row r="5" spans="1:162">
      <c r="AD5" s="268" t="e">
        <f t="shared" ref="AD5" si="3">AD4/Z4-1</f>
        <v>#DIV/0!</v>
      </c>
      <c r="AE5" s="268" t="e">
        <f t="shared" ref="AE5" si="4">AE4/AA4-1</f>
        <v>#DIV/0!</v>
      </c>
      <c r="AF5" s="268" t="e">
        <f t="shared" ref="AF5" si="5">AF4/AB4-1</f>
        <v>#DIV/0!</v>
      </c>
      <c r="AG5" s="268" t="e">
        <f t="shared" ref="AG5" si="6">AG4/AC4-1</f>
        <v>#DIV/0!</v>
      </c>
      <c r="AH5" s="268" t="e">
        <f t="shared" ref="AH5" si="7">AH4/AD4-1</f>
        <v>#DIV/0!</v>
      </c>
      <c r="AI5" s="268">
        <f t="shared" ref="AI5" si="8">AI4/AE4-1</f>
        <v>-0.72335231895850283</v>
      </c>
      <c r="AJ5" s="268">
        <f t="shared" ref="AJ5" si="9">AJ4/AF4-1</f>
        <v>-0.59394904458598718</v>
      </c>
      <c r="AK5" s="268">
        <f t="shared" ref="AK5" si="10">AK4/AG4-1</f>
        <v>-0.18789808917197448</v>
      </c>
      <c r="AL5" s="268">
        <f t="shared" ref="AL5" si="11">AL4/AH4-1</f>
        <v>-0.5319932049830125</v>
      </c>
      <c r="AM5" s="268">
        <f t="shared" ref="AM5" si="12">AM4/AI4-1</f>
        <v>0.62058823529411766</v>
      </c>
      <c r="AN5" s="268">
        <f t="shared" ref="AN5" si="13">AN4/AJ4-1</f>
        <v>1.5029411764705882</v>
      </c>
      <c r="AO5" s="268">
        <f t="shared" ref="AO5" si="14">AO4/AK4-1</f>
        <v>0.25147058823529411</v>
      </c>
      <c r="AP5" s="268">
        <f t="shared" ref="AP5" si="15">AP4/AL4-1</f>
        <v>0.16152450090744108</v>
      </c>
      <c r="AQ5" s="268">
        <f t="shared" ref="AQ5" si="16">AQ4/AM4-1</f>
        <v>0.16152450090744108</v>
      </c>
      <c r="AR5" s="268">
        <f t="shared" ref="AR5" si="17">AR4/AN4-1</f>
        <v>0.39952996474735603</v>
      </c>
      <c r="AS5" s="268">
        <f t="shared" ref="AS5:AT5" si="18">AS4/AO4-1</f>
        <v>0</v>
      </c>
      <c r="AT5" s="268">
        <f t="shared" si="18"/>
        <v>1.5255208333333332</v>
      </c>
      <c r="AU5" s="268">
        <f t="shared" ref="AU5" si="19">AU4/AQ4-1</f>
        <v>1.5255208333333332</v>
      </c>
      <c r="AV5" s="268">
        <f t="shared" ref="AV5" si="20">AV4/AR4-1</f>
        <v>-7.7525888609011995E-2</v>
      </c>
      <c r="AW5" s="268">
        <f t="shared" ref="AW5" si="21">AW4/AS4-1</f>
        <v>0.67293380336858588</v>
      </c>
      <c r="AX5" s="268">
        <f t="shared" ref="AX5" si="22">AX4/AT4-1</f>
        <v>-0.26624046195091766</v>
      </c>
      <c r="AY5" s="268">
        <f t="shared" ref="AY5" si="23">AY4/AU4-1</f>
        <v>-0.26624046195091766</v>
      </c>
      <c r="AZ5" s="268">
        <f t="shared" ref="AZ5" si="24">AZ4/AV4-1</f>
        <v>0.43810679611650483</v>
      </c>
      <c r="BA5" s="268">
        <f t="shared" ref="BA5" si="25">BA4/AW4-1</f>
        <v>-0.11847342542730044</v>
      </c>
      <c r="BB5" s="268">
        <f t="shared" ref="BB5" si="26">BB4/AX4-1</f>
        <v>-0.38673412029229903</v>
      </c>
      <c r="BC5" s="268">
        <f t="shared" ref="BC5" si="27">BC4/AY4-1</f>
        <v>-9.8369870713884255E-2</v>
      </c>
      <c r="BD5" s="268">
        <f t="shared" ref="BD5" si="28">BD4/AZ4-1</f>
        <v>-0.78354430379746831</v>
      </c>
      <c r="BE5" s="268">
        <f t="shared" ref="BE5" si="29">BE4/BA4-1</f>
        <v>-0.10517928286852585</v>
      </c>
      <c r="BF5" s="268">
        <f t="shared" ref="BF5" si="30">BF4/BB4-1</f>
        <v>1.584326306141155</v>
      </c>
      <c r="BG5" s="268">
        <f t="shared" ref="BG5" si="31">BG4/BC4-1</f>
        <v>0.43796758104738154</v>
      </c>
      <c r="BH5" s="268">
        <f t="shared" ref="BH5" si="32">BH4/BD4-1</f>
        <v>4.1978557504873297</v>
      </c>
      <c r="BI5" s="268">
        <f t="shared" ref="BI5" si="33">BI4/BE4-1</f>
        <v>0.20658949243098834</v>
      </c>
      <c r="BJ5" s="268">
        <f t="shared" ref="BJ5" si="34">BJ4/BF4-1</f>
        <v>-3.9900691611987948E-2</v>
      </c>
      <c r="BK5" s="268">
        <f t="shared" ref="BK5" si="35">BK4/BG4-1</f>
        <v>0.40667678300455234</v>
      </c>
      <c r="BL5" s="268">
        <f t="shared" ref="BL5" si="36">BL4/BH4-1</f>
        <v>0.47777986124132754</v>
      </c>
      <c r="BM5" s="268">
        <f t="shared" ref="BM5" si="37">BM4/BI4-1</f>
        <v>0.67429274292742925</v>
      </c>
      <c r="BN5" s="268">
        <f t="shared" ref="BN5" si="38">BN4/BJ4-1</f>
        <v>0.46915404506834135</v>
      </c>
      <c r="BO5" s="268">
        <f t="shared" ref="BO5" si="39">BO4/BK4-1</f>
        <v>0.22376329172445675</v>
      </c>
      <c r="BP5" s="268">
        <f t="shared" ref="BP5" si="40">BP4/BL4-1</f>
        <v>-0.13031341200355284</v>
      </c>
      <c r="BQ5" s="268">
        <f t="shared" ref="BQ5" si="41">BQ4/BM4-1</f>
        <v>0.31736702909197767</v>
      </c>
      <c r="BR5" s="268">
        <f t="shared" ref="BR5" si="42">BR4/BN4-1</f>
        <v>-0.27721900930349508</v>
      </c>
      <c r="BS5" s="268">
        <f t="shared" ref="BS5" si="43">BS4/BO4-1</f>
        <v>4.1178692859841437E-2</v>
      </c>
      <c r="BT5" s="268">
        <f t="shared" ref="BT5" si="44">BT4/BP4-1</f>
        <v>5.675517945725117E-2</v>
      </c>
      <c r="BU5" s="268">
        <f t="shared" ref="BU5" si="45">BU4/BQ4-1</f>
        <v>7.6176667410216448E-2</v>
      </c>
      <c r="BV5" s="268">
        <f t="shared" ref="BV5" si="46">BV4/BR4-1</f>
        <v>0.67837884849539054</v>
      </c>
      <c r="BW5" s="268">
        <f t="shared" ref="BW5" si="47">BW4/BS4-1</f>
        <v>0.18529269472665688</v>
      </c>
      <c r="BX5" s="268">
        <f t="shared" ref="BX5" si="48">BX4/BT4-1</f>
        <v>1.1707855860831149</v>
      </c>
      <c r="BY5" s="268">
        <f t="shared" ref="BY5" si="49">BY4/BU4-1</f>
        <v>0.29982381593947549</v>
      </c>
      <c r="BZ5" s="268">
        <f t="shared" ref="BZ5" si="50">BZ4/BV4-1</f>
        <v>0.27919991708985381</v>
      </c>
      <c r="CA5" s="268">
        <f t="shared" ref="CA5" si="51">CA4/BW4-1</f>
        <v>3.0102040816326614E-2</v>
      </c>
      <c r="CB5" s="268">
        <f t="shared" ref="CB5" si="52">CB4/BX4-1</f>
        <v>-0.6727087705908541</v>
      </c>
      <c r="CC5" s="268">
        <f t="shared" ref="CC5" si="53">CC4/BY4-1</f>
        <v>-0.39618880561313985</v>
      </c>
      <c r="CD5" s="268">
        <f t="shared" ref="CD5" si="54">CD4/BZ4-1</f>
        <v>-0.49590861216884063</v>
      </c>
      <c r="CE5" s="268">
        <f t="shared" ref="CE5" si="55">CE4/CA4-1</f>
        <v>-0.31669143140168399</v>
      </c>
      <c r="CF5" s="268">
        <f t="shared" ref="CF5:CG5" si="56">CF4/CB4-1</f>
        <v>0.50097162844928089</v>
      </c>
      <c r="CG5" s="268">
        <f t="shared" si="56"/>
        <v>9.1245213257625801E-2</v>
      </c>
      <c r="CH5" s="268">
        <f t="shared" ref="CH5" si="57">CH4/CD4-1</f>
        <v>0.32417229186756669</v>
      </c>
      <c r="CI5" s="268">
        <f t="shared" ref="CI5" si="58">CI4/CE4-1</f>
        <v>5.4798492316613601E-2</v>
      </c>
      <c r="CJ5" s="268">
        <f t="shared" ref="CJ5" si="59">CJ4/CF4-1</f>
        <v>0.69122216468151221</v>
      </c>
      <c r="CK5" s="268">
        <f t="shared" ref="CK5" si="60">CK4/CG4-1</f>
        <v>6.2923523717328234E-2</v>
      </c>
      <c r="CL5" s="268">
        <f t="shared" ref="CL5" si="61">CL4/CH4-1</f>
        <v>0.21143342638669749</v>
      </c>
      <c r="CM5" s="268">
        <f t="shared" ref="CM5" si="62">CM4/CI4-1</f>
        <v>0.34579439252336441</v>
      </c>
      <c r="CN5" s="268">
        <f t="shared" ref="CN5" si="63">CN4/CJ4-1</f>
        <v>-0.61632090637678938</v>
      </c>
      <c r="CO5" s="268">
        <f t="shared" ref="CO5" si="64">CO4/CK4-1</f>
        <v>-0.42941712204007287</v>
      </c>
      <c r="CP5" s="268">
        <f t="shared" ref="CP5" si="65">CP4/CL4-1</f>
        <v>0.12123033764151891</v>
      </c>
      <c r="CQ5" s="268">
        <f t="shared" ref="CQ5" si="66">CQ4/CM4-1</f>
        <v>4.176879084967311E-2</v>
      </c>
      <c r="CR5" s="268">
        <f t="shared" ref="CR5" si="67">CR4/CN4-1</f>
        <v>1.1877494014365522</v>
      </c>
      <c r="CS5" s="268">
        <f t="shared" ref="CS5" si="68">CS4/CO4-1</f>
        <v>2.5760175578611331</v>
      </c>
      <c r="CT5" s="268">
        <f t="shared" ref="CT5" si="69">CT4/CP4-1</f>
        <v>0.34643910285050494</v>
      </c>
      <c r="CU5" s="268">
        <f t="shared" ref="CU5" si="70">CU4/CQ4-1</f>
        <v>0.81335163219292217</v>
      </c>
      <c r="CV5" s="268">
        <f t="shared" ref="CV5" si="71">CV4/CR4-1</f>
        <v>0.63100775193798442</v>
      </c>
      <c r="CW5" s="268">
        <f t="shared" ref="CW5" si="72">CW4/CS4-1</f>
        <v>-0.20113820230988111</v>
      </c>
      <c r="CX5" s="268">
        <f t="shared" ref="CX5" si="73">CX4/CT4-1</f>
        <v>-0.10120785771170693</v>
      </c>
      <c r="CY5" s="268">
        <f t="shared" ref="CY5" si="74">CY4/CU4-1</f>
        <v>-0.45329224781057409</v>
      </c>
      <c r="CZ5" s="268">
        <f t="shared" ref="CZ5" si="75">CZ4/CV4-1</f>
        <v>-0.43636770297472605</v>
      </c>
      <c r="DA5" s="268">
        <f t="shared" ref="DA5" si="76">DA4/CW4-1</f>
        <v>-0.31345159938538902</v>
      </c>
      <c r="DB5" s="268">
        <f t="shared" ref="DB5" si="77">DB4/CX4-1</f>
        <v>-0.55076423244480543</v>
      </c>
      <c r="DC5" s="268">
        <f t="shared" ref="DC5" si="78">DC4/CY4-1</f>
        <v>-0.39839810145357457</v>
      </c>
      <c r="DD5" s="268">
        <f t="shared" ref="DD5" si="79">DD4/CZ4-1</f>
        <v>-0.26904761904761909</v>
      </c>
      <c r="DE5" s="268">
        <f t="shared" ref="DE5" si="80">DE4/DA4-1</f>
        <v>-0.38240081383519842</v>
      </c>
      <c r="DF5" s="268">
        <f t="shared" ref="DF5" si="81">DF4/DB4-1</f>
        <v>0.24441157133464819</v>
      </c>
      <c r="DG5" s="268">
        <f t="shared" ref="DG5" si="82">DG4/DC4-1</f>
        <v>0.51347797501643666</v>
      </c>
      <c r="DH5" s="268">
        <f t="shared" ref="DH5" si="83">DH4/DD4-1</f>
        <v>9.3580347448425583E-2</v>
      </c>
      <c r="DI5" s="268">
        <f t="shared" ref="DI5" si="84">DI4/DE4-1</f>
        <v>0.31650469444901996</v>
      </c>
      <c r="DJ5" s="268">
        <f t="shared" ref="DJ5" si="85">DJ4/DF4-1</f>
        <v>-0.14245145951657645</v>
      </c>
      <c r="DK5" s="268">
        <f t="shared" ref="DK5" si="86">DK4/DG4-1</f>
        <v>-0.25781928757602091</v>
      </c>
      <c r="DL5" s="268">
        <f t="shared" ref="DL5" si="87">DL4/DH4-1</f>
        <v>-0.15749301892646606</v>
      </c>
      <c r="DM5" s="268">
        <f t="shared" ref="DM5" si="88">DM4/DI4-1</f>
        <v>-0.37335001563966219</v>
      </c>
      <c r="DN5" s="268">
        <f t="shared" ref="DN5" si="89">DN4/DJ4-1</f>
        <v>0.37766653831343855</v>
      </c>
      <c r="DO5" s="268">
        <f t="shared" ref="DO5" si="90">DO4/DK4-1</f>
        <v>1.9315188762071944E-2</v>
      </c>
      <c r="DP5" s="268">
        <f t="shared" ref="DP5" si="91">DP4/DL4-1</f>
        <v>0.33807173897031739</v>
      </c>
      <c r="DQ5" s="268">
        <f t="shared" ref="DQ5" si="92">DQ4/DM4-1</f>
        <v>0.81361685135270045</v>
      </c>
      <c r="DR5" s="268">
        <f t="shared" ref="DR5" si="93">DR4/DN4-1</f>
        <v>-0.18603611157694677</v>
      </c>
      <c r="DS5" s="268">
        <f t="shared" ref="DS5" si="94">DS4/DO4-1</f>
        <v>4.1559000861326467E-2</v>
      </c>
      <c r="DT5" s="268">
        <f>DT4/DP4-1</f>
        <v>0.33714977706831073</v>
      </c>
      <c r="DU5" s="268">
        <f t="shared" ref="DU5:FF5" si="95">DU4/DQ4-1</f>
        <v>0.51626575659162222</v>
      </c>
      <c r="DV5" s="268">
        <f t="shared" si="95"/>
        <v>0.82899526131447021</v>
      </c>
      <c r="DW5" s="268">
        <f t="shared" si="95"/>
        <v>0.83529736062297566</v>
      </c>
      <c r="DX5" s="268">
        <f t="shared" si="95"/>
        <v>-0.44039189856742955</v>
      </c>
      <c r="DY5" s="268">
        <f t="shared" si="95"/>
        <v>-0.22362593479997095</v>
      </c>
      <c r="DZ5" s="268">
        <f t="shared" si="95"/>
        <v>-4.1754280564734181E-2</v>
      </c>
      <c r="EA5" s="268">
        <f t="shared" si="95"/>
        <v>-4.1754280564734181E-2</v>
      </c>
      <c r="EB5" s="268">
        <f t="shared" si="95"/>
        <v>1.6168898043254378</v>
      </c>
      <c r="EC5" s="268">
        <f t="shared" si="95"/>
        <v>0.18657065369868131</v>
      </c>
      <c r="ED5" s="268">
        <f t="shared" si="95"/>
        <v>0.14192789968652031</v>
      </c>
      <c r="EE5" s="268">
        <f t="shared" si="95"/>
        <v>0.78213166144200619</v>
      </c>
      <c r="EF5" s="268">
        <f t="shared" si="95"/>
        <v>-2.4174959239894322E-3</v>
      </c>
      <c r="EG5" s="268">
        <f t="shared" si="95"/>
        <v>0.23297604035308961</v>
      </c>
      <c r="EH5" s="268">
        <f t="shared" si="95"/>
        <v>0.38068766728433179</v>
      </c>
      <c r="EI5" s="268">
        <f t="shared" si="95"/>
        <v>-0.38218997361477569</v>
      </c>
      <c r="EJ5" s="268">
        <f t="shared" si="95"/>
        <v>-0.1786519386834986</v>
      </c>
      <c r="EK5" s="268">
        <f t="shared" si="95"/>
        <v>0.36710559959089739</v>
      </c>
      <c r="EL5" s="268">
        <f t="shared" si="95"/>
        <v>-3.4794711203896989E-2</v>
      </c>
      <c r="EM5" s="268">
        <f t="shared" si="95"/>
        <v>0.60459819204213816</v>
      </c>
      <c r="EN5" s="268">
        <f t="shared" si="95"/>
        <v>0.53993412927130513</v>
      </c>
      <c r="EO5" s="268">
        <f t="shared" si="95"/>
        <v>-2.3705989619862589E-2</v>
      </c>
      <c r="EP5" s="268">
        <f t="shared" si="95"/>
        <v>-0.25713255742094965</v>
      </c>
      <c r="EQ5" s="268">
        <f t="shared" si="95"/>
        <v>-0.452158097857428</v>
      </c>
      <c r="ER5" s="268">
        <f t="shared" si="95"/>
        <v>-0.38399500957982446</v>
      </c>
      <c r="ES5" s="268">
        <f t="shared" si="95"/>
        <v>-0.39295977011494254</v>
      </c>
      <c r="ET5" s="268">
        <f t="shared" si="95"/>
        <v>-2.0797227036395194E-2</v>
      </c>
      <c r="EU5" s="268">
        <f t="shared" si="95"/>
        <v>2.2267206477732726E-2</v>
      </c>
      <c r="EV5" s="268">
        <f t="shared" si="95"/>
        <v>-0.4792043399638336</v>
      </c>
      <c r="EW5" s="268">
        <f t="shared" si="95"/>
        <v>-0.65680473372781067</v>
      </c>
      <c r="EX5" s="268">
        <f t="shared" si="95"/>
        <v>-0.79469026548672561</v>
      </c>
      <c r="EY5" s="268">
        <f t="shared" si="95"/>
        <v>-0.77029702970297032</v>
      </c>
      <c r="EZ5" s="268">
        <f t="shared" si="95"/>
        <v>-0.20486111111111116</v>
      </c>
      <c r="FA5" s="268">
        <f t="shared" si="95"/>
        <v>0.64942528735632177</v>
      </c>
      <c r="FB5" s="268">
        <f t="shared" si="95"/>
        <v>1.4741379310344827</v>
      </c>
      <c r="FC5" s="268">
        <f t="shared" si="95"/>
        <v>1.4741379310344827</v>
      </c>
      <c r="FD5" s="268">
        <f t="shared" si="95"/>
        <v>-0.24017467248908297</v>
      </c>
      <c r="FE5" s="268">
        <f t="shared" si="95"/>
        <v>-0.39372822299651566</v>
      </c>
      <c r="FF5" s="268">
        <f t="shared" si="95"/>
        <v>-0.39372822299651566</v>
      </c>
    </row>
    <row r="6" spans="1:162" s="264" customFormat="1">
      <c r="B6" s="264" t="s">
        <v>93</v>
      </c>
      <c r="C6" s="264">
        <v>1452</v>
      </c>
      <c r="D6" s="264">
        <v>1452</v>
      </c>
      <c r="E6" s="264">
        <v>1486</v>
      </c>
      <c r="F6" s="264">
        <v>1486</v>
      </c>
      <c r="G6" s="264">
        <v>1486</v>
      </c>
      <c r="H6" s="264">
        <v>2972</v>
      </c>
      <c r="I6" s="264">
        <v>1486</v>
      </c>
      <c r="J6" s="264">
        <v>1486</v>
      </c>
      <c r="K6" s="264">
        <v>1486</v>
      </c>
      <c r="T6" s="264">
        <v>2044</v>
      </c>
      <c r="U6" s="264">
        <v>2044</v>
      </c>
      <c r="V6" s="264">
        <v>2044</v>
      </c>
      <c r="W6" s="264">
        <v>4084</v>
      </c>
      <c r="X6" s="264">
        <v>2040</v>
      </c>
      <c r="Y6" s="264">
        <v>2040</v>
      </c>
      <c r="Z6" s="264">
        <v>2040</v>
      </c>
      <c r="AE6" s="264">
        <v>2532</v>
      </c>
      <c r="AF6" s="264">
        <v>2532</v>
      </c>
      <c r="AG6" s="264">
        <v>2532</v>
      </c>
      <c r="AH6" s="264">
        <v>4572</v>
      </c>
      <c r="AI6" s="264">
        <v>2040</v>
      </c>
      <c r="AJ6" s="264">
        <v>2040</v>
      </c>
      <c r="AK6" s="264">
        <v>4080</v>
      </c>
      <c r="AL6" s="264">
        <v>3306</v>
      </c>
      <c r="AM6" s="264">
        <v>3306</v>
      </c>
      <c r="AN6" s="264">
        <v>3306</v>
      </c>
      <c r="AO6" s="264">
        <v>3306</v>
      </c>
      <c r="AP6" s="264">
        <v>2040</v>
      </c>
      <c r="AQ6" s="264">
        <v>2040</v>
      </c>
      <c r="AR6" s="264">
        <v>5346</v>
      </c>
      <c r="AS6" s="264">
        <v>3306</v>
      </c>
      <c r="AT6" s="264">
        <v>5948</v>
      </c>
      <c r="AU6" s="264">
        <v>5948</v>
      </c>
      <c r="AV6" s="264">
        <v>2642</v>
      </c>
      <c r="AW6" s="264">
        <v>2642</v>
      </c>
      <c r="AX6" s="264">
        <v>1316</v>
      </c>
      <c r="AY6" s="264">
        <v>1316</v>
      </c>
      <c r="AZ6" s="264">
        <v>3680</v>
      </c>
      <c r="BA6" s="264">
        <v>3680</v>
      </c>
      <c r="BB6" s="264">
        <v>2364</v>
      </c>
      <c r="BC6" s="264">
        <v>4416</v>
      </c>
      <c r="BD6" s="264">
        <v>2052</v>
      </c>
      <c r="BE6" s="264">
        <v>4810</v>
      </c>
      <c r="BF6" s="264">
        <v>6250</v>
      </c>
      <c r="BG6" s="264">
        <v>4198</v>
      </c>
      <c r="BH6" s="264">
        <v>5638</v>
      </c>
      <c r="BI6" s="264">
        <v>2880</v>
      </c>
      <c r="BJ6" s="264">
        <v>5578</v>
      </c>
      <c r="BK6" s="264">
        <v>5578</v>
      </c>
      <c r="BL6" s="264">
        <v>6262</v>
      </c>
      <c r="BM6" s="264">
        <v>6262</v>
      </c>
      <c r="BN6" s="264">
        <v>2124</v>
      </c>
      <c r="BO6" s="264">
        <v>4248</v>
      </c>
      <c r="BP6" s="264">
        <v>2124</v>
      </c>
      <c r="BQ6" s="264">
        <v>4248</v>
      </c>
      <c r="BR6" s="264">
        <v>4248</v>
      </c>
      <c r="BS6" s="264">
        <v>6946</v>
      </c>
      <c r="BT6" s="264">
        <v>6946</v>
      </c>
      <c r="BU6" s="264">
        <v>11758</v>
      </c>
      <c r="BV6" s="264">
        <v>11758</v>
      </c>
      <c r="BW6" s="264">
        <v>12258</v>
      </c>
      <c r="BX6" s="264">
        <v>22004</v>
      </c>
      <c r="BY6" s="264">
        <v>17742</v>
      </c>
      <c r="BZ6" s="264">
        <v>20444</v>
      </c>
      <c r="CA6" s="264">
        <v>18090</v>
      </c>
      <c r="CB6" s="264">
        <v>10292</v>
      </c>
      <c r="CC6" s="264">
        <v>10584</v>
      </c>
      <c r="CD6" s="264">
        <v>7882</v>
      </c>
      <c r="CE6" s="264">
        <v>6832</v>
      </c>
      <c r="CF6" s="264">
        <v>4884</v>
      </c>
      <c r="CG6" s="264">
        <v>7976</v>
      </c>
      <c r="CH6" s="264">
        <v>7976</v>
      </c>
      <c r="CI6" s="264">
        <v>6058</v>
      </c>
      <c r="CJ6" s="264">
        <v>15082</v>
      </c>
      <c r="CK6" s="264">
        <v>9024</v>
      </c>
      <c r="CL6" s="264">
        <v>9024</v>
      </c>
      <c r="CM6" s="264">
        <v>11004</v>
      </c>
      <c r="CN6" s="264">
        <v>4030</v>
      </c>
      <c r="CO6" s="264">
        <v>4030</v>
      </c>
      <c r="CP6" s="264">
        <v>10108</v>
      </c>
      <c r="CQ6" s="264">
        <v>8128</v>
      </c>
      <c r="CR6" s="264">
        <v>13256</v>
      </c>
      <c r="CS6" s="264">
        <v>21048</v>
      </c>
      <c r="CT6" s="264">
        <v>18612</v>
      </c>
      <c r="CU6" s="264">
        <v>22922</v>
      </c>
      <c r="CV6" s="264">
        <v>18844</v>
      </c>
      <c r="CW6" s="264">
        <v>13608</v>
      </c>
      <c r="CX6" s="264">
        <v>12058</v>
      </c>
      <c r="CY6" s="264">
        <v>7748</v>
      </c>
      <c r="CZ6" s="264">
        <v>10532</v>
      </c>
      <c r="DA6" s="264">
        <v>11410</v>
      </c>
      <c r="DB6" s="264">
        <v>9318</v>
      </c>
      <c r="DC6" s="264">
        <v>9318</v>
      </c>
      <c r="DD6" s="264">
        <v>8612</v>
      </c>
      <c r="DE6" s="264">
        <v>8868</v>
      </c>
      <c r="DF6" s="264">
        <v>8868</v>
      </c>
      <c r="DG6" s="264">
        <v>8868</v>
      </c>
      <c r="DH6" s="264">
        <v>5884</v>
      </c>
      <c r="DI6" s="264">
        <v>5754</v>
      </c>
      <c r="DJ6" s="264">
        <v>5754</v>
      </c>
      <c r="DK6" s="264">
        <v>5754</v>
      </c>
      <c r="DL6" s="264">
        <v>7120</v>
      </c>
      <c r="DM6" s="264">
        <v>3560</v>
      </c>
      <c r="DN6" s="264">
        <v>7282</v>
      </c>
      <c r="DO6" s="264">
        <v>7282</v>
      </c>
      <c r="DP6" s="264">
        <v>7367</v>
      </c>
      <c r="DQ6" s="264">
        <v>7367</v>
      </c>
      <c r="DR6" s="264">
        <v>3645</v>
      </c>
      <c r="DS6" s="264">
        <v>3645</v>
      </c>
      <c r="DT6" s="264">
        <v>10476</v>
      </c>
      <c r="DU6" s="264">
        <v>10476</v>
      </c>
      <c r="DV6" s="264">
        <v>10476</v>
      </c>
      <c r="DW6" s="264">
        <v>10476</v>
      </c>
      <c r="DX6" s="264">
        <v>0</v>
      </c>
      <c r="DY6" s="264">
        <v>6846</v>
      </c>
      <c r="DZ6" s="264">
        <v>6846</v>
      </c>
      <c r="EA6" s="264">
        <v>6846</v>
      </c>
      <c r="EB6" s="264">
        <v>11404</v>
      </c>
      <c r="EC6" s="264">
        <v>4558</v>
      </c>
      <c r="ED6" s="264">
        <v>9558</v>
      </c>
      <c r="EE6" s="264">
        <v>21408</v>
      </c>
      <c r="EF6" s="264">
        <v>16850</v>
      </c>
      <c r="EG6" s="264">
        <v>16850</v>
      </c>
      <c r="EH6" s="264">
        <v>19610</v>
      </c>
      <c r="EI6" s="264">
        <v>11960</v>
      </c>
      <c r="EJ6" s="264">
        <v>17160</v>
      </c>
      <c r="EK6" s="264">
        <v>17160</v>
      </c>
      <c r="EL6" s="264">
        <v>18160</v>
      </c>
      <c r="EM6" s="264">
        <v>18960</v>
      </c>
      <c r="EN6" s="264">
        <v>18760</v>
      </c>
      <c r="EO6" s="264">
        <v>18760</v>
      </c>
      <c r="EP6" s="264">
        <v>10000</v>
      </c>
      <c r="EQ6" s="264">
        <v>8000</v>
      </c>
      <c r="ER6" s="264">
        <v>8200</v>
      </c>
      <c r="ES6" s="264">
        <v>8200</v>
      </c>
      <c r="ET6" s="264">
        <v>8200</v>
      </c>
      <c r="EU6" s="264">
        <v>5200</v>
      </c>
    </row>
    <row r="7" spans="1:162" s="264" customFormat="1">
      <c r="B7" s="264" t="s">
        <v>45</v>
      </c>
      <c r="AE7" s="264">
        <v>2350</v>
      </c>
      <c r="AF7" s="264">
        <v>0</v>
      </c>
      <c r="AG7" s="264">
        <v>0</v>
      </c>
      <c r="AH7" s="264">
        <v>0</v>
      </c>
      <c r="AI7" s="264">
        <v>0</v>
      </c>
      <c r="AJ7" s="264">
        <v>0</v>
      </c>
      <c r="AK7" s="264">
        <v>0</v>
      </c>
      <c r="AL7" s="264">
        <v>0</v>
      </c>
      <c r="AM7" s="264">
        <v>0</v>
      </c>
      <c r="AN7" s="264">
        <v>1800</v>
      </c>
      <c r="AO7" s="264">
        <v>1800</v>
      </c>
      <c r="AP7" s="264">
        <v>1800</v>
      </c>
      <c r="AQ7" s="264">
        <v>1800</v>
      </c>
      <c r="AR7" s="264">
        <v>1800</v>
      </c>
      <c r="AS7" s="264">
        <v>1800</v>
      </c>
      <c r="AT7" s="264">
        <v>3750</v>
      </c>
      <c r="AU7" s="264">
        <v>3750</v>
      </c>
      <c r="AV7" s="264">
        <v>3950</v>
      </c>
      <c r="AW7" s="264">
        <v>5900</v>
      </c>
      <c r="AX7" s="264">
        <v>5800</v>
      </c>
      <c r="AY7" s="264">
        <v>5800</v>
      </c>
      <c r="AZ7" s="264">
        <v>5800</v>
      </c>
      <c r="BA7" s="264">
        <v>3850</v>
      </c>
      <c r="BB7" s="264">
        <v>2000</v>
      </c>
      <c r="BC7" s="264">
        <v>2000</v>
      </c>
      <c r="BD7" s="264">
        <v>0</v>
      </c>
      <c r="BE7" s="264">
        <v>0</v>
      </c>
      <c r="BF7" s="264">
        <v>3100</v>
      </c>
      <c r="BG7" s="264">
        <v>3100</v>
      </c>
      <c r="BH7" s="264">
        <v>3100</v>
      </c>
      <c r="BI7" s="264">
        <v>5250</v>
      </c>
      <c r="BJ7" s="264">
        <v>5250</v>
      </c>
      <c r="BK7" s="264">
        <v>7400</v>
      </c>
      <c r="BL7" s="264">
        <v>9500</v>
      </c>
      <c r="BM7" s="264">
        <v>7350</v>
      </c>
      <c r="BN7" s="264">
        <v>9500</v>
      </c>
      <c r="BO7" s="264">
        <v>7350</v>
      </c>
      <c r="BP7" s="264">
        <v>7300</v>
      </c>
      <c r="BQ7" s="264">
        <v>9400</v>
      </c>
      <c r="BR7" s="264">
        <v>7250</v>
      </c>
      <c r="BS7" s="264">
        <v>7250</v>
      </c>
      <c r="BT7" s="264">
        <v>5200</v>
      </c>
      <c r="BU7" s="264">
        <v>5200</v>
      </c>
      <c r="BV7" s="264">
        <v>5200</v>
      </c>
      <c r="BW7" s="264">
        <v>5200</v>
      </c>
      <c r="BX7" s="264">
        <v>7300</v>
      </c>
      <c r="BY7" s="264">
        <v>5200</v>
      </c>
      <c r="BZ7" s="264">
        <v>2100</v>
      </c>
      <c r="CA7" s="264">
        <v>2100</v>
      </c>
      <c r="CB7" s="264">
        <v>0</v>
      </c>
      <c r="CC7" s="264">
        <v>0</v>
      </c>
      <c r="CD7" s="264">
        <v>0</v>
      </c>
      <c r="CE7" s="264">
        <v>0</v>
      </c>
      <c r="CF7" s="264">
        <v>3600</v>
      </c>
      <c r="CG7" s="264">
        <v>3600</v>
      </c>
      <c r="CH7" s="264">
        <v>3600</v>
      </c>
      <c r="CI7" s="264">
        <v>3600</v>
      </c>
      <c r="CJ7" s="264">
        <v>3600</v>
      </c>
      <c r="CK7" s="264">
        <v>3600</v>
      </c>
      <c r="CL7" s="264">
        <v>3600</v>
      </c>
      <c r="CM7" s="264">
        <v>3600</v>
      </c>
      <c r="CN7" s="264">
        <v>3600</v>
      </c>
      <c r="CO7" s="264">
        <v>3600</v>
      </c>
      <c r="CP7" s="264">
        <v>6450</v>
      </c>
      <c r="CQ7" s="264">
        <v>6450</v>
      </c>
      <c r="CR7" s="264">
        <v>2850</v>
      </c>
      <c r="CS7" s="264">
        <v>5700</v>
      </c>
      <c r="CT7" s="264">
        <v>8250</v>
      </c>
      <c r="CU7" s="264">
        <v>8250</v>
      </c>
      <c r="CV7" s="264">
        <v>11100</v>
      </c>
      <c r="CW7" s="264">
        <v>8250</v>
      </c>
      <c r="CX7" s="264">
        <v>8250</v>
      </c>
      <c r="CY7" s="264">
        <v>8250</v>
      </c>
      <c r="CZ7" s="264">
        <v>5400</v>
      </c>
      <c r="DA7" s="264">
        <v>8250</v>
      </c>
      <c r="DB7" s="264">
        <v>2850</v>
      </c>
      <c r="DC7" s="264">
        <v>2850</v>
      </c>
      <c r="DD7" s="264">
        <v>2850</v>
      </c>
      <c r="DE7" s="264">
        <v>0</v>
      </c>
      <c r="DF7" s="264">
        <v>3000</v>
      </c>
      <c r="DG7" s="264">
        <v>3000</v>
      </c>
      <c r="DH7" s="264">
        <v>3000</v>
      </c>
      <c r="DI7" s="264">
        <v>3000</v>
      </c>
      <c r="DJ7" s="264">
        <v>0</v>
      </c>
      <c r="DK7" s="264">
        <v>0</v>
      </c>
      <c r="DL7" s="264">
        <v>0</v>
      </c>
      <c r="DM7" s="264">
        <v>0</v>
      </c>
      <c r="DN7" s="264">
        <v>4150</v>
      </c>
      <c r="DO7" s="264">
        <v>4150</v>
      </c>
      <c r="DP7" s="264">
        <v>8300</v>
      </c>
      <c r="DQ7" s="264">
        <v>8300</v>
      </c>
      <c r="DR7" s="264">
        <v>4150</v>
      </c>
      <c r="DS7" s="264">
        <v>4100</v>
      </c>
      <c r="DT7" s="264">
        <v>9550</v>
      </c>
      <c r="DU7" s="264">
        <v>9550</v>
      </c>
      <c r="DV7" s="264">
        <v>9550</v>
      </c>
      <c r="DW7" s="264">
        <v>9550</v>
      </c>
      <c r="DX7" s="264">
        <v>0</v>
      </c>
      <c r="DY7" s="264">
        <v>0</v>
      </c>
      <c r="DZ7" s="264">
        <v>0</v>
      </c>
      <c r="EA7" s="264">
        <v>0</v>
      </c>
      <c r="EB7" s="264">
        <v>5450</v>
      </c>
      <c r="EC7" s="264">
        <v>5450</v>
      </c>
      <c r="ED7" s="264">
        <v>8350</v>
      </c>
      <c r="EE7" s="264">
        <v>8350</v>
      </c>
      <c r="EF7" s="264">
        <v>7050</v>
      </c>
      <c r="EG7" s="264">
        <v>7050</v>
      </c>
      <c r="EH7" s="264">
        <v>4150</v>
      </c>
      <c r="EI7" s="264">
        <v>4150</v>
      </c>
      <c r="EJ7" s="264">
        <v>2900</v>
      </c>
      <c r="EK7" s="264">
        <v>2900</v>
      </c>
      <c r="EL7" s="264">
        <v>7050</v>
      </c>
      <c r="EM7" s="264">
        <v>12500</v>
      </c>
      <c r="EN7" s="264">
        <v>12500</v>
      </c>
      <c r="EO7" s="264">
        <v>12500</v>
      </c>
      <c r="EP7" s="264">
        <v>8350</v>
      </c>
      <c r="EQ7" s="264">
        <v>2900</v>
      </c>
      <c r="ER7" s="264">
        <v>5650</v>
      </c>
      <c r="ES7" s="264">
        <v>5650</v>
      </c>
      <c r="ET7" s="264">
        <v>8550</v>
      </c>
      <c r="EU7" s="264">
        <v>8550</v>
      </c>
      <c r="EV7" s="264">
        <v>2900</v>
      </c>
      <c r="EW7" s="264">
        <v>2900</v>
      </c>
      <c r="EX7" s="264">
        <v>0</v>
      </c>
      <c r="EY7" s="264">
        <v>0</v>
      </c>
      <c r="EZ7" s="264">
        <v>5650</v>
      </c>
      <c r="FA7" s="264">
        <v>5650</v>
      </c>
      <c r="FB7" s="264">
        <v>5650</v>
      </c>
      <c r="FC7" s="264">
        <v>5650</v>
      </c>
      <c r="FD7" s="264">
        <v>0</v>
      </c>
      <c r="FE7" s="264">
        <v>0</v>
      </c>
      <c r="FF7" s="264">
        <v>0</v>
      </c>
    </row>
    <row r="8" spans="1:162" s="264" customFormat="1">
      <c r="B8" s="264" t="s">
        <v>63</v>
      </c>
      <c r="AE8" s="264">
        <v>2492</v>
      </c>
      <c r="AF8" s="264">
        <v>2492</v>
      </c>
      <c r="AG8" s="264">
        <v>2492</v>
      </c>
      <c r="AH8" s="264">
        <v>2492</v>
      </c>
      <c r="BE8" s="264">
        <v>1928</v>
      </c>
      <c r="BF8" s="264">
        <v>1928</v>
      </c>
      <c r="BG8" s="264">
        <v>1928</v>
      </c>
      <c r="BH8" s="264">
        <v>1928</v>
      </c>
      <c r="BN8" s="264">
        <v>4284</v>
      </c>
      <c r="BO8" s="264">
        <v>4284</v>
      </c>
      <c r="BP8" s="264">
        <v>4284</v>
      </c>
      <c r="BQ8" s="264">
        <v>4284</v>
      </c>
      <c r="BS8" s="264">
        <v>2340</v>
      </c>
      <c r="BT8" s="264">
        <v>2340</v>
      </c>
      <c r="BU8" s="264">
        <v>2340</v>
      </c>
      <c r="BV8" s="264">
        <v>2340</v>
      </c>
      <c r="CC8" s="264">
        <v>4562</v>
      </c>
      <c r="CD8" s="264">
        <v>4562</v>
      </c>
      <c r="CE8" s="264">
        <v>6964</v>
      </c>
      <c r="CF8" s="264">
        <v>6964</v>
      </c>
      <c r="CG8" s="264">
        <v>2402</v>
      </c>
      <c r="CH8" s="264">
        <v>2402</v>
      </c>
      <c r="CI8" s="264">
        <v>2394</v>
      </c>
      <c r="CJ8" s="264">
        <v>2394</v>
      </c>
      <c r="CK8" s="264">
        <v>2394</v>
      </c>
      <c r="CL8" s="264">
        <v>4788</v>
      </c>
      <c r="CM8" s="264">
        <v>2394</v>
      </c>
      <c r="CN8" s="264">
        <v>2394</v>
      </c>
      <c r="CO8" s="264">
        <v>2394</v>
      </c>
      <c r="CU8" s="264">
        <v>0</v>
      </c>
      <c r="CV8" s="264">
        <v>0</v>
      </c>
      <c r="CW8" s="264">
        <v>4228</v>
      </c>
      <c r="CX8" s="264">
        <v>4228</v>
      </c>
      <c r="CY8" s="264">
        <v>4228</v>
      </c>
      <c r="CZ8" s="264">
        <v>4228</v>
      </c>
      <c r="DA8" s="264">
        <v>0</v>
      </c>
      <c r="DB8" s="264">
        <v>0</v>
      </c>
      <c r="DC8" s="264">
        <v>0</v>
      </c>
      <c r="DD8" s="264">
        <v>0</v>
      </c>
      <c r="DE8" s="264">
        <v>0</v>
      </c>
      <c r="DF8" s="264">
        <v>0</v>
      </c>
      <c r="DG8" s="264">
        <v>0</v>
      </c>
      <c r="DH8" s="264">
        <v>3957</v>
      </c>
      <c r="DI8" s="264">
        <v>3957</v>
      </c>
      <c r="DJ8" s="264">
        <v>3957</v>
      </c>
      <c r="DK8" s="264">
        <v>7914</v>
      </c>
      <c r="DL8" s="264">
        <v>3957</v>
      </c>
      <c r="DM8" s="264">
        <v>3957</v>
      </c>
      <c r="DN8" s="264">
        <v>3957</v>
      </c>
      <c r="DO8" s="264">
        <v>0</v>
      </c>
      <c r="DP8" s="264">
        <v>0</v>
      </c>
      <c r="DQ8" s="264">
        <v>0</v>
      </c>
      <c r="DR8" s="264">
        <v>4266</v>
      </c>
      <c r="DS8" s="264">
        <v>4266</v>
      </c>
      <c r="DT8" s="264">
        <v>4266</v>
      </c>
      <c r="DU8" s="264">
        <v>5020</v>
      </c>
      <c r="DV8" s="264">
        <v>754</v>
      </c>
      <c r="DW8" s="264">
        <v>754</v>
      </c>
      <c r="DX8" s="264">
        <v>754</v>
      </c>
      <c r="DY8" s="264">
        <v>4200</v>
      </c>
      <c r="DZ8" s="264">
        <v>4200</v>
      </c>
      <c r="EA8" s="264">
        <v>4200</v>
      </c>
      <c r="EB8" s="264">
        <v>4200</v>
      </c>
      <c r="EC8" s="264">
        <v>4200</v>
      </c>
      <c r="ED8" s="264">
        <v>4200</v>
      </c>
      <c r="EE8" s="264">
        <v>4200</v>
      </c>
      <c r="EF8" s="264">
        <v>4200</v>
      </c>
      <c r="EG8" s="264">
        <v>0</v>
      </c>
      <c r="EH8" s="264">
        <v>4200</v>
      </c>
      <c r="EI8" s="264">
        <v>4200</v>
      </c>
      <c r="EJ8" s="264">
        <v>4200</v>
      </c>
      <c r="EK8" s="264">
        <v>4938</v>
      </c>
      <c r="EL8" s="264">
        <v>738</v>
      </c>
      <c r="EM8" s="264">
        <v>738</v>
      </c>
      <c r="EN8" s="264">
        <v>738</v>
      </c>
      <c r="EO8" s="264">
        <v>0</v>
      </c>
      <c r="EP8" s="264">
        <v>0</v>
      </c>
      <c r="EQ8" s="264">
        <v>3300</v>
      </c>
      <c r="ER8" s="264">
        <v>3300</v>
      </c>
      <c r="ES8" s="264">
        <v>3300</v>
      </c>
      <c r="ET8" s="264">
        <v>3300</v>
      </c>
      <c r="EU8" s="264">
        <v>3300</v>
      </c>
      <c r="EV8" s="264">
        <v>3300</v>
      </c>
      <c r="EW8" s="264">
        <v>3300</v>
      </c>
      <c r="EX8" s="264">
        <v>3300</v>
      </c>
      <c r="EY8" s="264">
        <v>3300</v>
      </c>
      <c r="EZ8" s="264">
        <v>3300</v>
      </c>
      <c r="FA8" s="264">
        <v>3300</v>
      </c>
      <c r="FB8" s="264">
        <v>3300</v>
      </c>
      <c r="FC8" s="264">
        <v>3300</v>
      </c>
      <c r="FD8" s="264">
        <v>3300</v>
      </c>
      <c r="FE8" s="264">
        <v>3300</v>
      </c>
      <c r="FF8" s="264">
        <v>3300</v>
      </c>
    </row>
    <row r="9" spans="1:162">
      <c r="B9" s="264" t="s">
        <v>869</v>
      </c>
      <c r="BW9" s="264">
        <f>BW13</f>
        <v>2142</v>
      </c>
      <c r="BX9" s="264">
        <f t="shared" ref="BX9:EI9" si="96">BX13</f>
        <v>2142</v>
      </c>
      <c r="BY9" s="264">
        <f t="shared" si="96"/>
        <v>2142</v>
      </c>
      <c r="BZ9" s="264">
        <f t="shared" si="96"/>
        <v>2142</v>
      </c>
      <c r="CA9" s="264">
        <f t="shared" si="96"/>
        <v>0</v>
      </c>
      <c r="CB9" s="264">
        <f t="shared" si="96"/>
        <v>0</v>
      </c>
      <c r="CC9" s="264">
        <f t="shared" si="96"/>
        <v>0</v>
      </c>
      <c r="CD9" s="264">
        <f t="shared" si="96"/>
        <v>0</v>
      </c>
      <c r="CE9" s="264">
        <f t="shared" si="96"/>
        <v>0</v>
      </c>
      <c r="CF9" s="264">
        <f t="shared" si="96"/>
        <v>0</v>
      </c>
      <c r="CG9" s="264">
        <f t="shared" si="96"/>
        <v>2550</v>
      </c>
      <c r="CH9" s="264">
        <f t="shared" si="96"/>
        <v>2500</v>
      </c>
      <c r="CI9" s="264">
        <f t="shared" si="96"/>
        <v>2500</v>
      </c>
      <c r="CJ9" s="264">
        <f t="shared" si="96"/>
        <v>5050</v>
      </c>
      <c r="CK9" s="264">
        <f t="shared" si="96"/>
        <v>2550</v>
      </c>
      <c r="CL9" s="264">
        <f t="shared" si="96"/>
        <v>2550</v>
      </c>
      <c r="CM9" s="264">
        <f t="shared" si="96"/>
        <v>2550</v>
      </c>
      <c r="CN9" s="264">
        <f t="shared" si="96"/>
        <v>0</v>
      </c>
      <c r="CO9" s="264">
        <f t="shared" si="96"/>
        <v>0</v>
      </c>
      <c r="CP9" s="264">
        <f t="shared" si="96"/>
        <v>5824</v>
      </c>
      <c r="CQ9" s="264">
        <f t="shared" si="96"/>
        <v>5824</v>
      </c>
      <c r="CR9" s="264">
        <f t="shared" si="96"/>
        <v>5824</v>
      </c>
      <c r="CS9" s="264">
        <f t="shared" si="96"/>
        <v>9098</v>
      </c>
      <c r="CT9" s="264">
        <f t="shared" si="96"/>
        <v>3274</v>
      </c>
      <c r="CU9" s="264">
        <f t="shared" si="96"/>
        <v>5824</v>
      </c>
      <c r="CV9" s="264">
        <f t="shared" si="96"/>
        <v>5824</v>
      </c>
      <c r="CW9" s="264">
        <f t="shared" si="96"/>
        <v>2550</v>
      </c>
      <c r="CX9" s="264">
        <f t="shared" si="96"/>
        <v>2550</v>
      </c>
      <c r="CY9" s="264">
        <f t="shared" si="96"/>
        <v>0</v>
      </c>
      <c r="CZ9" s="264">
        <f t="shared" si="96"/>
        <v>0</v>
      </c>
      <c r="DA9" s="264">
        <f t="shared" si="96"/>
        <v>0</v>
      </c>
      <c r="DB9" s="264">
        <f t="shared" si="96"/>
        <v>0</v>
      </c>
      <c r="DC9" s="264">
        <f t="shared" si="96"/>
        <v>0</v>
      </c>
      <c r="DD9" s="264">
        <f t="shared" si="96"/>
        <v>3274</v>
      </c>
      <c r="DE9" s="264">
        <f t="shared" si="96"/>
        <v>3274</v>
      </c>
      <c r="DF9" s="264">
        <f t="shared" si="96"/>
        <v>3274</v>
      </c>
      <c r="DG9" s="264">
        <f t="shared" si="96"/>
        <v>6548</v>
      </c>
      <c r="DH9" s="264">
        <f t="shared" si="96"/>
        <v>3274</v>
      </c>
      <c r="DI9" s="264">
        <f t="shared" si="96"/>
        <v>3274</v>
      </c>
      <c r="DJ9" s="264">
        <f t="shared" si="96"/>
        <v>3274</v>
      </c>
      <c r="DK9" s="264">
        <f t="shared" si="96"/>
        <v>0</v>
      </c>
      <c r="DL9" s="264">
        <f t="shared" si="96"/>
        <v>0</v>
      </c>
      <c r="DM9" s="264">
        <f t="shared" si="96"/>
        <v>0</v>
      </c>
      <c r="DN9" s="264">
        <f t="shared" si="96"/>
        <v>0</v>
      </c>
      <c r="DO9" s="264">
        <f t="shared" si="96"/>
        <v>0</v>
      </c>
      <c r="DP9" s="264">
        <f t="shared" si="96"/>
        <v>0</v>
      </c>
      <c r="DQ9" s="264">
        <f t="shared" si="96"/>
        <v>0</v>
      </c>
      <c r="DR9" s="264">
        <f t="shared" si="96"/>
        <v>0</v>
      </c>
      <c r="DS9" s="264">
        <f t="shared" si="96"/>
        <v>0</v>
      </c>
      <c r="DT9" s="264">
        <f t="shared" si="96"/>
        <v>0</v>
      </c>
      <c r="DU9" s="264">
        <f t="shared" si="96"/>
        <v>0</v>
      </c>
      <c r="DV9" s="264">
        <f t="shared" si="96"/>
        <v>0</v>
      </c>
      <c r="DW9" s="264">
        <f t="shared" si="96"/>
        <v>0</v>
      </c>
      <c r="DX9" s="264">
        <f t="shared" si="96"/>
        <v>4488</v>
      </c>
      <c r="DY9" s="264">
        <f t="shared" si="96"/>
        <v>4488</v>
      </c>
      <c r="DZ9" s="264">
        <f t="shared" si="96"/>
        <v>8622</v>
      </c>
      <c r="EA9" s="264">
        <f t="shared" si="96"/>
        <v>8622</v>
      </c>
      <c r="EB9" s="264">
        <f t="shared" si="96"/>
        <v>8268</v>
      </c>
      <c r="EC9" s="264">
        <f t="shared" si="96"/>
        <v>8268</v>
      </c>
      <c r="ED9" s="264">
        <f t="shared" si="96"/>
        <v>4134</v>
      </c>
      <c r="EE9" s="264">
        <f t="shared" si="96"/>
        <v>8622</v>
      </c>
      <c r="EF9" s="264">
        <f t="shared" si="96"/>
        <v>4488</v>
      </c>
      <c r="EG9" s="264">
        <f t="shared" si="96"/>
        <v>4488</v>
      </c>
      <c r="EH9" s="264">
        <f t="shared" si="96"/>
        <v>9376</v>
      </c>
      <c r="EI9" s="264">
        <f t="shared" si="96"/>
        <v>4888</v>
      </c>
      <c r="EJ9" s="264">
        <f t="shared" ref="EJ9:FF9" si="97">EJ13</f>
        <v>4888</v>
      </c>
      <c r="EK9" s="264">
        <f t="shared" si="97"/>
        <v>9776</v>
      </c>
      <c r="EL9" s="264">
        <f t="shared" si="97"/>
        <v>4888</v>
      </c>
      <c r="EM9" s="264">
        <f t="shared" si="97"/>
        <v>4888</v>
      </c>
      <c r="EN9" s="264">
        <f t="shared" si="97"/>
        <v>4888</v>
      </c>
      <c r="EO9" s="264">
        <f t="shared" si="97"/>
        <v>0</v>
      </c>
      <c r="EP9" s="264">
        <f t="shared" si="97"/>
        <v>0</v>
      </c>
      <c r="EQ9" s="264">
        <f t="shared" si="97"/>
        <v>0</v>
      </c>
      <c r="ER9" s="264">
        <f t="shared" si="97"/>
        <v>0</v>
      </c>
      <c r="ES9" s="264">
        <f t="shared" si="97"/>
        <v>5400</v>
      </c>
      <c r="ET9" s="264">
        <f t="shared" si="97"/>
        <v>5400</v>
      </c>
      <c r="EU9" s="264">
        <f t="shared" si="97"/>
        <v>5400</v>
      </c>
      <c r="EV9" s="264">
        <f t="shared" si="97"/>
        <v>5400</v>
      </c>
      <c r="EW9" s="264">
        <f t="shared" si="97"/>
        <v>0</v>
      </c>
      <c r="EX9" s="264">
        <f t="shared" si="97"/>
        <v>0</v>
      </c>
      <c r="EY9" s="264">
        <f t="shared" si="97"/>
        <v>0</v>
      </c>
      <c r="EZ9" s="264">
        <f t="shared" si="97"/>
        <v>0</v>
      </c>
      <c r="FA9" s="264">
        <f t="shared" si="97"/>
        <v>5400</v>
      </c>
      <c r="FB9" s="264">
        <f t="shared" si="97"/>
        <v>5400</v>
      </c>
      <c r="FC9" s="264">
        <f t="shared" si="97"/>
        <v>5400</v>
      </c>
      <c r="FD9" s="264">
        <f t="shared" si="97"/>
        <v>5400</v>
      </c>
      <c r="FE9" s="264">
        <f t="shared" si="97"/>
        <v>5400</v>
      </c>
      <c r="FF9" s="264">
        <f t="shared" si="97"/>
        <v>5400</v>
      </c>
    </row>
    <row r="10" spans="1:162">
      <c r="B10" s="264" t="s">
        <v>905</v>
      </c>
      <c r="BW10" s="264">
        <f>BW34</f>
        <v>0</v>
      </c>
      <c r="BX10" s="264">
        <f t="shared" ref="BX10:EI10" si="98">BX34</f>
        <v>0</v>
      </c>
      <c r="BY10" s="264">
        <f t="shared" si="98"/>
        <v>0</v>
      </c>
      <c r="BZ10" s="264">
        <f t="shared" si="98"/>
        <v>0</v>
      </c>
      <c r="CA10" s="264">
        <f t="shared" si="98"/>
        <v>0</v>
      </c>
      <c r="CB10" s="264">
        <f t="shared" si="98"/>
        <v>0</v>
      </c>
      <c r="CC10" s="264">
        <f t="shared" si="98"/>
        <v>0</v>
      </c>
      <c r="CD10" s="264">
        <f t="shared" si="98"/>
        <v>0</v>
      </c>
      <c r="CE10" s="264">
        <f t="shared" si="98"/>
        <v>0</v>
      </c>
      <c r="CF10" s="264">
        <f t="shared" si="98"/>
        <v>0</v>
      </c>
      <c r="CG10" s="264">
        <f t="shared" si="98"/>
        <v>0</v>
      </c>
      <c r="CH10" s="264">
        <f t="shared" si="98"/>
        <v>0</v>
      </c>
      <c r="CI10" s="264">
        <f t="shared" si="98"/>
        <v>0</v>
      </c>
      <c r="CJ10" s="264">
        <f t="shared" si="98"/>
        <v>0</v>
      </c>
      <c r="CK10" s="264">
        <f t="shared" si="98"/>
        <v>0</v>
      </c>
      <c r="CL10" s="264">
        <f t="shared" si="98"/>
        <v>0</v>
      </c>
      <c r="CM10" s="264">
        <f t="shared" si="98"/>
        <v>36</v>
      </c>
      <c r="CN10" s="264">
        <f t="shared" si="98"/>
        <v>0</v>
      </c>
      <c r="CO10" s="264">
        <f t="shared" si="98"/>
        <v>0</v>
      </c>
      <c r="CP10" s="264">
        <f t="shared" si="98"/>
        <v>0</v>
      </c>
      <c r="CQ10" s="264">
        <f t="shared" si="98"/>
        <v>0</v>
      </c>
      <c r="CR10" s="264">
        <f t="shared" si="98"/>
        <v>0</v>
      </c>
      <c r="CS10" s="264">
        <f t="shared" si="98"/>
        <v>0</v>
      </c>
      <c r="CT10" s="264">
        <f t="shared" si="98"/>
        <v>0</v>
      </c>
      <c r="CU10" s="264">
        <f t="shared" si="98"/>
        <v>0</v>
      </c>
      <c r="CV10" s="264">
        <f t="shared" si="98"/>
        <v>0</v>
      </c>
      <c r="CW10" s="264">
        <f t="shared" si="98"/>
        <v>0</v>
      </c>
      <c r="CX10" s="264">
        <f t="shared" si="98"/>
        <v>0</v>
      </c>
      <c r="CY10" s="264">
        <f t="shared" si="98"/>
        <v>0</v>
      </c>
      <c r="CZ10" s="264">
        <f t="shared" si="98"/>
        <v>0</v>
      </c>
      <c r="DA10" s="264">
        <f t="shared" si="98"/>
        <v>0</v>
      </c>
      <c r="DB10" s="264">
        <f t="shared" si="98"/>
        <v>0</v>
      </c>
      <c r="DC10" s="264">
        <f t="shared" si="98"/>
        <v>0</v>
      </c>
      <c r="DD10" s="264">
        <f t="shared" si="98"/>
        <v>0</v>
      </c>
      <c r="DE10" s="264">
        <f t="shared" si="98"/>
        <v>0</v>
      </c>
      <c r="DF10" s="264">
        <f t="shared" si="98"/>
        <v>0</v>
      </c>
      <c r="DG10" s="264">
        <f t="shared" si="98"/>
        <v>0</v>
      </c>
      <c r="DH10" s="264">
        <f t="shared" si="98"/>
        <v>0</v>
      </c>
      <c r="DI10" s="264">
        <f t="shared" si="98"/>
        <v>0</v>
      </c>
      <c r="DJ10" s="264">
        <f t="shared" si="98"/>
        <v>0</v>
      </c>
      <c r="DK10" s="264">
        <f t="shared" si="98"/>
        <v>0</v>
      </c>
      <c r="DL10" s="264">
        <f t="shared" si="98"/>
        <v>2500</v>
      </c>
      <c r="DM10" s="264">
        <f t="shared" si="98"/>
        <v>2500</v>
      </c>
      <c r="DN10" s="264">
        <f t="shared" si="98"/>
        <v>2500</v>
      </c>
      <c r="DO10" s="264">
        <f t="shared" si="98"/>
        <v>2500</v>
      </c>
      <c r="DP10" s="264">
        <f t="shared" si="98"/>
        <v>2500</v>
      </c>
      <c r="DQ10" s="264">
        <f t="shared" si="98"/>
        <v>2500</v>
      </c>
      <c r="DR10" s="264">
        <f t="shared" si="98"/>
        <v>2500</v>
      </c>
      <c r="DS10" s="264">
        <f t="shared" si="98"/>
        <v>2500</v>
      </c>
      <c r="DT10" s="264">
        <f t="shared" si="98"/>
        <v>0</v>
      </c>
      <c r="DU10" s="264">
        <f t="shared" si="98"/>
        <v>2500</v>
      </c>
      <c r="DV10" s="264">
        <f t="shared" si="98"/>
        <v>5852</v>
      </c>
      <c r="DW10" s="264">
        <f t="shared" si="98"/>
        <v>5852</v>
      </c>
      <c r="DX10" s="264">
        <f t="shared" si="98"/>
        <v>8352</v>
      </c>
      <c r="DY10" s="264">
        <f t="shared" si="98"/>
        <v>5852</v>
      </c>
      <c r="DZ10" s="264">
        <f t="shared" si="98"/>
        <v>5852</v>
      </c>
      <c r="EA10" s="264">
        <f t="shared" si="98"/>
        <v>5852</v>
      </c>
      <c r="EB10" s="264">
        <f t="shared" si="98"/>
        <v>6252</v>
      </c>
      <c r="EC10" s="264">
        <f t="shared" si="98"/>
        <v>2900</v>
      </c>
      <c r="ED10" s="264">
        <f t="shared" si="98"/>
        <v>2900</v>
      </c>
      <c r="EE10" s="264">
        <f t="shared" si="98"/>
        <v>2900</v>
      </c>
      <c r="EF10" s="264">
        <f t="shared" si="98"/>
        <v>2900</v>
      </c>
      <c r="EG10" s="264">
        <f t="shared" si="98"/>
        <v>2900</v>
      </c>
      <c r="EH10" s="264">
        <f t="shared" si="98"/>
        <v>2900</v>
      </c>
      <c r="EI10" s="264">
        <f t="shared" si="98"/>
        <v>2900</v>
      </c>
      <c r="EJ10" s="264">
        <f t="shared" ref="EJ10:FF10" si="99">EJ34</f>
        <v>0</v>
      </c>
      <c r="EK10" s="264">
        <f t="shared" si="99"/>
        <v>8000</v>
      </c>
      <c r="EL10" s="264">
        <f t="shared" si="99"/>
        <v>8000</v>
      </c>
      <c r="EM10" s="264">
        <f t="shared" si="99"/>
        <v>8000</v>
      </c>
      <c r="EN10" s="264">
        <f t="shared" si="99"/>
        <v>8000</v>
      </c>
      <c r="EO10" s="264">
        <f t="shared" si="99"/>
        <v>10500</v>
      </c>
      <c r="EP10" s="264">
        <f t="shared" si="99"/>
        <v>10500</v>
      </c>
      <c r="EQ10" s="264">
        <f t="shared" si="99"/>
        <v>10500</v>
      </c>
      <c r="ER10" s="264">
        <f t="shared" si="99"/>
        <v>10500</v>
      </c>
      <c r="ES10" s="264">
        <f t="shared" si="99"/>
        <v>2800</v>
      </c>
      <c r="ET10" s="264">
        <f t="shared" si="99"/>
        <v>2800</v>
      </c>
      <c r="EU10" s="264">
        <f t="shared" si="99"/>
        <v>2800</v>
      </c>
      <c r="EV10" s="264">
        <f t="shared" si="99"/>
        <v>2800</v>
      </c>
      <c r="EW10" s="264">
        <f t="shared" si="99"/>
        <v>2500</v>
      </c>
      <c r="EX10" s="264">
        <f t="shared" si="99"/>
        <v>2500</v>
      </c>
      <c r="EY10" s="264">
        <f t="shared" si="99"/>
        <v>2500</v>
      </c>
      <c r="EZ10" s="264">
        <f t="shared" si="99"/>
        <v>2500</v>
      </c>
      <c r="FA10" s="264">
        <f t="shared" si="99"/>
        <v>0</v>
      </c>
      <c r="FB10" s="264">
        <f t="shared" si="99"/>
        <v>0</v>
      </c>
      <c r="FC10" s="264">
        <f t="shared" si="99"/>
        <v>0</v>
      </c>
      <c r="FD10" s="264">
        <f t="shared" si="99"/>
        <v>0</v>
      </c>
      <c r="FE10" s="264">
        <f t="shared" si="99"/>
        <v>0</v>
      </c>
      <c r="FF10" s="264">
        <f t="shared" si="99"/>
        <v>0</v>
      </c>
    </row>
    <row r="13" spans="1:162" s="265" customFormat="1">
      <c r="B13" s="266" t="s">
        <v>869</v>
      </c>
      <c r="BW13" s="267">
        <f>SUM(BW14:BW32)</f>
        <v>2142</v>
      </c>
      <c r="BX13" s="267">
        <f t="shared" ref="BX13:EI13" si="100">SUM(BX14:BX32)</f>
        <v>2142</v>
      </c>
      <c r="BY13" s="267">
        <f t="shared" si="100"/>
        <v>2142</v>
      </c>
      <c r="BZ13" s="267">
        <f t="shared" si="100"/>
        <v>2142</v>
      </c>
      <c r="CA13" s="267">
        <f t="shared" si="100"/>
        <v>0</v>
      </c>
      <c r="CB13" s="267">
        <f t="shared" si="100"/>
        <v>0</v>
      </c>
      <c r="CC13" s="267">
        <f t="shared" si="100"/>
        <v>0</v>
      </c>
      <c r="CD13" s="267">
        <f t="shared" si="100"/>
        <v>0</v>
      </c>
      <c r="CE13" s="267">
        <f t="shared" si="100"/>
        <v>0</v>
      </c>
      <c r="CF13" s="267">
        <f t="shared" si="100"/>
        <v>0</v>
      </c>
      <c r="CG13" s="267">
        <f t="shared" si="100"/>
        <v>2550</v>
      </c>
      <c r="CH13" s="267">
        <f t="shared" si="100"/>
        <v>2500</v>
      </c>
      <c r="CI13" s="267">
        <f t="shared" si="100"/>
        <v>2500</v>
      </c>
      <c r="CJ13" s="267">
        <f t="shared" si="100"/>
        <v>5050</v>
      </c>
      <c r="CK13" s="267">
        <f t="shared" si="100"/>
        <v>2550</v>
      </c>
      <c r="CL13" s="267">
        <f t="shared" si="100"/>
        <v>2550</v>
      </c>
      <c r="CM13" s="267">
        <f t="shared" si="100"/>
        <v>2550</v>
      </c>
      <c r="CN13" s="267">
        <f t="shared" si="100"/>
        <v>0</v>
      </c>
      <c r="CO13" s="267">
        <f t="shared" si="100"/>
        <v>0</v>
      </c>
      <c r="CP13" s="267">
        <f t="shared" si="100"/>
        <v>5824</v>
      </c>
      <c r="CQ13" s="267">
        <f t="shared" si="100"/>
        <v>5824</v>
      </c>
      <c r="CR13" s="267">
        <f t="shared" si="100"/>
        <v>5824</v>
      </c>
      <c r="CS13" s="267">
        <f t="shared" si="100"/>
        <v>9098</v>
      </c>
      <c r="CT13" s="267">
        <f t="shared" si="100"/>
        <v>3274</v>
      </c>
      <c r="CU13" s="267">
        <f t="shared" si="100"/>
        <v>5824</v>
      </c>
      <c r="CV13" s="267">
        <f t="shared" si="100"/>
        <v>5824</v>
      </c>
      <c r="CW13" s="267">
        <f t="shared" si="100"/>
        <v>2550</v>
      </c>
      <c r="CX13" s="267">
        <f t="shared" si="100"/>
        <v>2550</v>
      </c>
      <c r="CY13" s="267">
        <f t="shared" si="100"/>
        <v>0</v>
      </c>
      <c r="CZ13" s="267">
        <f t="shared" si="100"/>
        <v>0</v>
      </c>
      <c r="DA13" s="267">
        <f t="shared" si="100"/>
        <v>0</v>
      </c>
      <c r="DB13" s="267">
        <f t="shared" si="100"/>
        <v>0</v>
      </c>
      <c r="DC13" s="267">
        <f t="shared" si="100"/>
        <v>0</v>
      </c>
      <c r="DD13" s="267">
        <f t="shared" si="100"/>
        <v>3274</v>
      </c>
      <c r="DE13" s="267">
        <f t="shared" si="100"/>
        <v>3274</v>
      </c>
      <c r="DF13" s="267">
        <f t="shared" si="100"/>
        <v>3274</v>
      </c>
      <c r="DG13" s="267">
        <f t="shared" si="100"/>
        <v>6548</v>
      </c>
      <c r="DH13" s="267">
        <f t="shared" si="100"/>
        <v>3274</v>
      </c>
      <c r="DI13" s="267">
        <f t="shared" si="100"/>
        <v>3274</v>
      </c>
      <c r="DJ13" s="267">
        <f t="shared" si="100"/>
        <v>3274</v>
      </c>
      <c r="DK13" s="267">
        <f t="shared" si="100"/>
        <v>0</v>
      </c>
      <c r="DL13" s="267">
        <f t="shared" si="100"/>
        <v>0</v>
      </c>
      <c r="DM13" s="267">
        <f t="shared" si="100"/>
        <v>0</v>
      </c>
      <c r="DN13" s="267">
        <f t="shared" si="100"/>
        <v>0</v>
      </c>
      <c r="DO13" s="267">
        <f t="shared" si="100"/>
        <v>0</v>
      </c>
      <c r="DP13" s="267">
        <f t="shared" si="100"/>
        <v>0</v>
      </c>
      <c r="DQ13" s="267">
        <f t="shared" si="100"/>
        <v>0</v>
      </c>
      <c r="DR13" s="267">
        <f t="shared" si="100"/>
        <v>0</v>
      </c>
      <c r="DS13" s="267">
        <f t="shared" si="100"/>
        <v>0</v>
      </c>
      <c r="DT13" s="267">
        <f t="shared" si="100"/>
        <v>0</v>
      </c>
      <c r="DU13" s="267">
        <f t="shared" si="100"/>
        <v>0</v>
      </c>
      <c r="DV13" s="267">
        <f t="shared" si="100"/>
        <v>0</v>
      </c>
      <c r="DW13" s="267">
        <f t="shared" si="100"/>
        <v>0</v>
      </c>
      <c r="DX13" s="267">
        <f t="shared" si="100"/>
        <v>4488</v>
      </c>
      <c r="DY13" s="267">
        <f t="shared" si="100"/>
        <v>4488</v>
      </c>
      <c r="DZ13" s="267">
        <f t="shared" si="100"/>
        <v>8622</v>
      </c>
      <c r="EA13" s="267">
        <f t="shared" si="100"/>
        <v>8622</v>
      </c>
      <c r="EB13" s="267">
        <f t="shared" si="100"/>
        <v>8268</v>
      </c>
      <c r="EC13" s="267">
        <f t="shared" si="100"/>
        <v>8268</v>
      </c>
      <c r="ED13" s="267">
        <f t="shared" si="100"/>
        <v>4134</v>
      </c>
      <c r="EE13" s="267">
        <f t="shared" si="100"/>
        <v>8622</v>
      </c>
      <c r="EF13" s="267">
        <f t="shared" si="100"/>
        <v>4488</v>
      </c>
      <c r="EG13" s="267">
        <f t="shared" si="100"/>
        <v>4488</v>
      </c>
      <c r="EH13" s="267">
        <f t="shared" si="100"/>
        <v>9376</v>
      </c>
      <c r="EI13" s="267">
        <f t="shared" si="100"/>
        <v>4888</v>
      </c>
      <c r="EJ13" s="267">
        <f t="shared" ref="EJ13:FF13" si="101">SUM(EJ14:EJ32)</f>
        <v>4888</v>
      </c>
      <c r="EK13" s="267">
        <f t="shared" si="101"/>
        <v>9776</v>
      </c>
      <c r="EL13" s="267">
        <f t="shared" si="101"/>
        <v>4888</v>
      </c>
      <c r="EM13" s="267">
        <f t="shared" si="101"/>
        <v>4888</v>
      </c>
      <c r="EN13" s="267">
        <f t="shared" si="101"/>
        <v>4888</v>
      </c>
      <c r="EO13" s="267">
        <f t="shared" si="101"/>
        <v>0</v>
      </c>
      <c r="EP13" s="267">
        <f t="shared" si="101"/>
        <v>0</v>
      </c>
      <c r="EQ13" s="267">
        <f t="shared" si="101"/>
        <v>0</v>
      </c>
      <c r="ER13" s="267">
        <f t="shared" si="101"/>
        <v>0</v>
      </c>
      <c r="ES13" s="267">
        <f t="shared" si="101"/>
        <v>5400</v>
      </c>
      <c r="ET13" s="267">
        <f t="shared" si="101"/>
        <v>5400</v>
      </c>
      <c r="EU13" s="267">
        <f t="shared" si="101"/>
        <v>5400</v>
      </c>
      <c r="EV13" s="267">
        <f t="shared" si="101"/>
        <v>5400</v>
      </c>
      <c r="EW13" s="267">
        <f t="shared" si="101"/>
        <v>0</v>
      </c>
      <c r="EX13" s="267">
        <f t="shared" si="101"/>
        <v>0</v>
      </c>
      <c r="EY13" s="267">
        <f t="shared" si="101"/>
        <v>0</v>
      </c>
      <c r="EZ13" s="267">
        <f t="shared" si="101"/>
        <v>0</v>
      </c>
      <c r="FA13" s="267">
        <f t="shared" si="101"/>
        <v>5400</v>
      </c>
      <c r="FB13" s="267">
        <f t="shared" si="101"/>
        <v>5400</v>
      </c>
      <c r="FC13" s="267">
        <f t="shared" si="101"/>
        <v>5400</v>
      </c>
      <c r="FD13" s="267">
        <f t="shared" si="101"/>
        <v>5400</v>
      </c>
      <c r="FE13" s="267">
        <f t="shared" si="101"/>
        <v>5400</v>
      </c>
      <c r="FF13" s="267">
        <f t="shared" si="101"/>
        <v>5400</v>
      </c>
    </row>
    <row r="14" spans="1:162">
      <c r="B14" s="127" t="s">
        <v>871</v>
      </c>
      <c r="BW14" s="264">
        <v>2142</v>
      </c>
      <c r="BX14" s="264">
        <v>2142</v>
      </c>
      <c r="BY14" s="264">
        <v>2142</v>
      </c>
      <c r="BZ14" s="264">
        <v>2142</v>
      </c>
    </row>
    <row r="15" spans="1:162">
      <c r="B15" s="127" t="s">
        <v>870</v>
      </c>
      <c r="CG15" s="127">
        <v>2550</v>
      </c>
      <c r="CH15" s="127">
        <v>2500</v>
      </c>
      <c r="CI15" s="127">
        <v>2500</v>
      </c>
      <c r="CJ15" s="127">
        <v>2500</v>
      </c>
    </row>
    <row r="16" spans="1:162">
      <c r="B16" s="127" t="s">
        <v>872</v>
      </c>
      <c r="CJ16" s="127">
        <v>2550</v>
      </c>
      <c r="CK16" s="127">
        <v>2550</v>
      </c>
      <c r="CL16" s="127">
        <v>2550</v>
      </c>
      <c r="CM16" s="127">
        <v>2550</v>
      </c>
    </row>
    <row r="17" spans="2:162">
      <c r="B17" s="127" t="s">
        <v>873</v>
      </c>
      <c r="CP17" s="127">
        <v>2550</v>
      </c>
      <c r="CQ17" s="127">
        <v>2550</v>
      </c>
      <c r="CR17" s="127">
        <v>2550</v>
      </c>
      <c r="CS17" s="127">
        <v>2550</v>
      </c>
    </row>
    <row r="18" spans="2:162">
      <c r="B18" s="127" t="s">
        <v>875</v>
      </c>
      <c r="CP18" s="127">
        <v>3274</v>
      </c>
      <c r="CQ18" s="127">
        <v>3274</v>
      </c>
      <c r="CR18" s="127">
        <v>3274</v>
      </c>
      <c r="CS18" s="127">
        <v>3274</v>
      </c>
    </row>
    <row r="19" spans="2:162">
      <c r="B19" s="127" t="s">
        <v>876</v>
      </c>
      <c r="CS19" s="127">
        <v>3274</v>
      </c>
      <c r="CT19" s="127">
        <v>3274</v>
      </c>
      <c r="CU19" s="127">
        <v>3274</v>
      </c>
      <c r="CV19" s="127">
        <v>3274</v>
      </c>
    </row>
    <row r="20" spans="2:162">
      <c r="B20" s="127" t="s">
        <v>874</v>
      </c>
      <c r="CU20" s="127">
        <v>2550</v>
      </c>
      <c r="CV20" s="127">
        <v>2550</v>
      </c>
      <c r="CW20" s="127">
        <v>2550</v>
      </c>
      <c r="CX20" s="127">
        <v>2550</v>
      </c>
    </row>
    <row r="21" spans="2:162">
      <c r="B21" s="127" t="s">
        <v>877</v>
      </c>
      <c r="DD21" s="127">
        <v>3274</v>
      </c>
      <c r="DE21" s="127">
        <v>3274</v>
      </c>
      <c r="DF21" s="127">
        <v>3274</v>
      </c>
      <c r="DG21" s="127">
        <v>3274</v>
      </c>
    </row>
    <row r="22" spans="2:162">
      <c r="B22" s="127" t="s">
        <v>878</v>
      </c>
      <c r="DG22" s="127">
        <v>3274</v>
      </c>
      <c r="DH22" s="127">
        <v>3274</v>
      </c>
      <c r="DI22" s="127">
        <v>3274</v>
      </c>
      <c r="DJ22" s="127">
        <v>3274</v>
      </c>
    </row>
    <row r="23" spans="2:162">
      <c r="B23" s="127" t="s">
        <v>879</v>
      </c>
      <c r="DX23" s="127">
        <v>4488</v>
      </c>
      <c r="DY23" s="127">
        <v>4488</v>
      </c>
      <c r="DZ23" s="127">
        <v>4488</v>
      </c>
      <c r="EA23" s="127">
        <v>4488</v>
      </c>
    </row>
    <row r="24" spans="2:162">
      <c r="B24" s="127" t="s">
        <v>880</v>
      </c>
      <c r="DZ24" s="127">
        <v>4134</v>
      </c>
      <c r="EA24" s="127">
        <v>4134</v>
      </c>
      <c r="EB24" s="127">
        <v>4134</v>
      </c>
      <c r="EC24" s="127">
        <v>4134</v>
      </c>
    </row>
    <row r="25" spans="2:162">
      <c r="B25" s="127" t="s">
        <v>882</v>
      </c>
      <c r="EB25" s="127">
        <v>4134</v>
      </c>
      <c r="EC25" s="127">
        <v>4134</v>
      </c>
      <c r="ED25" s="127">
        <v>4134</v>
      </c>
      <c r="EE25" s="127">
        <v>4134</v>
      </c>
    </row>
    <row r="26" spans="2:162">
      <c r="B26" s="127" t="s">
        <v>881</v>
      </c>
      <c r="EE26" s="127">
        <v>4488</v>
      </c>
      <c r="EF26" s="127">
        <v>4488</v>
      </c>
      <c r="EG26" s="127">
        <v>4488</v>
      </c>
      <c r="EH26" s="127">
        <v>4488</v>
      </c>
    </row>
    <row r="27" spans="2:162">
      <c r="B27" s="127" t="s">
        <v>887</v>
      </c>
      <c r="EH27" s="127">
        <v>4888</v>
      </c>
      <c r="EI27" s="127">
        <v>4888</v>
      </c>
      <c r="EJ27" s="127">
        <v>4888</v>
      </c>
      <c r="EK27" s="127">
        <v>4888</v>
      </c>
    </row>
    <row r="28" spans="2:162">
      <c r="B28" s="127" t="s">
        <v>888</v>
      </c>
      <c r="EK28" s="127">
        <v>4888</v>
      </c>
      <c r="EL28" s="127">
        <v>4888</v>
      </c>
      <c r="EM28" s="127">
        <v>4888</v>
      </c>
      <c r="EN28" s="127">
        <v>4888</v>
      </c>
    </row>
    <row r="29" spans="2:162">
      <c r="B29" s="127" t="s">
        <v>883</v>
      </c>
      <c r="ES29" s="127">
        <v>5400</v>
      </c>
      <c r="ET29" s="127">
        <v>5400</v>
      </c>
      <c r="EU29" s="127">
        <v>5400</v>
      </c>
      <c r="EV29" s="127">
        <v>5400</v>
      </c>
    </row>
    <row r="30" spans="2:162">
      <c r="B30" s="127" t="s">
        <v>884</v>
      </c>
      <c r="FA30" s="127">
        <v>5400</v>
      </c>
      <c r="FB30" s="127">
        <v>5400</v>
      </c>
      <c r="FC30" s="127">
        <v>5400</v>
      </c>
      <c r="FD30" s="127">
        <v>5400</v>
      </c>
    </row>
    <row r="31" spans="2:162">
      <c r="B31" s="127" t="s">
        <v>885</v>
      </c>
      <c r="FE31" s="127">
        <v>5400</v>
      </c>
      <c r="FF31" s="127">
        <v>5400</v>
      </c>
    </row>
    <row r="32" spans="2:162">
      <c r="B32" s="127" t="s">
        <v>886</v>
      </c>
    </row>
    <row r="34" spans="2:162">
      <c r="B34" s="266" t="s">
        <v>893</v>
      </c>
      <c r="BW34" s="265">
        <f>SUM(BW35:BW57)</f>
        <v>0</v>
      </c>
      <c r="BX34" s="265">
        <f t="shared" ref="BX34" si="102">SUM(BX35:BX57)</f>
        <v>0</v>
      </c>
      <c r="BY34" s="265">
        <f t="shared" ref="BY34" si="103">SUM(BY35:BY57)</f>
        <v>0</v>
      </c>
      <c r="BZ34" s="265">
        <f t="shared" ref="BZ34" si="104">SUM(BZ35:BZ57)</f>
        <v>0</v>
      </c>
      <c r="CA34" s="265">
        <f t="shared" ref="CA34" si="105">SUM(CA35:CA57)</f>
        <v>0</v>
      </c>
      <c r="CB34" s="265">
        <f t="shared" ref="CB34" si="106">SUM(CB35:CB57)</f>
        <v>0</v>
      </c>
      <c r="CC34" s="265">
        <f t="shared" ref="CC34" si="107">SUM(CC35:CC57)</f>
        <v>0</v>
      </c>
      <c r="CD34" s="265">
        <f t="shared" ref="CD34" si="108">SUM(CD35:CD57)</f>
        <v>0</v>
      </c>
      <c r="CE34" s="265">
        <f t="shared" ref="CE34" si="109">SUM(CE35:CE57)</f>
        <v>0</v>
      </c>
      <c r="CF34" s="265">
        <f t="shared" ref="CF34" si="110">SUM(CF35:CF57)</f>
        <v>0</v>
      </c>
      <c r="CG34" s="265">
        <f t="shared" ref="CG34" si="111">SUM(CG35:CG57)</f>
        <v>0</v>
      </c>
      <c r="CH34" s="265">
        <f t="shared" ref="CH34" si="112">SUM(CH35:CH57)</f>
        <v>0</v>
      </c>
      <c r="CI34" s="265">
        <f t="shared" ref="CI34" si="113">SUM(CI35:CI57)</f>
        <v>0</v>
      </c>
      <c r="CJ34" s="265">
        <f t="shared" ref="CJ34" si="114">SUM(CJ35:CJ57)</f>
        <v>0</v>
      </c>
      <c r="CK34" s="265">
        <f t="shared" ref="CK34" si="115">SUM(CK35:CK57)</f>
        <v>0</v>
      </c>
      <c r="CL34" s="265">
        <f t="shared" ref="CL34" si="116">SUM(CL35:CL57)</f>
        <v>0</v>
      </c>
      <c r="CM34" s="265">
        <f t="shared" ref="CM34" si="117">SUM(CM35:CM57)</f>
        <v>36</v>
      </c>
      <c r="CN34" s="265">
        <f t="shared" ref="CN34" si="118">SUM(CN35:CN57)</f>
        <v>0</v>
      </c>
      <c r="CO34" s="265">
        <f t="shared" ref="CO34" si="119">SUM(CO35:CO57)</f>
        <v>0</v>
      </c>
      <c r="CP34" s="265">
        <f t="shared" ref="CP34" si="120">SUM(CP35:CP57)</f>
        <v>0</v>
      </c>
      <c r="CQ34" s="265">
        <f t="shared" ref="CQ34" si="121">SUM(CQ35:CQ57)</f>
        <v>0</v>
      </c>
      <c r="CR34" s="265">
        <f t="shared" ref="CR34" si="122">SUM(CR35:CR57)</f>
        <v>0</v>
      </c>
      <c r="CS34" s="265">
        <f t="shared" ref="CS34" si="123">SUM(CS35:CS57)</f>
        <v>0</v>
      </c>
      <c r="CT34" s="265">
        <f t="shared" ref="CT34" si="124">SUM(CT35:CT57)</f>
        <v>0</v>
      </c>
      <c r="CU34" s="265">
        <f t="shared" ref="CU34" si="125">SUM(CU35:CU57)</f>
        <v>0</v>
      </c>
      <c r="CV34" s="265">
        <f t="shared" ref="CV34" si="126">SUM(CV35:CV57)</f>
        <v>0</v>
      </c>
      <c r="CW34" s="265">
        <f t="shared" ref="CW34" si="127">SUM(CW35:CW57)</f>
        <v>0</v>
      </c>
      <c r="CX34" s="265">
        <f t="shared" ref="CX34" si="128">SUM(CX35:CX57)</f>
        <v>0</v>
      </c>
      <c r="CY34" s="265">
        <f t="shared" ref="CY34" si="129">SUM(CY35:CY57)</f>
        <v>0</v>
      </c>
      <c r="CZ34" s="265">
        <f t="shared" ref="CZ34" si="130">SUM(CZ35:CZ57)</f>
        <v>0</v>
      </c>
      <c r="DA34" s="265">
        <f t="shared" ref="DA34" si="131">SUM(DA35:DA57)</f>
        <v>0</v>
      </c>
      <c r="DB34" s="265">
        <f t="shared" ref="DB34" si="132">SUM(DB35:DB57)</f>
        <v>0</v>
      </c>
      <c r="DC34" s="265">
        <f t="shared" ref="DC34" si="133">SUM(DC35:DC57)</f>
        <v>0</v>
      </c>
      <c r="DD34" s="265">
        <f t="shared" ref="DD34" si="134">SUM(DD35:DD57)</f>
        <v>0</v>
      </c>
      <c r="DE34" s="265">
        <f t="shared" ref="DE34" si="135">SUM(DE35:DE57)</f>
        <v>0</v>
      </c>
      <c r="DF34" s="265">
        <f t="shared" ref="DF34" si="136">SUM(DF35:DF57)</f>
        <v>0</v>
      </c>
      <c r="DG34" s="265">
        <f t="shared" ref="DG34" si="137">SUM(DG35:DG57)</f>
        <v>0</v>
      </c>
      <c r="DH34" s="265">
        <f t="shared" ref="DH34" si="138">SUM(DH35:DH57)</f>
        <v>0</v>
      </c>
      <c r="DI34" s="265">
        <f t="shared" ref="DI34" si="139">SUM(DI35:DI57)</f>
        <v>0</v>
      </c>
      <c r="DJ34" s="265">
        <f t="shared" ref="DJ34" si="140">SUM(DJ35:DJ57)</f>
        <v>0</v>
      </c>
      <c r="DK34" s="265">
        <f t="shared" ref="DK34" si="141">SUM(DK35:DK57)</f>
        <v>0</v>
      </c>
      <c r="DL34" s="265">
        <f t="shared" ref="DL34" si="142">SUM(DL35:DL57)</f>
        <v>2500</v>
      </c>
      <c r="DM34" s="265">
        <f t="shared" ref="DM34" si="143">SUM(DM35:DM57)</f>
        <v>2500</v>
      </c>
      <c r="DN34" s="265">
        <f t="shared" ref="DN34" si="144">SUM(DN35:DN57)</f>
        <v>2500</v>
      </c>
      <c r="DO34" s="265">
        <f t="shared" ref="DO34" si="145">SUM(DO35:DO57)</f>
        <v>2500</v>
      </c>
      <c r="DP34" s="265">
        <f t="shared" ref="DP34" si="146">SUM(DP35:DP57)</f>
        <v>2500</v>
      </c>
      <c r="DQ34" s="265">
        <f t="shared" ref="DQ34" si="147">SUM(DQ35:DQ57)</f>
        <v>2500</v>
      </c>
      <c r="DR34" s="265">
        <f t="shared" ref="DR34" si="148">SUM(DR35:DR57)</f>
        <v>2500</v>
      </c>
      <c r="DS34" s="265">
        <f t="shared" ref="DS34" si="149">SUM(DS35:DS57)</f>
        <v>2500</v>
      </c>
      <c r="DT34" s="265">
        <f t="shared" ref="DT34" si="150">SUM(DT35:DT57)</f>
        <v>0</v>
      </c>
      <c r="DU34" s="265">
        <f t="shared" ref="DU34" si="151">SUM(DU35:DU57)</f>
        <v>2500</v>
      </c>
      <c r="DV34" s="265">
        <f t="shared" ref="DV34" si="152">SUM(DV35:DV57)</f>
        <v>5852</v>
      </c>
      <c r="DW34" s="265">
        <f t="shared" ref="DW34" si="153">SUM(DW35:DW57)</f>
        <v>5852</v>
      </c>
      <c r="DX34" s="265">
        <f t="shared" ref="DX34" si="154">SUM(DX35:DX57)</f>
        <v>8352</v>
      </c>
      <c r="DY34" s="265">
        <f t="shared" ref="DY34" si="155">SUM(DY35:DY57)</f>
        <v>5852</v>
      </c>
      <c r="DZ34" s="265">
        <f t="shared" ref="DZ34" si="156">SUM(DZ35:DZ57)</f>
        <v>5852</v>
      </c>
      <c r="EA34" s="265">
        <f t="shared" ref="EA34" si="157">SUM(EA35:EA57)</f>
        <v>5852</v>
      </c>
      <c r="EB34" s="265">
        <f t="shared" ref="EB34" si="158">SUM(EB35:EB57)</f>
        <v>6252</v>
      </c>
      <c r="EC34" s="265">
        <f t="shared" ref="EC34" si="159">SUM(EC35:EC57)</f>
        <v>2900</v>
      </c>
      <c r="ED34" s="265">
        <f t="shared" ref="ED34" si="160">SUM(ED35:ED57)</f>
        <v>2900</v>
      </c>
      <c r="EE34" s="265">
        <f t="shared" ref="EE34" si="161">SUM(EE35:EE57)</f>
        <v>2900</v>
      </c>
      <c r="EF34" s="265">
        <f t="shared" ref="EF34" si="162">SUM(EF35:EF57)</f>
        <v>2900</v>
      </c>
      <c r="EG34" s="265">
        <f t="shared" ref="EG34" si="163">SUM(EG35:EG57)</f>
        <v>2900</v>
      </c>
      <c r="EH34" s="265">
        <f t="shared" ref="EH34" si="164">SUM(EH35:EH57)</f>
        <v>2900</v>
      </c>
      <c r="EI34" s="265">
        <f t="shared" ref="EI34" si="165">SUM(EI35:EI57)</f>
        <v>2900</v>
      </c>
      <c r="EJ34" s="265">
        <f t="shared" ref="EJ34" si="166">SUM(EJ35:EJ57)</f>
        <v>0</v>
      </c>
      <c r="EK34" s="265">
        <f t="shared" ref="EK34" si="167">SUM(EK35:EK57)</f>
        <v>8000</v>
      </c>
      <c r="EL34" s="265">
        <f t="shared" ref="EL34" si="168">SUM(EL35:EL57)</f>
        <v>8000</v>
      </c>
      <c r="EM34" s="265">
        <f t="shared" ref="EM34" si="169">SUM(EM35:EM57)</f>
        <v>8000</v>
      </c>
      <c r="EN34" s="265">
        <f t="shared" ref="EN34" si="170">SUM(EN35:EN57)</f>
        <v>8000</v>
      </c>
      <c r="EO34" s="265">
        <f t="shared" ref="EO34" si="171">SUM(EO35:EO57)</f>
        <v>10500</v>
      </c>
      <c r="EP34" s="265">
        <f t="shared" ref="EP34" si="172">SUM(EP35:EP57)</f>
        <v>10500</v>
      </c>
      <c r="EQ34" s="265">
        <f t="shared" ref="EQ34" si="173">SUM(EQ35:EQ57)</f>
        <v>10500</v>
      </c>
      <c r="ER34" s="265">
        <f t="shared" ref="ER34" si="174">SUM(ER35:ER57)</f>
        <v>10500</v>
      </c>
      <c r="ES34" s="265">
        <f t="shared" ref="ES34" si="175">SUM(ES35:ES57)</f>
        <v>2800</v>
      </c>
      <c r="ET34" s="265">
        <f t="shared" ref="ET34" si="176">SUM(ET35:ET57)</f>
        <v>2800</v>
      </c>
      <c r="EU34" s="265">
        <f t="shared" ref="EU34" si="177">SUM(EU35:EU57)</f>
        <v>2800</v>
      </c>
      <c r="EV34" s="265">
        <f t="shared" ref="EV34" si="178">SUM(EV35:EV57)</f>
        <v>2800</v>
      </c>
      <c r="EW34" s="265">
        <f t="shared" ref="EW34" si="179">SUM(EW35:EW57)</f>
        <v>2500</v>
      </c>
      <c r="EX34" s="265">
        <f t="shared" ref="EX34" si="180">SUM(EX35:EX57)</f>
        <v>2500</v>
      </c>
      <c r="EY34" s="265">
        <f t="shared" ref="EY34" si="181">SUM(EY35:EY57)</f>
        <v>2500</v>
      </c>
      <c r="EZ34" s="265">
        <f t="shared" ref="EZ34" si="182">SUM(EZ35:EZ57)</f>
        <v>2500</v>
      </c>
      <c r="FA34" s="265">
        <f t="shared" ref="FA34" si="183">SUM(FA35:FA57)</f>
        <v>0</v>
      </c>
      <c r="FB34" s="265">
        <f t="shared" ref="FB34" si="184">SUM(FB35:FB57)</f>
        <v>0</v>
      </c>
      <c r="FC34" s="265">
        <f t="shared" ref="FC34" si="185">SUM(FC35:FC57)</f>
        <v>0</v>
      </c>
      <c r="FD34" s="265">
        <f t="shared" ref="FD34" si="186">SUM(FD35:FD57)</f>
        <v>0</v>
      </c>
      <c r="FE34" s="265">
        <f t="shared" ref="FE34" si="187">SUM(FE35:FE57)</f>
        <v>0</v>
      </c>
      <c r="FF34" s="265">
        <f t="shared" ref="FF34" si="188">SUM(FF35:FF57)</f>
        <v>0</v>
      </c>
    </row>
    <row r="35" spans="2:162">
      <c r="B35" s="127" t="s">
        <v>889</v>
      </c>
      <c r="DV35" s="127">
        <v>3352</v>
      </c>
      <c r="DW35" s="127">
        <v>3352</v>
      </c>
      <c r="DX35" s="127">
        <v>3352</v>
      </c>
      <c r="DY35" s="127">
        <v>3352</v>
      </c>
    </row>
    <row r="36" spans="2:162">
      <c r="B36" s="127" t="s">
        <v>890</v>
      </c>
      <c r="DZ36" s="127">
        <v>3352</v>
      </c>
      <c r="EA36" s="127">
        <v>3352</v>
      </c>
      <c r="EB36" s="127">
        <v>3352</v>
      </c>
    </row>
    <row r="37" spans="2:162">
      <c r="B37" s="127" t="s">
        <v>891</v>
      </c>
      <c r="EK37" s="127">
        <v>5200</v>
      </c>
      <c r="EL37" s="127">
        <v>5200</v>
      </c>
      <c r="EM37" s="127">
        <v>5200</v>
      </c>
      <c r="EN37" s="127">
        <v>5200</v>
      </c>
    </row>
    <row r="38" spans="2:162">
      <c r="B38" s="127" t="s">
        <v>892</v>
      </c>
      <c r="EO38" s="127">
        <v>5200</v>
      </c>
      <c r="EP38" s="127">
        <v>5200</v>
      </c>
      <c r="EQ38" s="127">
        <v>5200</v>
      </c>
      <c r="ER38" s="127">
        <v>5200</v>
      </c>
    </row>
    <row r="39" spans="2:162">
      <c r="B39" s="127" t="s">
        <v>894</v>
      </c>
      <c r="DL39" s="127">
        <v>2500</v>
      </c>
      <c r="DM39" s="127">
        <v>2500</v>
      </c>
      <c r="DN39" s="127">
        <v>2500</v>
      </c>
      <c r="DO39" s="127">
        <v>2500</v>
      </c>
    </row>
    <row r="40" spans="2:162">
      <c r="B40" s="127" t="s">
        <v>895</v>
      </c>
      <c r="DP40" s="127">
        <v>2500</v>
      </c>
      <c r="DQ40" s="127">
        <v>2500</v>
      </c>
      <c r="DR40" s="127">
        <v>2500</v>
      </c>
      <c r="DS40" s="127">
        <v>2500</v>
      </c>
    </row>
    <row r="41" spans="2:162">
      <c r="B41" s="127" t="s">
        <v>896</v>
      </c>
      <c r="DU41" s="127">
        <v>2500</v>
      </c>
      <c r="DV41" s="127">
        <v>2500</v>
      </c>
      <c r="DW41" s="127">
        <v>2500</v>
      </c>
      <c r="DX41" s="127">
        <v>2500</v>
      </c>
    </row>
    <row r="42" spans="2:162">
      <c r="B42" s="127" t="s">
        <v>897</v>
      </c>
      <c r="DX42" s="127">
        <v>2500</v>
      </c>
      <c r="DY42" s="127">
        <v>2500</v>
      </c>
      <c r="DZ42" s="127">
        <v>2500</v>
      </c>
      <c r="EA42" s="127">
        <v>2500</v>
      </c>
    </row>
    <row r="43" spans="2:162">
      <c r="B43" s="127" t="s">
        <v>898</v>
      </c>
      <c r="EB43" s="127">
        <v>2900</v>
      </c>
      <c r="EC43" s="127">
        <v>2900</v>
      </c>
      <c r="ED43" s="127">
        <v>2900</v>
      </c>
      <c r="EE43" s="127">
        <v>2900</v>
      </c>
    </row>
    <row r="44" spans="2:162">
      <c r="B44" s="127" t="s">
        <v>899</v>
      </c>
      <c r="EF44" s="127">
        <v>2900</v>
      </c>
      <c r="EG44" s="127">
        <v>2900</v>
      </c>
      <c r="EH44" s="127">
        <v>2900</v>
      </c>
      <c r="EI44" s="127">
        <v>2900</v>
      </c>
    </row>
    <row r="45" spans="2:162">
      <c r="B45" s="127" t="s">
        <v>900</v>
      </c>
      <c r="EK45" s="127">
        <v>2800</v>
      </c>
      <c r="EL45" s="127">
        <v>2800</v>
      </c>
      <c r="EM45" s="127">
        <v>2800</v>
      </c>
      <c r="EN45" s="127">
        <v>2800</v>
      </c>
    </row>
    <row r="46" spans="2:162">
      <c r="B46" s="127" t="s">
        <v>901</v>
      </c>
      <c r="EO46" s="127">
        <v>2800</v>
      </c>
      <c r="EP46" s="127">
        <v>2800</v>
      </c>
      <c r="EQ46" s="127">
        <v>2800</v>
      </c>
      <c r="ER46" s="127">
        <v>2800</v>
      </c>
    </row>
    <row r="47" spans="2:162">
      <c r="B47" s="127" t="s">
        <v>902</v>
      </c>
      <c r="ES47" s="127">
        <v>2800</v>
      </c>
      <c r="ET47" s="127">
        <v>2800</v>
      </c>
      <c r="EU47" s="127">
        <v>2800</v>
      </c>
      <c r="EV47" s="127">
        <v>2800</v>
      </c>
    </row>
    <row r="48" spans="2:162">
      <c r="B48" s="127" t="s">
        <v>903</v>
      </c>
      <c r="EO48" s="127">
        <v>2500</v>
      </c>
      <c r="EP48" s="127">
        <v>2500</v>
      </c>
      <c r="EQ48" s="127">
        <v>2500</v>
      </c>
      <c r="ER48" s="127">
        <v>2500</v>
      </c>
    </row>
    <row r="49" spans="2:156">
      <c r="B49" s="127" t="s">
        <v>904</v>
      </c>
      <c r="EW49" s="127">
        <v>2500</v>
      </c>
      <c r="EX49" s="127">
        <v>2500</v>
      </c>
      <c r="EY49" s="127">
        <v>2500</v>
      </c>
      <c r="EZ49" s="127">
        <v>2500</v>
      </c>
    </row>
    <row r="50" spans="2:156">
      <c r="CM50" s="127">
        <v>1</v>
      </c>
    </row>
    <row r="51" spans="2:156">
      <c r="CM51" s="127">
        <v>2</v>
      </c>
    </row>
    <row r="52" spans="2:156">
      <c r="CM52" s="127">
        <v>3</v>
      </c>
    </row>
    <row r="53" spans="2:156">
      <c r="CM53" s="127">
        <v>4</v>
      </c>
    </row>
    <row r="54" spans="2:156">
      <c r="CM54" s="127">
        <v>5</v>
      </c>
    </row>
    <row r="55" spans="2:156">
      <c r="CM55" s="127">
        <v>6</v>
      </c>
    </row>
    <row r="56" spans="2:156">
      <c r="CM56" s="127">
        <v>7</v>
      </c>
    </row>
    <row r="57" spans="2:156">
      <c r="CM57" s="127">
        <v>8</v>
      </c>
    </row>
    <row r="58" spans="2:156">
      <c r="CM58" s="127">
        <v>9</v>
      </c>
      <c r="DK58" s="264">
        <f>AVERAGE(DC4:DR4)</f>
        <v>14854.1875</v>
      </c>
      <c r="DL58" s="264">
        <f>AVERAGE(DS4:DV4)</f>
        <v>23245.25</v>
      </c>
      <c r="DM58" s="127">
        <f>DL58/DK58-1</f>
        <v>0.56489542090403799</v>
      </c>
    </row>
    <row r="59" spans="2:156">
      <c r="CM59" s="127">
        <v>10</v>
      </c>
    </row>
    <row r="60" spans="2:156">
      <c r="CM60" s="127">
        <v>11</v>
      </c>
    </row>
    <row r="61" spans="2:156">
      <c r="CM61" s="127">
        <v>12</v>
      </c>
    </row>
    <row r="62" spans="2:156">
      <c r="CM62" s="127">
        <v>13</v>
      </c>
    </row>
    <row r="63" spans="2:156">
      <c r="CM63" s="127">
        <v>14</v>
      </c>
    </row>
    <row r="64" spans="2:156">
      <c r="CM64" s="127">
        <v>15</v>
      </c>
    </row>
    <row r="65" spans="91:91">
      <c r="CM65" s="127">
        <v>16</v>
      </c>
    </row>
    <row r="66" spans="91:91">
      <c r="CM66" s="127">
        <v>17</v>
      </c>
    </row>
    <row r="67" spans="91:91">
      <c r="CM67" s="127">
        <v>18</v>
      </c>
    </row>
    <row r="68" spans="91:91">
      <c r="CM68" s="127">
        <v>19</v>
      </c>
    </row>
    <row r="69" spans="91:91">
      <c r="CM69" s="127">
        <v>20</v>
      </c>
    </row>
    <row r="70" spans="91:91">
      <c r="CM70" s="127">
        <v>21</v>
      </c>
    </row>
    <row r="71" spans="91:91">
      <c r="CM71" s="127">
        <v>22</v>
      </c>
    </row>
    <row r="72" spans="91:91">
      <c r="CM72" s="127">
        <v>23</v>
      </c>
    </row>
    <row r="73" spans="91:91">
      <c r="CM73" s="127">
        <v>24</v>
      </c>
    </row>
    <row r="74" spans="91:91">
      <c r="CM74" s="127">
        <v>25</v>
      </c>
    </row>
    <row r="81" spans="91:91">
      <c r="CM81" s="127">
        <v>1</v>
      </c>
    </row>
    <row r="82" spans="91:91">
      <c r="CM82" s="127">
        <v>2</v>
      </c>
    </row>
    <row r="83" spans="91:91">
      <c r="CM83" s="127">
        <v>3</v>
      </c>
    </row>
    <row r="84" spans="91:91">
      <c r="CM84" s="127">
        <v>4</v>
      </c>
    </row>
    <row r="85" spans="91:91">
      <c r="CM85" s="127">
        <v>5</v>
      </c>
    </row>
    <row r="86" spans="91:91">
      <c r="CM86" s="127">
        <v>6</v>
      </c>
    </row>
    <row r="87" spans="91:91">
      <c r="CM87" s="127">
        <v>7</v>
      </c>
    </row>
    <row r="88" spans="91:91">
      <c r="CM88" s="127">
        <v>8</v>
      </c>
    </row>
    <row r="89" spans="91:91">
      <c r="CM89" s="127">
        <v>9</v>
      </c>
    </row>
    <row r="90" spans="91:91">
      <c r="CM90" s="127">
        <v>10</v>
      </c>
    </row>
    <row r="91" spans="91:91">
      <c r="CM91" s="127">
        <v>11</v>
      </c>
    </row>
    <row r="92" spans="91:91">
      <c r="CM92" s="127">
        <v>12</v>
      </c>
    </row>
    <row r="93" spans="91:91">
      <c r="CM93" s="127">
        <v>13</v>
      </c>
    </row>
    <row r="94" spans="91:91">
      <c r="CM94" s="127">
        <v>14</v>
      </c>
    </row>
    <row r="95" spans="91:91">
      <c r="CM95" s="127">
        <v>15</v>
      </c>
    </row>
    <row r="96" spans="91:91">
      <c r="CM96" s="127">
        <v>16</v>
      </c>
    </row>
    <row r="97" spans="91:91">
      <c r="CM97" s="127">
        <v>17</v>
      </c>
    </row>
    <row r="98" spans="91:91">
      <c r="CM98" s="127">
        <v>18</v>
      </c>
    </row>
    <row r="99" spans="91:91">
      <c r="CM99" s="127">
        <v>19</v>
      </c>
    </row>
    <row r="100" spans="91:91">
      <c r="CM100" s="127">
        <v>20</v>
      </c>
    </row>
    <row r="101" spans="91:91">
      <c r="CM101" s="127">
        <v>21</v>
      </c>
    </row>
    <row r="102" spans="91:91">
      <c r="CM102" s="127">
        <v>22</v>
      </c>
    </row>
    <row r="103" spans="91:91">
      <c r="CM103" s="127">
        <v>23</v>
      </c>
    </row>
    <row r="104" spans="91:91">
      <c r="CM104" s="127">
        <v>24</v>
      </c>
    </row>
    <row r="105" spans="91:91">
      <c r="CM105" s="127">
        <v>25</v>
      </c>
    </row>
    <row r="107" spans="91:91">
      <c r="CM107" s="127">
        <v>1</v>
      </c>
    </row>
    <row r="108" spans="91:91">
      <c r="CM108" s="127">
        <v>2</v>
      </c>
    </row>
    <row r="109" spans="91:91">
      <c r="CM109" s="127">
        <v>3</v>
      </c>
    </row>
    <row r="110" spans="91:91">
      <c r="CM110" s="127">
        <v>4</v>
      </c>
    </row>
    <row r="111" spans="91:91">
      <c r="CM111" s="127">
        <v>5</v>
      </c>
    </row>
    <row r="112" spans="91:91">
      <c r="CM112" s="127">
        <v>6</v>
      </c>
    </row>
    <row r="113" spans="91:91">
      <c r="CM113" s="127">
        <v>7</v>
      </c>
    </row>
    <row r="114" spans="91:91">
      <c r="CM114" s="127">
        <v>8</v>
      </c>
    </row>
    <row r="115" spans="91:91">
      <c r="CM115" s="127">
        <v>9</v>
      </c>
    </row>
    <row r="116" spans="91:91">
      <c r="CM116" s="127">
        <v>10</v>
      </c>
    </row>
    <row r="117" spans="91:91">
      <c r="CM117" s="127">
        <v>11</v>
      </c>
    </row>
    <row r="118" spans="91:91">
      <c r="CM118" s="127">
        <v>12</v>
      </c>
    </row>
    <row r="119" spans="91:91">
      <c r="CM119" s="127">
        <v>13</v>
      </c>
    </row>
    <row r="120" spans="91:91">
      <c r="CM120" s="127">
        <v>14</v>
      </c>
    </row>
    <row r="121" spans="91:91">
      <c r="CM121" s="127">
        <v>15</v>
      </c>
    </row>
    <row r="122" spans="91:91">
      <c r="CM122" s="127">
        <v>16</v>
      </c>
    </row>
    <row r="123" spans="91:91">
      <c r="CM123" s="127">
        <v>17</v>
      </c>
    </row>
    <row r="124" spans="91:91">
      <c r="CM124" s="127">
        <v>18</v>
      </c>
    </row>
    <row r="125" spans="91:91">
      <c r="CM125" s="127">
        <v>19</v>
      </c>
    </row>
    <row r="126" spans="91:91">
      <c r="CM126" s="127">
        <v>20</v>
      </c>
    </row>
    <row r="127" spans="91:91">
      <c r="CM127" s="127">
        <v>21</v>
      </c>
    </row>
    <row r="128" spans="91:91">
      <c r="CM128" s="127">
        <v>22</v>
      </c>
    </row>
    <row r="129" spans="91:91">
      <c r="CM129" s="127">
        <v>23</v>
      </c>
    </row>
    <row r="130" spans="91:91">
      <c r="CM130" s="127">
        <v>24</v>
      </c>
    </row>
    <row r="131" spans="91:91">
      <c r="CM131" s="127">
        <v>25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A136"/>
  <sheetViews>
    <sheetView showZeros="0" topLeftCell="A49" zoomScale="85" zoomScaleNormal="85" workbookViewId="0">
      <selection activeCell="D1" sqref="D1:H1048576"/>
    </sheetView>
  </sheetViews>
  <sheetFormatPr defaultRowHeight="12.75"/>
  <cols>
    <col min="1" max="1" width="2.7109375" customWidth="1"/>
    <col min="2" max="2" width="22.7109375" customWidth="1"/>
    <col min="3" max="3" width="10.7109375" style="174" customWidth="1"/>
    <col min="4" max="13" width="8.7109375" customWidth="1"/>
    <col min="14" max="14" width="2.7109375" customWidth="1"/>
    <col min="15" max="15" width="22.7109375" customWidth="1"/>
    <col min="16" max="16" width="10.7109375" style="174" customWidth="1"/>
    <col min="17" max="26" width="8.7109375" customWidth="1"/>
    <col min="27" max="27" width="2.7109375" customWidth="1"/>
    <col min="28" max="28" width="22.7109375" customWidth="1"/>
    <col min="29" max="29" width="10.7109375" style="174" customWidth="1"/>
    <col min="30" max="39" width="8.7109375" customWidth="1"/>
    <col min="40" max="40" width="2.7109375" customWidth="1"/>
    <col min="41" max="41" width="22.7109375" customWidth="1"/>
    <col min="42" max="42" width="10.7109375" style="174" customWidth="1"/>
    <col min="43" max="52" width="8.7109375" customWidth="1"/>
    <col min="53" max="53" width="2.7109375" customWidth="1"/>
    <col min="54" max="54" width="22.7109375" customWidth="1"/>
    <col min="55" max="55" width="10.7109375" style="174" customWidth="1"/>
    <col min="56" max="65" width="8.7109375" customWidth="1"/>
    <col min="66" max="66" width="2.7109375" customWidth="1"/>
    <col min="67" max="67" width="22.7109375" customWidth="1"/>
    <col min="68" max="68" width="10.7109375" style="174" customWidth="1"/>
    <col min="69" max="78" width="8.7109375" customWidth="1"/>
    <col min="79" max="79" width="2.7109375" customWidth="1"/>
    <col min="80" max="80" width="22.7109375" customWidth="1"/>
    <col min="81" max="81" width="10.7109375" style="174" customWidth="1"/>
    <col min="82" max="92" width="8.7109375" customWidth="1"/>
    <col min="93" max="93" width="18" bestFit="1" customWidth="1"/>
    <col min="94" max="94" width="9.7109375" bestFit="1" customWidth="1"/>
    <col min="95" max="98" width="8.7109375" customWidth="1"/>
  </cols>
  <sheetData>
    <row r="2" spans="2:98">
      <c r="B2" s="272" t="s">
        <v>816</v>
      </c>
      <c r="O2" s="272" t="s">
        <v>1028</v>
      </c>
      <c r="AB2" s="272" t="s">
        <v>1033</v>
      </c>
      <c r="AO2" s="272" t="s">
        <v>1029</v>
      </c>
      <c r="BB2" s="272" t="s">
        <v>1030</v>
      </c>
      <c r="BO2" s="272" t="s">
        <v>1031</v>
      </c>
      <c r="CB2" s="272" t="s">
        <v>1032</v>
      </c>
    </row>
    <row r="4" spans="2:98" ht="13.5" thickBot="1">
      <c r="B4" s="32" t="s">
        <v>439</v>
      </c>
      <c r="C4" s="33" t="s">
        <v>204</v>
      </c>
      <c r="D4" s="59">
        <v>2016</v>
      </c>
      <c r="E4" s="59">
        <v>2017</v>
      </c>
      <c r="F4" s="59" t="s">
        <v>480</v>
      </c>
      <c r="G4" s="59" t="s">
        <v>482</v>
      </c>
      <c r="H4" s="59" t="s">
        <v>485</v>
      </c>
      <c r="I4" s="59" t="s">
        <v>802</v>
      </c>
      <c r="J4" s="59" t="s">
        <v>803</v>
      </c>
      <c r="K4" s="59" t="s">
        <v>804</v>
      </c>
      <c r="L4" s="59" t="s">
        <v>805</v>
      </c>
      <c r="M4" s="59" t="s">
        <v>806</v>
      </c>
      <c r="O4" s="32" t="s">
        <v>439</v>
      </c>
      <c r="P4" s="33" t="s">
        <v>204</v>
      </c>
      <c r="Q4" s="59">
        <v>2016</v>
      </c>
      <c r="R4" s="59">
        <v>2017</v>
      </c>
      <c r="S4" s="59" t="s">
        <v>480</v>
      </c>
      <c r="T4" s="59" t="s">
        <v>482</v>
      </c>
      <c r="U4" s="59" t="s">
        <v>485</v>
      </c>
      <c r="V4" s="59" t="s">
        <v>802</v>
      </c>
      <c r="W4" s="59" t="s">
        <v>803</v>
      </c>
      <c r="X4" s="59" t="s">
        <v>804</v>
      </c>
      <c r="Y4" s="59" t="s">
        <v>805</v>
      </c>
      <c r="Z4" s="59" t="s">
        <v>806</v>
      </c>
      <c r="AB4" s="32" t="s">
        <v>439</v>
      </c>
      <c r="AC4" s="33" t="s">
        <v>204</v>
      </c>
      <c r="AD4" s="59">
        <v>2016</v>
      </c>
      <c r="AE4" s="59">
        <v>2017</v>
      </c>
      <c r="AF4" s="59" t="s">
        <v>480</v>
      </c>
      <c r="AG4" s="59" t="s">
        <v>482</v>
      </c>
      <c r="AH4" s="59" t="s">
        <v>485</v>
      </c>
      <c r="AI4" s="59" t="s">
        <v>802</v>
      </c>
      <c r="AJ4" s="59" t="s">
        <v>803</v>
      </c>
      <c r="AK4" s="59" t="s">
        <v>804</v>
      </c>
      <c r="AL4" s="59" t="s">
        <v>805</v>
      </c>
      <c r="AM4" s="59" t="s">
        <v>806</v>
      </c>
      <c r="AO4" s="32" t="s">
        <v>439</v>
      </c>
      <c r="AP4" s="33" t="s">
        <v>204</v>
      </c>
      <c r="AQ4" s="59">
        <v>2016</v>
      </c>
      <c r="AR4" s="59">
        <v>2017</v>
      </c>
      <c r="AS4" s="59" t="s">
        <v>480</v>
      </c>
      <c r="AT4" s="59" t="s">
        <v>482</v>
      </c>
      <c r="AU4" s="59" t="s">
        <v>485</v>
      </c>
      <c r="AV4" s="59" t="s">
        <v>802</v>
      </c>
      <c r="AW4" s="59" t="s">
        <v>803</v>
      </c>
      <c r="AX4" s="59" t="s">
        <v>804</v>
      </c>
      <c r="AY4" s="59" t="s">
        <v>805</v>
      </c>
      <c r="AZ4" s="59" t="s">
        <v>806</v>
      </c>
      <c r="BB4" s="32" t="s">
        <v>439</v>
      </c>
      <c r="BC4" s="33" t="s">
        <v>204</v>
      </c>
      <c r="BD4" s="59">
        <v>2016</v>
      </c>
      <c r="BE4" s="59">
        <v>2017</v>
      </c>
      <c r="BF4" s="59" t="s">
        <v>480</v>
      </c>
      <c r="BG4" s="59" t="s">
        <v>482</v>
      </c>
      <c r="BH4" s="59" t="s">
        <v>485</v>
      </c>
      <c r="BI4" s="59" t="s">
        <v>802</v>
      </c>
      <c r="BJ4" s="59" t="s">
        <v>803</v>
      </c>
      <c r="BK4" s="59" t="s">
        <v>804</v>
      </c>
      <c r="BL4" s="59" t="s">
        <v>805</v>
      </c>
      <c r="BM4" s="59" t="s">
        <v>806</v>
      </c>
      <c r="BO4" s="32" t="s">
        <v>439</v>
      </c>
      <c r="BP4" s="33" t="s">
        <v>204</v>
      </c>
      <c r="BQ4" s="59">
        <v>2016</v>
      </c>
      <c r="BR4" s="59">
        <v>2017</v>
      </c>
      <c r="BS4" s="59" t="s">
        <v>480</v>
      </c>
      <c r="BT4" s="59" t="s">
        <v>482</v>
      </c>
      <c r="BU4" s="59" t="s">
        <v>485</v>
      </c>
      <c r="BV4" s="59" t="s">
        <v>802</v>
      </c>
      <c r="BW4" s="59" t="s">
        <v>803</v>
      </c>
      <c r="BX4" s="59" t="s">
        <v>804</v>
      </c>
      <c r="BY4" s="59" t="s">
        <v>805</v>
      </c>
      <c r="BZ4" s="59" t="s">
        <v>806</v>
      </c>
      <c r="CB4" s="32" t="s">
        <v>439</v>
      </c>
      <c r="CC4" s="33" t="s">
        <v>204</v>
      </c>
      <c r="CD4" s="59">
        <v>2016</v>
      </c>
      <c r="CE4" s="59">
        <v>2017</v>
      </c>
      <c r="CF4" s="59" t="s">
        <v>480</v>
      </c>
      <c r="CG4" s="59" t="s">
        <v>482</v>
      </c>
      <c r="CH4" s="59" t="s">
        <v>485</v>
      </c>
      <c r="CI4" s="59" t="s">
        <v>802</v>
      </c>
      <c r="CJ4" s="59" t="s">
        <v>803</v>
      </c>
      <c r="CK4" s="59" t="s">
        <v>804</v>
      </c>
      <c r="CL4" s="59" t="s">
        <v>805</v>
      </c>
      <c r="CM4" s="59" t="s">
        <v>806</v>
      </c>
      <c r="CO4" s="32" t="s">
        <v>439</v>
      </c>
      <c r="CP4" s="33" t="s">
        <v>204</v>
      </c>
      <c r="CQ4" s="59" t="s">
        <v>480</v>
      </c>
      <c r="CR4" s="59" t="s">
        <v>1037</v>
      </c>
      <c r="CS4" s="59" t="s">
        <v>1038</v>
      </c>
      <c r="CT4" s="59" t="s">
        <v>1039</v>
      </c>
    </row>
    <row r="5" spans="2:98">
      <c r="B5" s="2" t="s">
        <v>185</v>
      </c>
      <c r="C5" s="30" t="s">
        <v>45</v>
      </c>
      <c r="D5" s="67">
        <f>SUMIFS(Ships!$P:$P,Ships!$H:$H,'Ship Table'!$B5,Ships!$I:$I,"&lt;2017")</f>
        <v>76911</v>
      </c>
      <c r="E5" s="67">
        <f>SUMIFS(Ships!$P:$P,Ships!$H:$H,'Ship Table'!$B5,Ships!$I:$I,"&lt;2018")</f>
        <v>76911</v>
      </c>
      <c r="F5" s="67">
        <f>SUMIFS(Ships!$P:$P,Ships!$H:$H,'Ship Table'!$B5,Ships!$I:$I,"&lt;2019")</f>
        <v>82311</v>
      </c>
      <c r="G5" s="67">
        <f>SUMIFS(Ships!$P:$P,Ships!$H:$H,'Ship Table'!$B5,Ships!$I:$I,"&lt;2020")</f>
        <v>86491</v>
      </c>
      <c r="H5" s="67">
        <f>SUMIFS(Ships!$P:$P,Ships!$H:$H,'Ship Table'!$B5,Ships!$I:$I,"&lt;2021")</f>
        <v>90591</v>
      </c>
      <c r="I5" s="67">
        <f>SUMIFS(Ships!$P:$P,Ships!$H:$H,'Ship Table'!$B5,Ships!$I:$I,"&lt;2022")</f>
        <v>95991</v>
      </c>
      <c r="J5" s="67">
        <f>SUMIFS(Ships!$P:$P,Ships!$H:$H,'Ship Table'!$B5,Ships!$I:$I,"&lt;2023")</f>
        <v>100991</v>
      </c>
      <c r="K5" s="67">
        <f>SUMIFS(Ships!$P:$P,Ships!$H:$H,'Ship Table'!$B5,Ships!$I:$I,"&lt;2024")</f>
        <v>100991</v>
      </c>
      <c r="L5" s="67">
        <f>SUMIFS(Ships!$P:$P,Ships!$H:$H,'Ship Table'!$B5,Ships!$I:$I,"&lt;2025")</f>
        <v>105991</v>
      </c>
      <c r="M5" s="67">
        <f>SUMIFS(Ships!$P:$P,Ships!$H:$H,'Ship Table'!$B5,Ships!$I:$I,"&lt;2026")</f>
        <v>105991</v>
      </c>
      <c r="O5" s="2" t="s">
        <v>185</v>
      </c>
      <c r="P5" s="30" t="s">
        <v>45</v>
      </c>
      <c r="Q5" s="67"/>
      <c r="R5" s="67">
        <f>E5-D5</f>
        <v>0</v>
      </c>
      <c r="S5" s="67">
        <f t="shared" ref="S5:Z5" si="0">F5-E5</f>
        <v>5400</v>
      </c>
      <c r="T5" s="67">
        <f t="shared" si="0"/>
        <v>4180</v>
      </c>
      <c r="U5" s="67">
        <f t="shared" si="0"/>
        <v>4100</v>
      </c>
      <c r="V5" s="67">
        <f t="shared" si="0"/>
        <v>5400</v>
      </c>
      <c r="W5" s="67">
        <f t="shared" si="0"/>
        <v>5000</v>
      </c>
      <c r="X5" s="67">
        <f t="shared" si="0"/>
        <v>0</v>
      </c>
      <c r="Y5" s="67">
        <f t="shared" si="0"/>
        <v>5000</v>
      </c>
      <c r="Z5" s="67">
        <f t="shared" si="0"/>
        <v>0</v>
      </c>
      <c r="AB5" s="2" t="s">
        <v>185</v>
      </c>
      <c r="AC5" s="30" t="s">
        <v>45</v>
      </c>
      <c r="AD5" s="66"/>
      <c r="AE5" s="66">
        <f>R5/D5</f>
        <v>0</v>
      </c>
      <c r="AF5" s="66">
        <f t="shared" ref="AF5:AM5" si="1">S5/E5</f>
        <v>7.0211023130631503E-2</v>
      </c>
      <c r="AG5" s="66">
        <f t="shared" si="1"/>
        <v>5.0783005916584661E-2</v>
      </c>
      <c r="AH5" s="66">
        <f t="shared" si="1"/>
        <v>4.7403776115433977E-2</v>
      </c>
      <c r="AI5" s="66">
        <f t="shared" si="1"/>
        <v>5.9608570387786865E-2</v>
      </c>
      <c r="AJ5" s="66">
        <f t="shared" si="1"/>
        <v>5.2088216603639922E-2</v>
      </c>
      <c r="AK5" s="66">
        <f t="shared" si="1"/>
        <v>0</v>
      </c>
      <c r="AL5" s="66">
        <f t="shared" si="1"/>
        <v>4.9509362220395876E-2</v>
      </c>
      <c r="AM5" s="66">
        <f t="shared" si="1"/>
        <v>0</v>
      </c>
      <c r="AO5" s="2" t="s">
        <v>185</v>
      </c>
      <c r="AP5" s="30" t="s">
        <v>45</v>
      </c>
      <c r="AQ5" s="66"/>
      <c r="AR5" s="66">
        <f t="shared" ref="AR5:AR35" si="2">R5/D$52</f>
        <v>0</v>
      </c>
      <c r="AS5" s="66">
        <f t="shared" ref="AS5:AS35" si="3">S5/E$52</f>
        <v>1.0235181731337853E-2</v>
      </c>
      <c r="AT5" s="66">
        <f t="shared" ref="AT5:AT35" si="4">T5/F$52</f>
        <v>7.4454328147654687E-3</v>
      </c>
      <c r="AU5" s="66">
        <f t="shared" ref="AU5:AU35" si="5">U5/G$52</f>
        <v>6.7891810260605201E-3</v>
      </c>
      <c r="AV5" s="66">
        <f t="shared" ref="AV5:AV35" si="6">V5/H$52</f>
        <v>8.3683305180616459E-3</v>
      </c>
      <c r="AW5" s="66">
        <f t="shared" ref="AW5:AW35" si="7">W5/I$52</f>
        <v>7.3022122782318132E-3</v>
      </c>
      <c r="AX5" s="66">
        <f t="shared" ref="AX5:AX35" si="8">X5/J$52</f>
        <v>0</v>
      </c>
      <c r="AY5" s="66">
        <f t="shared" ref="AY5:AY35" si="9">Y5/K$52</f>
        <v>6.6085991091608398E-3</v>
      </c>
      <c r="AZ5" s="66">
        <f t="shared" ref="AZ5:AZ35" si="10">Z5/L$52</f>
        <v>0</v>
      </c>
      <c r="BB5" s="2" t="s">
        <v>185</v>
      </c>
      <c r="BC5" s="30" t="s">
        <v>45</v>
      </c>
      <c r="BD5" s="66"/>
      <c r="BE5" s="66">
        <f t="shared" ref="BE5:BE35" si="11">R5/D$17</f>
        <v>0</v>
      </c>
      <c r="BF5" s="66">
        <f t="shared" ref="BF5:BF35" si="12">S5/E$17</f>
        <v>1.4378987506257523E-2</v>
      </c>
      <c r="BG5" s="66">
        <f t="shared" ref="BG5:BG35" si="13">T5/F$17</f>
        <v>1.0415057482147395E-2</v>
      </c>
      <c r="BH5" s="66">
        <f t="shared" ref="BH5:BH35" si="14">U5/G$17</f>
        <v>9.4157201188677254E-3</v>
      </c>
      <c r="BI5" s="66">
        <f t="shared" ref="BI5:BI35" si="15">V5/H$17</f>
        <v>1.1768244047229886E-2</v>
      </c>
      <c r="BJ5" s="66">
        <f t="shared" ref="BJ5:BJ35" si="16">W5/I$17</f>
        <v>1.0433577757281595E-2</v>
      </c>
      <c r="BK5" s="66">
        <f t="shared" ref="BK5:BK35" si="17">X5/J$17</f>
        <v>0</v>
      </c>
      <c r="BL5" s="66">
        <f t="shared" ref="BL5:BL35" si="18">Y5/K$17</f>
        <v>9.4487593778936826E-3</v>
      </c>
      <c r="BM5" s="66">
        <f t="shared" ref="BM5:BM35" si="19">Z5/L$17</f>
        <v>0</v>
      </c>
      <c r="BO5" s="2" t="s">
        <v>185</v>
      </c>
      <c r="BP5" s="30" t="s">
        <v>45</v>
      </c>
      <c r="BQ5" s="66">
        <f t="shared" ref="BQ5:BQ35" si="20">D5/D$52</f>
        <v>0.15396857808633818</v>
      </c>
      <c r="BR5" s="66">
        <f t="shared" ref="BR5:BR35" si="21">E5/E$52</f>
        <v>0.14577741891461585</v>
      </c>
      <c r="BS5" s="66">
        <f t="shared" ref="BS5:BS35" si="22">F5/F$52</f>
        <v>0.14661268431008626</v>
      </c>
      <c r="BT5" s="66">
        <f t="shared" ref="BT5:BT35" si="23">G5/G$52</f>
        <v>0.14322025759146351</v>
      </c>
      <c r="BU5" s="66">
        <f t="shared" ref="BU5:BU35" si="24">H5/H$52</f>
        <v>0.14038804258550419</v>
      </c>
      <c r="BV5" s="66">
        <f t="shared" ref="BV5:BV35" si="25">I5/I$52</f>
        <v>0.14018933175994999</v>
      </c>
      <c r="BW5" s="66">
        <f t="shared" ref="BW5:BW35" si="26">J5/J$52</f>
        <v>0.13889332042381367</v>
      </c>
      <c r="BX5" s="66">
        <f t="shared" ref="BX5:BX35" si="27">K5/K$52</f>
        <v>0.13348180652665248</v>
      </c>
      <c r="BY5" s="66">
        <f t="shared" ref="BY5:BY35" si="28">L5/L$52</f>
        <v>0.13654762824972302</v>
      </c>
      <c r="BZ5" s="66">
        <f t="shared" ref="BZ5:BZ35" si="29">M5/M$52</f>
        <v>0.13471491395307456</v>
      </c>
      <c r="CB5" s="2" t="s">
        <v>185</v>
      </c>
      <c r="CC5" s="30" t="s">
        <v>45</v>
      </c>
      <c r="CD5" s="66">
        <f t="shared" ref="CD5:CD17" si="30">D5/D$17</f>
        <v>0.21550579176543772</v>
      </c>
      <c r="CE5" s="66">
        <f t="shared" ref="CE5:CE17" si="31">E5/E$17</f>
        <v>0.20479672372106894</v>
      </c>
      <c r="CF5" s="66">
        <f t="shared" ref="CF5:CF17" si="32">F5/F$17</f>
        <v>0.2050894249791948</v>
      </c>
      <c r="CG5" s="66">
        <f t="shared" ref="CG5:CG17" si="33">G5/G$17</f>
        <v>0.19862806068316791</v>
      </c>
      <c r="CH5" s="66">
        <f t="shared" ref="CH5:CH17" si="34">H5/H$17</f>
        <v>0.19742536971900049</v>
      </c>
      <c r="CI5" s="66">
        <f t="shared" ref="CI5:CI17" si="35">I5/I$17</f>
        <v>0.2003059124998435</v>
      </c>
      <c r="CJ5" s="66">
        <f t="shared" ref="CJ5:CJ17" si="36">J5/J$17</f>
        <v>0.20072865030748011</v>
      </c>
      <c r="CK5" s="66">
        <f t="shared" ref="CK5:CK17" si="37">K5/K$17</f>
        <v>0.19084793166657218</v>
      </c>
      <c r="CL5" s="66">
        <f t="shared" ref="CL5:CL17" si="38">L5/L$17</f>
        <v>0.193460127402486</v>
      </c>
      <c r="CM5" s="66">
        <f t="shared" ref="CM5:CM17" si="39">M5/M$17</f>
        <v>0.19043606374759689</v>
      </c>
      <c r="CO5" s="2" t="s">
        <v>185</v>
      </c>
      <c r="CP5" s="30" t="s">
        <v>45</v>
      </c>
      <c r="CQ5" s="67">
        <f>F5</f>
        <v>82311</v>
      </c>
      <c r="CR5" s="67">
        <f>SUM(T5:V5)</f>
        <v>13680</v>
      </c>
      <c r="CS5" s="66">
        <f>CR5/CQ5</f>
        <v>0.16619892845427708</v>
      </c>
      <c r="CT5" s="66">
        <f>(I5/F5)^(1/3)-1</f>
        <v>5.2585894958927293E-2</v>
      </c>
    </row>
    <row r="6" spans="2:98">
      <c r="B6" s="2" t="s">
        <v>71</v>
      </c>
      <c r="C6" s="30" t="s">
        <v>93</v>
      </c>
      <c r="D6" s="67">
        <f>SUMIFS(Ships!$P:$P,Ships!$H:$H,'Ship Table'!$B6,Ships!$I:$I,"&lt;2017")</f>
        <v>66284</v>
      </c>
      <c r="E6" s="67">
        <f>SUMIFS(Ships!$P:$P,Ships!$H:$H,'Ship Table'!$B6,Ships!$I:$I,"&lt;2018")</f>
        <v>66284</v>
      </c>
      <c r="F6" s="67">
        <f>SUMIFS(Ships!$P:$P,Ships!$H:$H,'Ship Table'!$B6,Ships!$I:$I,"&lt;2019")</f>
        <v>70238</v>
      </c>
      <c r="G6" s="67">
        <f>SUMIFS(Ships!$P:$P,Ships!$H:$H,'Ship Table'!$B6,Ships!$I:$I,"&lt;2020")</f>
        <v>74438</v>
      </c>
      <c r="H6" s="67">
        <f>SUMIFS(Ships!$P:$P,Ships!$H:$H,'Ship Table'!$B6,Ships!$I:$I,"&lt;2021")</f>
        <v>79438</v>
      </c>
      <c r="I6" s="67">
        <f>SUMIFS(Ships!$P:$P,Ships!$H:$H,'Ship Table'!$B6,Ships!$I:$I,"&lt;2022")</f>
        <v>79438</v>
      </c>
      <c r="J6" s="67">
        <f>SUMIFS(Ships!$P:$P,Ships!$H:$H,'Ship Table'!$B6,Ships!$I:$I,"&lt;2023")</f>
        <v>84438</v>
      </c>
      <c r="K6" s="67">
        <f>SUMIFS(Ships!$P:$P,Ships!$H:$H,'Ship Table'!$B6,Ships!$I:$I,"&lt;2024")</f>
        <v>89438</v>
      </c>
      <c r="L6" s="67">
        <f>SUMIFS(Ships!$P:$P,Ships!$H:$H,'Ship Table'!$B6,Ships!$I:$I,"&lt;2025")</f>
        <v>94438</v>
      </c>
      <c r="M6" s="67">
        <f>SUMIFS(Ships!$P:$P,Ships!$H:$H,'Ship Table'!$B6,Ships!$I:$I,"&lt;2026")</f>
        <v>94438</v>
      </c>
      <c r="O6" s="2" t="s">
        <v>71</v>
      </c>
      <c r="P6" s="30" t="s">
        <v>93</v>
      </c>
      <c r="Q6" s="67"/>
      <c r="R6" s="67">
        <f t="shared" ref="R6:R52" si="40">E6-D6</f>
        <v>0</v>
      </c>
      <c r="S6" s="67">
        <f t="shared" ref="S6:S52" si="41">F6-E6</f>
        <v>3954</v>
      </c>
      <c r="T6" s="67">
        <f t="shared" ref="T6:T52" si="42">G6-F6</f>
        <v>4200</v>
      </c>
      <c r="U6" s="67">
        <f t="shared" ref="U6:U52" si="43">H6-G6</f>
        <v>5000</v>
      </c>
      <c r="V6" s="67">
        <f t="shared" ref="V6:V52" si="44">I6-H6</f>
        <v>0</v>
      </c>
      <c r="W6" s="67">
        <f t="shared" ref="W6:W52" si="45">J6-I6</f>
        <v>5000</v>
      </c>
      <c r="X6" s="67">
        <f t="shared" ref="X6:X52" si="46">K6-J6</f>
        <v>5000</v>
      </c>
      <c r="Y6" s="67">
        <f t="shared" ref="Y6:Y52" si="47">L6-K6</f>
        <v>5000</v>
      </c>
      <c r="Z6" s="67">
        <f t="shared" ref="Z6:Z52" si="48">M6-L6</f>
        <v>0</v>
      </c>
      <c r="AB6" s="2" t="s">
        <v>71</v>
      </c>
      <c r="AC6" s="30" t="s">
        <v>93</v>
      </c>
      <c r="AD6" s="66"/>
      <c r="AE6" s="66">
        <f t="shared" ref="AE6:AE18" si="49">R6/D6</f>
        <v>0</v>
      </c>
      <c r="AF6" s="66">
        <f t="shared" ref="AF6:AF18" si="50">S6/E6</f>
        <v>5.9652404803572506E-2</v>
      </c>
      <c r="AG6" s="66">
        <f t="shared" ref="AG6:AG18" si="51">T6/F6</f>
        <v>5.9796691249750844E-2</v>
      </c>
      <c r="AH6" s="66">
        <f t="shared" ref="AH6:AH18" si="52">U6/G6</f>
        <v>6.7169993820360568E-2</v>
      </c>
      <c r="AI6" s="66">
        <f t="shared" ref="AI6:AI18" si="53">V6/H6</f>
        <v>0</v>
      </c>
      <c r="AJ6" s="66">
        <f t="shared" ref="AJ6:AJ18" si="54">W6/I6</f>
        <v>6.2942168735365941E-2</v>
      </c>
      <c r="AK6" s="66">
        <f t="shared" ref="AK6:AK18" si="55">X6/J6</f>
        <v>5.9215045358724745E-2</v>
      </c>
      <c r="AL6" s="66">
        <f t="shared" ref="AL6:AL18" si="56">Y6/K6</f>
        <v>5.5904649030613388E-2</v>
      </c>
      <c r="AM6" s="66">
        <f t="shared" ref="AM6:AM18" si="57">Z6/L6</f>
        <v>0</v>
      </c>
      <c r="AO6" s="2" t="s">
        <v>71</v>
      </c>
      <c r="AP6" s="30" t="s">
        <v>93</v>
      </c>
      <c r="AQ6" s="66"/>
      <c r="AR6" s="66">
        <f t="shared" si="2"/>
        <v>0</v>
      </c>
      <c r="AS6" s="66">
        <f t="shared" si="3"/>
        <v>7.4944275121684939E-3</v>
      </c>
      <c r="AT6" s="66">
        <f t="shared" si="4"/>
        <v>7.4810568952188919E-3</v>
      </c>
      <c r="AU6" s="66">
        <f t="shared" si="5"/>
        <v>8.2794890561713654E-3</v>
      </c>
      <c r="AV6" s="66">
        <f t="shared" si="6"/>
        <v>0</v>
      </c>
      <c r="AW6" s="66">
        <f t="shared" si="7"/>
        <v>7.3022122782318132E-3</v>
      </c>
      <c r="AX6" s="66">
        <f t="shared" si="8"/>
        <v>6.876519710856099E-3</v>
      </c>
      <c r="AY6" s="66">
        <f t="shared" si="9"/>
        <v>6.6085991091608398E-3</v>
      </c>
      <c r="AZ6" s="66">
        <f t="shared" si="10"/>
        <v>0</v>
      </c>
      <c r="BB6" s="2" t="s">
        <v>71</v>
      </c>
      <c r="BC6" s="30" t="s">
        <v>93</v>
      </c>
      <c r="BD6" s="66"/>
      <c r="BE6" s="66">
        <f t="shared" si="11"/>
        <v>0</v>
      </c>
      <c r="BF6" s="66">
        <f t="shared" si="12"/>
        <v>1.0528614185137453E-2</v>
      </c>
      <c r="BG6" s="66">
        <f t="shared" si="13"/>
        <v>1.0464890293066761E-2</v>
      </c>
      <c r="BH6" s="66">
        <f t="shared" si="14"/>
        <v>1.1482585510814299E-2</v>
      </c>
      <c r="BI6" s="66">
        <f t="shared" si="15"/>
        <v>0</v>
      </c>
      <c r="BJ6" s="66">
        <f t="shared" si="16"/>
        <v>1.0433577757281595E-2</v>
      </c>
      <c r="BK6" s="66">
        <f t="shared" si="17"/>
        <v>9.9379474560842094E-3</v>
      </c>
      <c r="BL6" s="66">
        <f t="shared" si="18"/>
        <v>9.4487593778936826E-3</v>
      </c>
      <c r="BM6" s="66">
        <f t="shared" si="19"/>
        <v>0</v>
      </c>
      <c r="BO6" s="2" t="s">
        <v>71</v>
      </c>
      <c r="BP6" s="30" t="s">
        <v>93</v>
      </c>
      <c r="BQ6" s="66">
        <f t="shared" si="20"/>
        <v>0.13269432499739753</v>
      </c>
      <c r="BR6" s="66">
        <f t="shared" si="21"/>
        <v>0.12563496034814781</v>
      </c>
      <c r="BS6" s="66">
        <f t="shared" si="22"/>
        <v>0.12510820814437729</v>
      </c>
      <c r="BT6" s="66">
        <f t="shared" si="23"/>
        <v>0.12326172127265682</v>
      </c>
      <c r="BU6" s="66">
        <f t="shared" si="24"/>
        <v>0.12310434068403353</v>
      </c>
      <c r="BV6" s="66">
        <f t="shared" si="25"/>
        <v>0.11601462779163575</v>
      </c>
      <c r="BW6" s="66">
        <f t="shared" si="26"/>
        <v>0.11612791426905346</v>
      </c>
      <c r="BX6" s="66">
        <f t="shared" si="27"/>
        <v>0.11821197742502544</v>
      </c>
      <c r="BY6" s="66">
        <f t="shared" si="28"/>
        <v>0.12166396124809976</v>
      </c>
      <c r="BZ6" s="66">
        <f t="shared" si="29"/>
        <v>0.1200310124812527</v>
      </c>
      <c r="CB6" s="2" t="s">
        <v>71</v>
      </c>
      <c r="CC6" s="30" t="s">
        <v>93</v>
      </c>
      <c r="CD6" s="66">
        <f t="shared" si="30"/>
        <v>0.18572877613579686</v>
      </c>
      <c r="CE6" s="66">
        <f t="shared" si="31"/>
        <v>0.17649940886384696</v>
      </c>
      <c r="CF6" s="66">
        <f t="shared" si="32"/>
        <v>0.17500784866771979</v>
      </c>
      <c r="CG6" s="66">
        <f t="shared" si="33"/>
        <v>0.17094814005079895</v>
      </c>
      <c r="CH6" s="66">
        <f t="shared" si="34"/>
        <v>0.1731195871525644</v>
      </c>
      <c r="CI6" s="66">
        <f t="shared" si="35"/>
        <v>0.16576450997658704</v>
      </c>
      <c r="CJ6" s="66">
        <f t="shared" si="36"/>
        <v>0.1678280814593677</v>
      </c>
      <c r="CK6" s="66">
        <f t="shared" si="37"/>
        <v>0.16901562824801103</v>
      </c>
      <c r="CL6" s="66">
        <f t="shared" si="38"/>
        <v>0.17237300819537482</v>
      </c>
      <c r="CM6" s="66">
        <f t="shared" si="39"/>
        <v>0.16967856693677344</v>
      </c>
      <c r="CO6" s="2" t="s">
        <v>71</v>
      </c>
      <c r="CP6" s="30" t="s">
        <v>93</v>
      </c>
      <c r="CQ6" s="67">
        <f t="shared" ref="CQ6:CQ52" si="58">F6</f>
        <v>70238</v>
      </c>
      <c r="CR6" s="67">
        <f t="shared" ref="CR6:CR52" si="59">SUM(T6:V6)</f>
        <v>9200</v>
      </c>
      <c r="CS6" s="66">
        <f t="shared" ref="CS6:CS52" si="60">CR6/CQ6</f>
        <v>0.13098322845183519</v>
      </c>
      <c r="CT6" s="66">
        <f t="shared" ref="CT6:CT52" si="61">(I6/F6)^(1/3)-1</f>
        <v>4.1882447522838984E-2</v>
      </c>
    </row>
    <row r="7" spans="2:98">
      <c r="B7" s="2" t="s">
        <v>184</v>
      </c>
      <c r="C7" s="30" t="s">
        <v>184</v>
      </c>
      <c r="D7" s="67">
        <f>SUMIFS(Ships!$P:$P,Ships!$H:$H,'Ship Table'!$B7,Ships!$I:$I,"&lt;2017")</f>
        <v>31722</v>
      </c>
      <c r="E7" s="67">
        <f>SUMIFS(Ships!$P:$P,Ships!$H:$H,'Ship Table'!$B7,Ships!$I:$I,"&lt;2018")</f>
        <v>40350</v>
      </c>
      <c r="F7" s="67">
        <f>SUMIFS(Ships!$P:$P,Ships!$H:$H,'Ship Table'!$B7,Ships!$I:$I,"&lt;2019")</f>
        <v>44490</v>
      </c>
      <c r="G7" s="67">
        <f>SUMIFS(Ships!$P:$P,Ships!$H:$H,'Ship Table'!$B7,Ships!$I:$I,"&lt;2020")</f>
        <v>53878</v>
      </c>
      <c r="H7" s="67">
        <f>SUMIFS(Ships!$P:$P,Ships!$H:$H,'Ship Table'!$B7,Ships!$I:$I,"&lt;2021")</f>
        <v>58766</v>
      </c>
      <c r="I7" s="67">
        <f>SUMIFS(Ships!$P:$P,Ships!$H:$H,'Ship Table'!$B7,Ships!$I:$I,"&lt;2022")</f>
        <v>63326</v>
      </c>
      <c r="J7" s="67">
        <f>SUMIFS(Ships!$P:$P,Ships!$H:$H,'Ship Table'!$B7,Ships!$I:$I,"&lt;2023")</f>
        <v>68726</v>
      </c>
      <c r="K7" s="67">
        <f>SUMIFS(Ships!$P:$P,Ships!$H:$H,'Ship Table'!$B7,Ships!$I:$I,"&lt;2024")</f>
        <v>78174</v>
      </c>
      <c r="L7" s="67">
        <f>SUMIFS(Ships!$P:$P,Ships!$H:$H,'Ship Table'!$B7,Ships!$I:$I,"&lt;2025")</f>
        <v>83574</v>
      </c>
      <c r="M7" s="67">
        <f>SUMIFS(Ships!$P:$P,Ships!$H:$H,'Ship Table'!$B7,Ships!$I:$I,"&lt;2026")</f>
        <v>88974</v>
      </c>
      <c r="O7" s="2" t="s">
        <v>184</v>
      </c>
      <c r="P7" s="30" t="s">
        <v>184</v>
      </c>
      <c r="Q7" s="67"/>
      <c r="R7" s="67">
        <f t="shared" si="40"/>
        <v>8628</v>
      </c>
      <c r="S7" s="67">
        <f t="shared" si="41"/>
        <v>4140</v>
      </c>
      <c r="T7" s="67">
        <f t="shared" si="42"/>
        <v>9388</v>
      </c>
      <c r="U7" s="67">
        <f t="shared" si="43"/>
        <v>4888</v>
      </c>
      <c r="V7" s="67">
        <f t="shared" si="44"/>
        <v>4560</v>
      </c>
      <c r="W7" s="67">
        <f t="shared" si="45"/>
        <v>5400</v>
      </c>
      <c r="X7" s="67">
        <f t="shared" si="46"/>
        <v>9448</v>
      </c>
      <c r="Y7" s="67">
        <f t="shared" si="47"/>
        <v>5400</v>
      </c>
      <c r="Z7" s="67">
        <f t="shared" si="48"/>
        <v>5400</v>
      </c>
      <c r="AB7" s="2" t="s">
        <v>184</v>
      </c>
      <c r="AC7" s="30" t="s">
        <v>184</v>
      </c>
      <c r="AD7" s="66"/>
      <c r="AE7" s="66">
        <f t="shared" si="49"/>
        <v>0.27198789483639113</v>
      </c>
      <c r="AF7" s="66">
        <f t="shared" si="50"/>
        <v>0.10260223048327137</v>
      </c>
      <c r="AG7" s="66">
        <f t="shared" si="51"/>
        <v>0.21101371094628008</v>
      </c>
      <c r="AH7" s="66">
        <f t="shared" si="52"/>
        <v>9.0723486395189137E-2</v>
      </c>
      <c r="AI7" s="66">
        <f t="shared" si="53"/>
        <v>7.7595888779226088E-2</v>
      </c>
      <c r="AJ7" s="66">
        <f t="shared" si="54"/>
        <v>8.5273031614186909E-2</v>
      </c>
      <c r="AK7" s="66">
        <f t="shared" si="55"/>
        <v>0.13747344527544161</v>
      </c>
      <c r="AL7" s="66">
        <f t="shared" si="56"/>
        <v>6.9076675109371405E-2</v>
      </c>
      <c r="AM7" s="66">
        <f t="shared" si="57"/>
        <v>6.4613396510876595E-2</v>
      </c>
      <c r="AO7" s="2" t="s">
        <v>184</v>
      </c>
      <c r="AP7" s="30" t="s">
        <v>184</v>
      </c>
      <c r="AQ7" s="66"/>
      <c r="AR7" s="66">
        <f t="shared" si="2"/>
        <v>1.7272443366084512E-2</v>
      </c>
      <c r="AS7" s="66">
        <f t="shared" si="3"/>
        <v>7.8469726606923539E-3</v>
      </c>
      <c r="AT7" s="66">
        <f t="shared" si="4"/>
        <v>1.6721943364836896E-2</v>
      </c>
      <c r="AU7" s="66">
        <f t="shared" si="5"/>
        <v>8.0940285013131278E-3</v>
      </c>
      <c r="AV7" s="66">
        <f t="shared" si="6"/>
        <v>7.0665902152520568E-3</v>
      </c>
      <c r="AW7" s="66">
        <f t="shared" si="7"/>
        <v>7.8863892604903573E-3</v>
      </c>
      <c r="AX7" s="66">
        <f t="shared" si="8"/>
        <v>1.2993871645633684E-2</v>
      </c>
      <c r="AY7" s="66">
        <f t="shared" si="9"/>
        <v>7.1372870378937072E-3</v>
      </c>
      <c r="AZ7" s="66">
        <f t="shared" si="10"/>
        <v>6.9567906006029216E-3</v>
      </c>
      <c r="BB7" s="2" t="s">
        <v>184</v>
      </c>
      <c r="BC7" s="30" t="s">
        <v>184</v>
      </c>
      <c r="BD7" s="66"/>
      <c r="BE7" s="66">
        <f t="shared" si="11"/>
        <v>2.4175787226173064E-2</v>
      </c>
      <c r="BF7" s="66">
        <f t="shared" si="12"/>
        <v>1.1023890421464101E-2</v>
      </c>
      <c r="BG7" s="66">
        <f t="shared" si="13"/>
        <v>2.3391521445550179E-2</v>
      </c>
      <c r="BH7" s="66">
        <f t="shared" si="14"/>
        <v>1.1225375595372058E-2</v>
      </c>
      <c r="BI7" s="66">
        <f t="shared" si="15"/>
        <v>9.9376283065496819E-3</v>
      </c>
      <c r="BJ7" s="66">
        <f t="shared" si="16"/>
        <v>1.1268263977864122E-2</v>
      </c>
      <c r="BK7" s="66">
        <f t="shared" si="17"/>
        <v>1.8778745513016722E-2</v>
      </c>
      <c r="BL7" s="66">
        <f t="shared" si="18"/>
        <v>1.0204660128125178E-2</v>
      </c>
      <c r="BM7" s="66">
        <f t="shared" si="19"/>
        <v>9.8563527844196617E-3</v>
      </c>
      <c r="BO7" s="2" t="s">
        <v>184</v>
      </c>
      <c r="BP7" s="30" t="s">
        <v>184</v>
      </c>
      <c r="BQ7" s="66">
        <f t="shared" si="20"/>
        <v>6.3504456242342716E-2</v>
      </c>
      <c r="BR7" s="66">
        <f t="shared" si="21"/>
        <v>7.647955238138561E-2</v>
      </c>
      <c r="BS7" s="66">
        <f t="shared" si="22"/>
        <v>7.9245766968640122E-2</v>
      </c>
      <c r="BT7" s="66">
        <f t="shared" si="23"/>
        <v>8.9216462273680172E-2</v>
      </c>
      <c r="BU7" s="66">
        <f t="shared" si="24"/>
        <v>9.1069131708224213E-2</v>
      </c>
      <c r="BV7" s="66">
        <f t="shared" si="25"/>
        <v>9.2483978946261564E-2</v>
      </c>
      <c r="BW7" s="66">
        <f t="shared" si="26"/>
        <v>9.4519138729659252E-2</v>
      </c>
      <c r="BX7" s="66">
        <f t="shared" si="27"/>
        <v>0.10332412535190791</v>
      </c>
      <c r="BY7" s="66">
        <f t="shared" si="28"/>
        <v>0.10766792919533122</v>
      </c>
      <c r="BZ7" s="66">
        <f t="shared" si="29"/>
        <v>0.11308625028597574</v>
      </c>
      <c r="CB7" s="2" t="s">
        <v>184</v>
      </c>
      <c r="CC7" s="30" t="s">
        <v>184</v>
      </c>
      <c r="CD7" s="66">
        <f t="shared" si="30"/>
        <v>8.8885526470637688E-2</v>
      </c>
      <c r="CE7" s="66">
        <f t="shared" si="31"/>
        <v>0.10744298997731315</v>
      </c>
      <c r="CF7" s="66">
        <f t="shared" si="32"/>
        <v>0.11085308789012861</v>
      </c>
      <c r="CG7" s="66">
        <f t="shared" si="33"/>
        <v>0.12373174843033057</v>
      </c>
      <c r="CH7" s="66">
        <f t="shared" si="34"/>
        <v>0.12806900549620584</v>
      </c>
      <c r="CI7" s="66">
        <f t="shared" si="35"/>
        <v>0.13214334901152283</v>
      </c>
      <c r="CJ7" s="66">
        <f t="shared" si="36"/>
        <v>0.13659907537336868</v>
      </c>
      <c r="CK7" s="66">
        <f t="shared" si="37"/>
        <v>0.14772946312149215</v>
      </c>
      <c r="CL7" s="66">
        <f t="shared" si="38"/>
        <v>0.15254348659353495</v>
      </c>
      <c r="CM7" s="66">
        <f t="shared" si="39"/>
        <v>0.15986129327847351</v>
      </c>
      <c r="CO7" s="2" t="s">
        <v>184</v>
      </c>
      <c r="CP7" s="30" t="s">
        <v>184</v>
      </c>
      <c r="CQ7" s="67">
        <f t="shared" si="58"/>
        <v>44490</v>
      </c>
      <c r="CR7" s="67">
        <f t="shared" si="59"/>
        <v>18836</v>
      </c>
      <c r="CS7" s="66">
        <f t="shared" si="60"/>
        <v>0.42337603955945158</v>
      </c>
      <c r="CT7" s="66">
        <f t="shared" si="61"/>
        <v>0.12488091962552961</v>
      </c>
    </row>
    <row r="8" spans="2:98">
      <c r="B8" s="2" t="s">
        <v>132</v>
      </c>
      <c r="C8" s="30" t="s">
        <v>93</v>
      </c>
      <c r="D8" s="67">
        <f>SUMIFS(Ships!$P:$P,Ships!$H:$H,'Ship Table'!$B8,Ships!$I:$I,"&lt;2017")</f>
        <v>34828</v>
      </c>
      <c r="E8" s="67">
        <f>SUMIFS(Ships!$P:$P,Ships!$H:$H,'Ship Table'!$B8,Ships!$I:$I,"&lt;2018")</f>
        <v>34828</v>
      </c>
      <c r="F8" s="67">
        <f>SUMIFS(Ships!$P:$P,Ships!$H:$H,'Ship Table'!$B8,Ships!$I:$I,"&lt;2019")</f>
        <v>34828</v>
      </c>
      <c r="G8" s="67">
        <f>SUMIFS(Ships!$P:$P,Ships!$H:$H,'Ship Table'!$B8,Ships!$I:$I,"&lt;2020")</f>
        <v>44060</v>
      </c>
      <c r="H8" s="67">
        <f>SUMIFS(Ships!$P:$P,Ships!$H:$H,'Ship Table'!$B8,Ships!$I:$I,"&lt;2021")</f>
        <v>48292</v>
      </c>
      <c r="I8" s="67">
        <f>SUMIFS(Ships!$P:$P,Ships!$H:$H,'Ship Table'!$B8,Ships!$I:$I,"&lt;2022")</f>
        <v>53292</v>
      </c>
      <c r="J8" s="67">
        <f>SUMIFS(Ships!$P:$P,Ships!$H:$H,'Ship Table'!$B8,Ships!$I:$I,"&lt;2023")</f>
        <v>53292</v>
      </c>
      <c r="K8" s="67">
        <f>SUMIFS(Ships!$P:$P,Ships!$H:$H,'Ship Table'!$B8,Ships!$I:$I,"&lt;2024")</f>
        <v>53292</v>
      </c>
      <c r="L8" s="67">
        <f>SUMIFS(Ships!$P:$P,Ships!$H:$H,'Ship Table'!$B8,Ships!$I:$I,"&lt;2025")</f>
        <v>53292</v>
      </c>
      <c r="M8" s="67">
        <f>SUMIFS(Ships!$P:$P,Ships!$H:$H,'Ship Table'!$B8,Ships!$I:$I,"&lt;2026")</f>
        <v>53292</v>
      </c>
      <c r="O8" s="2" t="s">
        <v>132</v>
      </c>
      <c r="P8" s="30" t="s">
        <v>93</v>
      </c>
      <c r="Q8" s="67"/>
      <c r="R8" s="67">
        <f t="shared" ref="R8:Z8" si="62">E8-D8</f>
        <v>0</v>
      </c>
      <c r="S8" s="67">
        <f t="shared" si="62"/>
        <v>0</v>
      </c>
      <c r="T8" s="67">
        <f t="shared" si="62"/>
        <v>9232</v>
      </c>
      <c r="U8" s="67">
        <f t="shared" si="62"/>
        <v>4232</v>
      </c>
      <c r="V8" s="67">
        <f t="shared" si="62"/>
        <v>5000</v>
      </c>
      <c r="W8" s="67">
        <f t="shared" si="62"/>
        <v>0</v>
      </c>
      <c r="X8" s="67">
        <f t="shared" si="62"/>
        <v>0</v>
      </c>
      <c r="Y8" s="67">
        <f t="shared" si="62"/>
        <v>0</v>
      </c>
      <c r="Z8" s="67">
        <f t="shared" si="62"/>
        <v>0</v>
      </c>
      <c r="AB8" s="2" t="s">
        <v>132</v>
      </c>
      <c r="AC8" s="30" t="s">
        <v>93</v>
      </c>
      <c r="AD8" s="66"/>
      <c r="AE8" s="66">
        <f t="shared" ref="AE8:AM8" si="63">R8/D8</f>
        <v>0</v>
      </c>
      <c r="AF8" s="66">
        <f t="shared" si="63"/>
        <v>0</v>
      </c>
      <c r="AG8" s="66">
        <f t="shared" si="63"/>
        <v>0.26507407832778224</v>
      </c>
      <c r="AH8" s="66">
        <f t="shared" si="63"/>
        <v>9.6050839763958243E-2</v>
      </c>
      <c r="AI8" s="66">
        <f t="shared" si="63"/>
        <v>0.10353681769237141</v>
      </c>
      <c r="AJ8" s="66">
        <f t="shared" si="63"/>
        <v>0</v>
      </c>
      <c r="AK8" s="66">
        <f t="shared" si="63"/>
        <v>0</v>
      </c>
      <c r="AL8" s="66">
        <f t="shared" si="63"/>
        <v>0</v>
      </c>
      <c r="AM8" s="66">
        <f t="shared" si="63"/>
        <v>0</v>
      </c>
      <c r="AO8" s="2" t="s">
        <v>132</v>
      </c>
      <c r="AP8" s="30" t="s">
        <v>93</v>
      </c>
      <c r="AQ8" s="66"/>
      <c r="AR8" s="66">
        <f t="shared" si="2"/>
        <v>0</v>
      </c>
      <c r="AS8" s="66">
        <f t="shared" si="3"/>
        <v>0</v>
      </c>
      <c r="AT8" s="66">
        <f t="shared" si="4"/>
        <v>1.6444075537300193E-2</v>
      </c>
      <c r="AU8" s="66">
        <f t="shared" si="5"/>
        <v>7.007759537143444E-3</v>
      </c>
      <c r="AV8" s="66">
        <f t="shared" si="6"/>
        <v>7.7484541833904132E-3</v>
      </c>
      <c r="AW8" s="66">
        <f t="shared" si="7"/>
        <v>0</v>
      </c>
      <c r="AX8" s="66">
        <f t="shared" si="8"/>
        <v>0</v>
      </c>
      <c r="AY8" s="66">
        <f t="shared" si="9"/>
        <v>0</v>
      </c>
      <c r="AZ8" s="66">
        <f t="shared" si="10"/>
        <v>0</v>
      </c>
      <c r="BB8" s="2" t="s">
        <v>132</v>
      </c>
      <c r="BC8" s="30" t="s">
        <v>93</v>
      </c>
      <c r="BD8" s="66"/>
      <c r="BE8" s="66">
        <f t="shared" si="11"/>
        <v>0</v>
      </c>
      <c r="BF8" s="66">
        <f t="shared" si="12"/>
        <v>0</v>
      </c>
      <c r="BG8" s="66">
        <f t="shared" si="13"/>
        <v>2.300282552037913E-2</v>
      </c>
      <c r="BH8" s="66">
        <f t="shared" si="14"/>
        <v>9.7188603763532222E-3</v>
      </c>
      <c r="BI8" s="66">
        <f t="shared" si="15"/>
        <v>1.0896522265953598E-2</v>
      </c>
      <c r="BJ8" s="66">
        <f t="shared" si="16"/>
        <v>0</v>
      </c>
      <c r="BK8" s="66">
        <f t="shared" si="17"/>
        <v>0</v>
      </c>
      <c r="BL8" s="66">
        <f t="shared" si="18"/>
        <v>0</v>
      </c>
      <c r="BM8" s="66">
        <f t="shared" si="19"/>
        <v>0</v>
      </c>
      <c r="BO8" s="2" t="s">
        <v>132</v>
      </c>
      <c r="BP8" s="30" t="s">
        <v>93</v>
      </c>
      <c r="BQ8" s="66">
        <f t="shared" si="20"/>
        <v>6.9722375701667991E-2</v>
      </c>
      <c r="BR8" s="66">
        <f t="shared" si="21"/>
        <v>6.6013131359080504E-2</v>
      </c>
      <c r="BS8" s="66">
        <f t="shared" si="22"/>
        <v>6.2035773701591329E-2</v>
      </c>
      <c r="BT8" s="66">
        <f t="shared" si="23"/>
        <v>7.295885756298208E-2</v>
      </c>
      <c r="BU8" s="66">
        <f t="shared" si="24"/>
        <v>7.4837669884857974E-2</v>
      </c>
      <c r="BV8" s="66">
        <f t="shared" si="25"/>
        <v>7.782989934630595E-2</v>
      </c>
      <c r="BW8" s="66">
        <f t="shared" si="26"/>
        <v>7.3292697686188651E-2</v>
      </c>
      <c r="BX8" s="66">
        <f t="shared" si="27"/>
        <v>7.0437092745079893E-2</v>
      </c>
      <c r="BY8" s="66">
        <f t="shared" si="28"/>
        <v>6.8655793460616829E-2</v>
      </c>
      <c r="BZ8" s="66">
        <f t="shared" si="29"/>
        <v>6.7734309463890793E-2</v>
      </c>
      <c r="CB8" s="2" t="s">
        <v>132</v>
      </c>
      <c r="CC8" s="30" t="s">
        <v>93</v>
      </c>
      <c r="CD8" s="66">
        <f t="shared" si="30"/>
        <v>9.7588585710843237E-2</v>
      </c>
      <c r="CE8" s="66">
        <f t="shared" si="31"/>
        <v>9.2739143864432771E-2</v>
      </c>
      <c r="CF8" s="66">
        <f t="shared" si="32"/>
        <v>8.6778856934983134E-2</v>
      </c>
      <c r="CG8" s="66">
        <f t="shared" si="33"/>
        <v>0.10118454352129561</v>
      </c>
      <c r="CH8" s="66">
        <f t="shared" si="34"/>
        <v>0.10524297065348623</v>
      </c>
      <c r="CI8" s="66">
        <f t="shared" si="35"/>
        <v>0.11120524516821013</v>
      </c>
      <c r="CJ8" s="66">
        <f t="shared" si="36"/>
        <v>0.10592261916592795</v>
      </c>
      <c r="CK8" s="66">
        <f t="shared" si="37"/>
        <v>0.10070865695334202</v>
      </c>
      <c r="CL8" s="66">
        <f t="shared" si="38"/>
        <v>9.7271250479128255E-2</v>
      </c>
      <c r="CM8" s="66">
        <f t="shared" si="39"/>
        <v>9.5750759113858094E-2</v>
      </c>
      <c r="CO8" s="2" t="s">
        <v>132</v>
      </c>
      <c r="CP8" s="30" t="s">
        <v>93</v>
      </c>
      <c r="CQ8" s="67">
        <f>F8</f>
        <v>34828</v>
      </c>
      <c r="CR8" s="67">
        <f>SUM(T8:V8)</f>
        <v>18464</v>
      </c>
      <c r="CS8" s="66">
        <f>CR8/CQ8</f>
        <v>0.53014815665556447</v>
      </c>
      <c r="CT8" s="66">
        <f>(I8/F8)^(1/3)-1</f>
        <v>0.15233254525954387</v>
      </c>
    </row>
    <row r="9" spans="2:98">
      <c r="B9" s="2" t="s">
        <v>46</v>
      </c>
      <c r="C9" s="30" t="s">
        <v>63</v>
      </c>
      <c r="D9" s="67">
        <f>SUMIFS(Ships!$P:$P,Ships!$H:$H,'Ship Table'!$B9,Ships!$I:$I,"&lt;2017")</f>
        <v>38814</v>
      </c>
      <c r="E9" s="67">
        <f>SUMIFS(Ships!$P:$P,Ships!$H:$H,'Ship Table'!$B9,Ships!$I:$I,"&lt;2018")</f>
        <v>43064</v>
      </c>
      <c r="F9" s="67">
        <f>SUMIFS(Ships!$P:$P,Ships!$H:$H,'Ship Table'!$B9,Ships!$I:$I,"&lt;2019")</f>
        <v>47264</v>
      </c>
      <c r="G9" s="67">
        <f>SUMIFS(Ships!$P:$P,Ships!$H:$H,'Ship Table'!$B9,Ships!$I:$I,"&lt;2020")</f>
        <v>51464</v>
      </c>
      <c r="H9" s="67">
        <f>SUMIFS(Ships!$P:$P,Ships!$H:$H,'Ship Table'!$B9,Ships!$I:$I,"&lt;2021")</f>
        <v>51464</v>
      </c>
      <c r="I9" s="67">
        <f>SUMIFS(Ships!$P:$P,Ships!$H:$H,'Ship Table'!$B9,Ships!$I:$I,"&lt;2022")</f>
        <v>51464</v>
      </c>
      <c r="J9" s="67">
        <f>SUMIFS(Ships!$P:$P,Ships!$H:$H,'Ship Table'!$B9,Ships!$I:$I,"&lt;2023")</f>
        <v>54764</v>
      </c>
      <c r="K9" s="67">
        <f>SUMIFS(Ships!$P:$P,Ships!$H:$H,'Ship Table'!$B9,Ships!$I:$I,"&lt;2024")</f>
        <v>58064</v>
      </c>
      <c r="L9" s="67">
        <f>SUMIFS(Ships!$P:$P,Ships!$H:$H,'Ship Table'!$B9,Ships!$I:$I,"&lt;2025")</f>
        <v>61364</v>
      </c>
      <c r="M9" s="67">
        <f>SUMIFS(Ships!$P:$P,Ships!$H:$H,'Ship Table'!$B9,Ships!$I:$I,"&lt;2026")</f>
        <v>64664</v>
      </c>
      <c r="O9" s="2" t="s">
        <v>46</v>
      </c>
      <c r="P9" s="30" t="s">
        <v>63</v>
      </c>
      <c r="Q9" s="67"/>
      <c r="R9" s="67">
        <f t="shared" si="40"/>
        <v>4250</v>
      </c>
      <c r="S9" s="67">
        <f t="shared" si="41"/>
        <v>4200</v>
      </c>
      <c r="T9" s="67">
        <f t="shared" si="42"/>
        <v>4200</v>
      </c>
      <c r="U9" s="67">
        <f t="shared" si="43"/>
        <v>0</v>
      </c>
      <c r="V9" s="67">
        <f t="shared" si="44"/>
        <v>0</v>
      </c>
      <c r="W9" s="67">
        <f t="shared" si="45"/>
        <v>3300</v>
      </c>
      <c r="X9" s="67">
        <f t="shared" si="46"/>
        <v>3300</v>
      </c>
      <c r="Y9" s="67">
        <f t="shared" si="47"/>
        <v>3300</v>
      </c>
      <c r="Z9" s="67">
        <f t="shared" si="48"/>
        <v>3300</v>
      </c>
      <c r="AB9" s="2" t="s">
        <v>46</v>
      </c>
      <c r="AC9" s="30" t="s">
        <v>63</v>
      </c>
      <c r="AD9" s="66"/>
      <c r="AE9" s="66">
        <f t="shared" si="49"/>
        <v>0.10949657340135002</v>
      </c>
      <c r="AF9" s="66">
        <f t="shared" si="50"/>
        <v>9.7529258777633285E-2</v>
      </c>
      <c r="AG9" s="66">
        <f t="shared" si="51"/>
        <v>8.8862559241706163E-2</v>
      </c>
      <c r="AH9" s="66">
        <f t="shared" si="52"/>
        <v>0</v>
      </c>
      <c r="AI9" s="66">
        <f t="shared" si="53"/>
        <v>0</v>
      </c>
      <c r="AJ9" s="66">
        <f t="shared" si="54"/>
        <v>6.4122493393440075E-2</v>
      </c>
      <c r="AK9" s="66">
        <f t="shared" si="55"/>
        <v>6.0258564020159229E-2</v>
      </c>
      <c r="AL9" s="66">
        <f t="shared" si="56"/>
        <v>5.6833838523009092E-2</v>
      </c>
      <c r="AM9" s="66">
        <f t="shared" si="57"/>
        <v>5.3777459096538686E-2</v>
      </c>
      <c r="AO9" s="2" t="s">
        <v>46</v>
      </c>
      <c r="AP9" s="30" t="s">
        <v>63</v>
      </c>
      <c r="AQ9" s="66"/>
      <c r="AR9" s="66">
        <f t="shared" si="2"/>
        <v>8.5080997109247998E-3</v>
      </c>
      <c r="AS9" s="66">
        <f t="shared" si="3"/>
        <v>7.9606969021516621E-3</v>
      </c>
      <c r="AT9" s="66">
        <f t="shared" si="4"/>
        <v>7.4810568952188919E-3</v>
      </c>
      <c r="AU9" s="66">
        <f t="shared" si="5"/>
        <v>0</v>
      </c>
      <c r="AV9" s="66">
        <f t="shared" si="6"/>
        <v>0</v>
      </c>
      <c r="AW9" s="66">
        <f t="shared" si="7"/>
        <v>4.8194601036329965E-3</v>
      </c>
      <c r="AX9" s="66">
        <f t="shared" si="8"/>
        <v>4.5385030091650257E-3</v>
      </c>
      <c r="AY9" s="66">
        <f t="shared" si="9"/>
        <v>4.3616754120461548E-3</v>
      </c>
      <c r="AZ9" s="66">
        <f t="shared" si="10"/>
        <v>4.2513720337017859E-3</v>
      </c>
      <c r="BB9" s="2" t="s">
        <v>46</v>
      </c>
      <c r="BC9" s="30" t="s">
        <v>63</v>
      </c>
      <c r="BD9" s="66"/>
      <c r="BE9" s="66">
        <f t="shared" si="11"/>
        <v>1.1908564639688864E-2</v>
      </c>
      <c r="BF9" s="66">
        <f t="shared" si="12"/>
        <v>1.1183656949311406E-2</v>
      </c>
      <c r="BG9" s="66">
        <f t="shared" si="13"/>
        <v>1.0464890293066761E-2</v>
      </c>
      <c r="BH9" s="66">
        <f t="shared" si="14"/>
        <v>0</v>
      </c>
      <c r="BI9" s="66">
        <f t="shared" si="15"/>
        <v>0</v>
      </c>
      <c r="BJ9" s="66">
        <f t="shared" si="16"/>
        <v>6.886161319805852E-3</v>
      </c>
      <c r="BK9" s="66">
        <f t="shared" si="17"/>
        <v>6.559045321015579E-3</v>
      </c>
      <c r="BL9" s="66">
        <f t="shared" si="18"/>
        <v>6.2361811894098302E-3</v>
      </c>
      <c r="BM9" s="66">
        <f t="shared" si="19"/>
        <v>6.0233267015897931E-3</v>
      </c>
      <c r="BO9" s="2" t="s">
        <v>46</v>
      </c>
      <c r="BP9" s="30" t="s">
        <v>63</v>
      </c>
      <c r="BQ9" s="66">
        <f t="shared" si="20"/>
        <v>7.7701972277608278E-2</v>
      </c>
      <c r="BR9" s="66">
        <f t="shared" si="21"/>
        <v>8.1623678903395044E-2</v>
      </c>
      <c r="BS9" s="66">
        <f t="shared" si="22"/>
        <v>8.4186826927529934E-2</v>
      </c>
      <c r="BT9" s="66">
        <f t="shared" si="23"/>
        <v>8.5219124957360629E-2</v>
      </c>
      <c r="BU9" s="66">
        <f t="shared" si="24"/>
        <v>7.9753289218800844E-2</v>
      </c>
      <c r="BV9" s="66">
        <f t="shared" si="25"/>
        <v>7.5160210537384406E-2</v>
      </c>
      <c r="BW9" s="66">
        <f t="shared" si="26"/>
        <v>7.5317145089064688E-2</v>
      </c>
      <c r="BX9" s="66">
        <f t="shared" si="27"/>
        <v>7.6744339734862999E-2</v>
      </c>
      <c r="BY9" s="66">
        <f t="shared" si="28"/>
        <v>7.9054907113962541E-2</v>
      </c>
      <c r="BZ9" s="66">
        <f t="shared" si="29"/>
        <v>8.2188159332977448E-2</v>
      </c>
      <c r="CB9" s="2" t="s">
        <v>46</v>
      </c>
      <c r="CC9" s="30" t="s">
        <v>63</v>
      </c>
      <c r="CD9" s="66">
        <f t="shared" si="30"/>
        <v>0.10875741833526673</v>
      </c>
      <c r="CE9" s="66">
        <f t="shared" si="31"/>
        <v>0.11466976258693962</v>
      </c>
      <c r="CF9" s="66">
        <f t="shared" si="32"/>
        <v>0.11776489876464462</v>
      </c>
      <c r="CG9" s="66">
        <f t="shared" si="33"/>
        <v>0.11818795614570941</v>
      </c>
      <c r="CH9" s="66">
        <f t="shared" si="34"/>
        <v>0.1121557243790072</v>
      </c>
      <c r="CI9" s="66">
        <f t="shared" si="35"/>
        <v>0.10739072914014799</v>
      </c>
      <c r="CJ9" s="66">
        <f t="shared" si="36"/>
        <v>0.10884835089699914</v>
      </c>
      <c r="CK9" s="66">
        <f t="shared" si="37"/>
        <v>0.10972655290360375</v>
      </c>
      <c r="CL9" s="66">
        <f t="shared" si="38"/>
        <v>0.11200467264132002</v>
      </c>
      <c r="CM9" s="66">
        <f t="shared" si="39"/>
        <v>0.11618304975115439</v>
      </c>
      <c r="CO9" s="2" t="s">
        <v>46</v>
      </c>
      <c r="CP9" s="30" t="s">
        <v>63</v>
      </c>
      <c r="CQ9" s="67">
        <f t="shared" si="58"/>
        <v>47264</v>
      </c>
      <c r="CR9" s="67">
        <f t="shared" si="59"/>
        <v>4200</v>
      </c>
      <c r="CS9" s="66">
        <f t="shared" si="60"/>
        <v>8.8862559241706163E-2</v>
      </c>
      <c r="CT9" s="66">
        <f t="shared" si="61"/>
        <v>2.8784363818374681E-2</v>
      </c>
    </row>
    <row r="10" spans="2:98">
      <c r="B10" s="2" t="s">
        <v>143</v>
      </c>
      <c r="C10" s="30" t="s">
        <v>93</v>
      </c>
      <c r="D10" s="67">
        <f>SUMIFS(Ships!$P:$P,Ships!$H:$H,'Ship Table'!$B10,Ships!$I:$I,"&lt;2017")</f>
        <v>21922</v>
      </c>
      <c r="E10" s="67">
        <f>SUMIFS(Ships!$P:$P,Ships!$H:$H,'Ship Table'!$B10,Ships!$I:$I,"&lt;2018")</f>
        <v>25172</v>
      </c>
      <c r="F10" s="67">
        <f>SUMIFS(Ships!$P:$P,Ships!$H:$H,'Ship Table'!$B10,Ships!$I:$I,"&lt;2019")</f>
        <v>30372</v>
      </c>
      <c r="G10" s="67">
        <f>SUMIFS(Ships!$P:$P,Ships!$H:$H,'Ship Table'!$B10,Ships!$I:$I,"&lt;2020")</f>
        <v>30372</v>
      </c>
      <c r="H10" s="67">
        <f>SUMIFS(Ships!$P:$P,Ships!$H:$H,'Ship Table'!$B10,Ships!$I:$I,"&lt;2021")</f>
        <v>30372</v>
      </c>
      <c r="I10" s="67">
        <f>SUMIFS(Ships!$P:$P,Ships!$H:$H,'Ship Table'!$B10,Ships!$I:$I,"&lt;2022")</f>
        <v>35772</v>
      </c>
      <c r="J10" s="67">
        <f>SUMIFS(Ships!$P:$P,Ships!$H:$H,'Ship Table'!$B10,Ships!$I:$I,"&lt;2023")</f>
        <v>35772</v>
      </c>
      <c r="K10" s="67">
        <f>SUMIFS(Ships!$P:$P,Ships!$H:$H,'Ship Table'!$B10,Ships!$I:$I,"&lt;2024")</f>
        <v>41172</v>
      </c>
      <c r="L10" s="67">
        <f>SUMIFS(Ships!$P:$P,Ships!$H:$H,'Ship Table'!$B10,Ships!$I:$I,"&lt;2025")</f>
        <v>41172</v>
      </c>
      <c r="M10" s="67">
        <f>SUMIFS(Ships!$P:$P,Ships!$H:$H,'Ship Table'!$B10,Ships!$I:$I,"&lt;2026")</f>
        <v>41172</v>
      </c>
      <c r="O10" s="2" t="s">
        <v>143</v>
      </c>
      <c r="P10" s="30" t="s">
        <v>93</v>
      </c>
      <c r="Q10" s="67"/>
      <c r="R10" s="67">
        <f t="shared" si="40"/>
        <v>3250</v>
      </c>
      <c r="S10" s="67">
        <f t="shared" si="41"/>
        <v>5200</v>
      </c>
      <c r="T10" s="67">
        <f t="shared" si="42"/>
        <v>0</v>
      </c>
      <c r="U10" s="67">
        <f t="shared" si="43"/>
        <v>0</v>
      </c>
      <c r="V10" s="67">
        <f t="shared" si="44"/>
        <v>5400</v>
      </c>
      <c r="W10" s="67">
        <f t="shared" si="45"/>
        <v>0</v>
      </c>
      <c r="X10" s="67">
        <f t="shared" si="46"/>
        <v>5400</v>
      </c>
      <c r="Y10" s="67">
        <f t="shared" si="47"/>
        <v>0</v>
      </c>
      <c r="Z10" s="67">
        <f t="shared" si="48"/>
        <v>0</v>
      </c>
      <c r="AB10" s="2" t="s">
        <v>143</v>
      </c>
      <c r="AC10" s="30" t="s">
        <v>93</v>
      </c>
      <c r="AD10" s="66"/>
      <c r="AE10" s="66">
        <f t="shared" si="49"/>
        <v>0.14825289663351884</v>
      </c>
      <c r="AF10" s="66">
        <f t="shared" si="50"/>
        <v>0.20657873828062928</v>
      </c>
      <c r="AG10" s="66">
        <f t="shared" si="51"/>
        <v>0</v>
      </c>
      <c r="AH10" s="66">
        <f t="shared" si="52"/>
        <v>0</v>
      </c>
      <c r="AI10" s="66">
        <f t="shared" si="53"/>
        <v>0.17779533781114185</v>
      </c>
      <c r="AJ10" s="66">
        <f t="shared" si="54"/>
        <v>0</v>
      </c>
      <c r="AK10" s="66">
        <f t="shared" si="55"/>
        <v>0.1509560550150956</v>
      </c>
      <c r="AL10" s="66">
        <f t="shared" si="56"/>
        <v>0</v>
      </c>
      <c r="AM10" s="66">
        <f t="shared" si="57"/>
        <v>0</v>
      </c>
      <c r="AO10" s="2" t="s">
        <v>143</v>
      </c>
      <c r="AP10" s="30" t="s">
        <v>93</v>
      </c>
      <c r="AQ10" s="66"/>
      <c r="AR10" s="66">
        <f t="shared" si="2"/>
        <v>6.506193896589553E-3</v>
      </c>
      <c r="AS10" s="66">
        <f t="shared" si="3"/>
        <v>9.8561009264734878E-3</v>
      </c>
      <c r="AT10" s="66">
        <f t="shared" si="4"/>
        <v>0</v>
      </c>
      <c r="AU10" s="66">
        <f t="shared" si="5"/>
        <v>0</v>
      </c>
      <c r="AV10" s="66">
        <f t="shared" si="6"/>
        <v>8.3683305180616459E-3</v>
      </c>
      <c r="AW10" s="66">
        <f t="shared" si="7"/>
        <v>0</v>
      </c>
      <c r="AX10" s="66">
        <f t="shared" si="8"/>
        <v>7.4266412877245875E-3</v>
      </c>
      <c r="AY10" s="66">
        <f t="shared" si="9"/>
        <v>0</v>
      </c>
      <c r="AZ10" s="66">
        <f t="shared" si="10"/>
        <v>0</v>
      </c>
      <c r="BB10" s="2" t="s">
        <v>143</v>
      </c>
      <c r="BC10" s="30" t="s">
        <v>93</v>
      </c>
      <c r="BD10" s="66"/>
      <c r="BE10" s="66">
        <f t="shared" si="11"/>
        <v>9.1065494303503077E-3</v>
      </c>
      <c r="BF10" s="66">
        <f t="shared" si="12"/>
        <v>1.384643241343317E-2</v>
      </c>
      <c r="BG10" s="66">
        <f t="shared" si="13"/>
        <v>0</v>
      </c>
      <c r="BH10" s="66">
        <f t="shared" si="14"/>
        <v>0</v>
      </c>
      <c r="BI10" s="66">
        <f t="shared" si="15"/>
        <v>1.1768244047229886E-2</v>
      </c>
      <c r="BJ10" s="66">
        <f t="shared" si="16"/>
        <v>0</v>
      </c>
      <c r="BK10" s="66">
        <f t="shared" si="17"/>
        <v>1.0732983252570947E-2</v>
      </c>
      <c r="BL10" s="66">
        <f t="shared" si="18"/>
        <v>0</v>
      </c>
      <c r="BM10" s="66">
        <f t="shared" si="19"/>
        <v>0</v>
      </c>
      <c r="BO10" s="2" t="s">
        <v>143</v>
      </c>
      <c r="BP10" s="30" t="s">
        <v>93</v>
      </c>
      <c r="BQ10" s="66">
        <f t="shared" si="20"/>
        <v>4.3885779261857286E-2</v>
      </c>
      <c r="BR10" s="66">
        <f t="shared" si="21"/>
        <v>4.7711110100228965E-2</v>
      </c>
      <c r="BS10" s="66">
        <f t="shared" si="22"/>
        <v>5.4098728576568618E-2</v>
      </c>
      <c r="BT10" s="66">
        <f t="shared" si="23"/>
        <v>5.0292928322807344E-2</v>
      </c>
      <c r="BU10" s="66">
        <f t="shared" si="24"/>
        <v>4.7067210091586729E-2</v>
      </c>
      <c r="BV10" s="66">
        <f t="shared" si="25"/>
        <v>5.2242947523381683E-2</v>
      </c>
      <c r="BW10" s="66">
        <f t="shared" si="26"/>
        <v>4.9197372619348874E-2</v>
      </c>
      <c r="BX10" s="66">
        <f t="shared" si="27"/>
        <v>5.4417848504474023E-2</v>
      </c>
      <c r="BY10" s="66">
        <f t="shared" si="28"/>
        <v>5.3041663445930275E-2</v>
      </c>
      <c r="BZ10" s="66">
        <f t="shared" si="29"/>
        <v>5.2329749103942655E-2</v>
      </c>
      <c r="CB10" s="2" t="s">
        <v>143</v>
      </c>
      <c r="CC10" s="30" t="s">
        <v>93</v>
      </c>
      <c r="CD10" s="66">
        <f t="shared" si="30"/>
        <v>6.142577741911983E-2</v>
      </c>
      <c r="CE10" s="66">
        <f t="shared" si="31"/>
        <v>6.7027383982873029E-2</v>
      </c>
      <c r="CF10" s="66">
        <f t="shared" si="32"/>
        <v>7.5676106662148496E-2</v>
      </c>
      <c r="CG10" s="66">
        <f t="shared" si="33"/>
        <v>6.9749817426890376E-2</v>
      </c>
      <c r="CH10" s="66">
        <f t="shared" si="34"/>
        <v>6.6189834852308532E-2</v>
      </c>
      <c r="CI10" s="66">
        <f t="shared" si="35"/>
        <v>7.4645988706695435E-2</v>
      </c>
      <c r="CJ10" s="66">
        <f t="shared" si="36"/>
        <v>7.1100051279808868E-2</v>
      </c>
      <c r="CK10" s="66">
        <f t="shared" si="37"/>
        <v>7.7804864221327735E-2</v>
      </c>
      <c r="CL10" s="66">
        <f t="shared" si="38"/>
        <v>7.5149214229653025E-2</v>
      </c>
      <c r="CM10" s="66">
        <f t="shared" si="39"/>
        <v>7.3974522521875058E-2</v>
      </c>
      <c r="CO10" s="2" t="s">
        <v>143</v>
      </c>
      <c r="CP10" s="30" t="s">
        <v>93</v>
      </c>
      <c r="CQ10" s="67">
        <f t="shared" si="58"/>
        <v>30372</v>
      </c>
      <c r="CR10" s="67">
        <f t="shared" si="59"/>
        <v>5400</v>
      </c>
      <c r="CS10" s="66">
        <f t="shared" si="60"/>
        <v>0.17779533781114185</v>
      </c>
      <c r="CT10" s="66">
        <f t="shared" si="61"/>
        <v>5.6063283498956729E-2</v>
      </c>
    </row>
    <row r="11" spans="2:98">
      <c r="B11" s="2" t="s">
        <v>151</v>
      </c>
      <c r="C11" s="30" t="s">
        <v>93</v>
      </c>
      <c r="D11" s="67">
        <f>SUMIFS(Ships!$P:$P,Ships!$H:$H,'Ship Table'!$B11,Ships!$I:$I,"&lt;2017")</f>
        <v>18243</v>
      </c>
      <c r="E11" s="67">
        <f>SUMIFS(Ships!$P:$P,Ships!$H:$H,'Ship Table'!$B11,Ships!$I:$I,"&lt;2018")</f>
        <v>18243</v>
      </c>
      <c r="F11" s="67">
        <f>SUMIFS(Ships!$P:$P,Ships!$H:$H,'Ship Table'!$B11,Ships!$I:$I,"&lt;2019")</f>
        <v>18243</v>
      </c>
      <c r="G11" s="67">
        <f>SUMIFS(Ships!$P:$P,Ships!$H:$H,'Ship Table'!$B11,Ships!$I:$I,"&lt;2020")</f>
        <v>18243</v>
      </c>
      <c r="H11" s="67">
        <f>SUMIFS(Ships!$P:$P,Ships!$H:$H,'Ship Table'!$B11,Ships!$I:$I,"&lt;2021")</f>
        <v>23443</v>
      </c>
      <c r="I11" s="67">
        <f>SUMIFS(Ships!$P:$P,Ships!$H:$H,'Ship Table'!$B11,Ships!$I:$I,"&lt;2022")</f>
        <v>23443</v>
      </c>
      <c r="J11" s="67">
        <f>SUMIFS(Ships!$P:$P,Ships!$H:$H,'Ship Table'!$B11,Ships!$I:$I,"&lt;2023")</f>
        <v>28643</v>
      </c>
      <c r="K11" s="67">
        <f>SUMIFS(Ships!$P:$P,Ships!$H:$H,'Ship Table'!$B11,Ships!$I:$I,"&lt;2024")</f>
        <v>28643</v>
      </c>
      <c r="L11" s="67">
        <f>SUMIFS(Ships!$P:$P,Ships!$H:$H,'Ship Table'!$B11,Ships!$I:$I,"&lt;2025")</f>
        <v>28643</v>
      </c>
      <c r="M11" s="67">
        <f>SUMIFS(Ships!$P:$P,Ships!$H:$H,'Ship Table'!$B11,Ships!$I:$I,"&lt;2026")</f>
        <v>28643</v>
      </c>
      <c r="O11" s="2" t="s">
        <v>151</v>
      </c>
      <c r="P11" s="30" t="s">
        <v>93</v>
      </c>
      <c r="Q11" s="67"/>
      <c r="R11" s="67">
        <f t="shared" si="40"/>
        <v>0</v>
      </c>
      <c r="S11" s="67">
        <f t="shared" si="41"/>
        <v>0</v>
      </c>
      <c r="T11" s="67">
        <f t="shared" si="42"/>
        <v>0</v>
      </c>
      <c r="U11" s="67">
        <f t="shared" si="43"/>
        <v>5200</v>
      </c>
      <c r="V11" s="67">
        <f t="shared" si="44"/>
        <v>0</v>
      </c>
      <c r="W11" s="67">
        <f t="shared" si="45"/>
        <v>5200</v>
      </c>
      <c r="X11" s="67">
        <f t="shared" si="46"/>
        <v>0</v>
      </c>
      <c r="Y11" s="67">
        <f t="shared" si="47"/>
        <v>0</v>
      </c>
      <c r="Z11" s="67">
        <f t="shared" si="48"/>
        <v>0</v>
      </c>
      <c r="AB11" s="2" t="s">
        <v>151</v>
      </c>
      <c r="AC11" s="30" t="s">
        <v>93</v>
      </c>
      <c r="AD11" s="66"/>
      <c r="AE11" s="66">
        <f t="shared" si="49"/>
        <v>0</v>
      </c>
      <c r="AF11" s="66">
        <f t="shared" si="50"/>
        <v>0</v>
      </c>
      <c r="AG11" s="66">
        <f t="shared" si="51"/>
        <v>0</v>
      </c>
      <c r="AH11" s="66">
        <f t="shared" si="52"/>
        <v>0.28504083758153814</v>
      </c>
      <c r="AI11" s="66">
        <f t="shared" si="53"/>
        <v>0</v>
      </c>
      <c r="AJ11" s="66">
        <f t="shared" si="54"/>
        <v>0.22181461417054132</v>
      </c>
      <c r="AK11" s="66">
        <f t="shared" si="55"/>
        <v>0</v>
      </c>
      <c r="AL11" s="66">
        <f t="shared" si="56"/>
        <v>0</v>
      </c>
      <c r="AM11" s="66">
        <f t="shared" si="57"/>
        <v>0</v>
      </c>
      <c r="AO11" s="2" t="s">
        <v>151</v>
      </c>
      <c r="AP11" s="30" t="s">
        <v>93</v>
      </c>
      <c r="AQ11" s="66"/>
      <c r="AR11" s="66">
        <f t="shared" si="2"/>
        <v>0</v>
      </c>
      <c r="AS11" s="66">
        <f t="shared" si="3"/>
        <v>0</v>
      </c>
      <c r="AT11" s="66">
        <f t="shared" si="4"/>
        <v>0</v>
      </c>
      <c r="AU11" s="66">
        <f t="shared" si="5"/>
        <v>8.6106686184182196E-3</v>
      </c>
      <c r="AV11" s="66">
        <f t="shared" si="6"/>
        <v>0</v>
      </c>
      <c r="AW11" s="66">
        <f t="shared" si="7"/>
        <v>7.5943007693610853E-3</v>
      </c>
      <c r="AX11" s="66">
        <f t="shared" si="8"/>
        <v>0</v>
      </c>
      <c r="AY11" s="66">
        <f t="shared" si="9"/>
        <v>0</v>
      </c>
      <c r="AZ11" s="66">
        <f t="shared" si="10"/>
        <v>0</v>
      </c>
      <c r="BB11" s="2" t="s">
        <v>151</v>
      </c>
      <c r="BC11" s="30" t="s">
        <v>93</v>
      </c>
      <c r="BD11" s="66"/>
      <c r="BE11" s="66">
        <f t="shared" si="11"/>
        <v>0</v>
      </c>
      <c r="BF11" s="66">
        <f t="shared" si="12"/>
        <v>0</v>
      </c>
      <c r="BG11" s="66">
        <f t="shared" si="13"/>
        <v>0</v>
      </c>
      <c r="BH11" s="66">
        <f t="shared" si="14"/>
        <v>1.1941888931246871E-2</v>
      </c>
      <c r="BI11" s="66">
        <f t="shared" si="15"/>
        <v>0</v>
      </c>
      <c r="BJ11" s="66">
        <f t="shared" si="16"/>
        <v>1.0850920867572857E-2</v>
      </c>
      <c r="BK11" s="66">
        <f t="shared" si="17"/>
        <v>0</v>
      </c>
      <c r="BL11" s="66">
        <f t="shared" si="18"/>
        <v>0</v>
      </c>
      <c r="BM11" s="66">
        <f t="shared" si="19"/>
        <v>0</v>
      </c>
      <c r="BO11" s="2" t="s">
        <v>151</v>
      </c>
      <c r="BP11" s="30" t="s">
        <v>93</v>
      </c>
      <c r="BQ11" s="66">
        <f t="shared" si="20"/>
        <v>3.6520767770917915E-2</v>
      </c>
      <c r="BR11" s="66">
        <f t="shared" si="21"/>
        <v>3.4577855615703042E-2</v>
      </c>
      <c r="BS11" s="66">
        <f t="shared" si="22"/>
        <v>3.2494504985590061E-2</v>
      </c>
      <c r="BT11" s="66">
        <f t="shared" si="23"/>
        <v>3.0208543770346843E-2</v>
      </c>
      <c r="BU11" s="66">
        <f t="shared" si="24"/>
        <v>3.6329402284244292E-2</v>
      </c>
      <c r="BV11" s="66">
        <f t="shared" si="25"/>
        <v>3.4237152487717679E-2</v>
      </c>
      <c r="BW11" s="66">
        <f t="shared" si="26"/>
        <v>3.939283081561025E-2</v>
      </c>
      <c r="BX11" s="66">
        <f t="shared" si="27"/>
        <v>3.785802085673879E-2</v>
      </c>
      <c r="BY11" s="66">
        <f t="shared" si="28"/>
        <v>3.6900620957975833E-2</v>
      </c>
      <c r="BZ11" s="66">
        <f t="shared" si="29"/>
        <v>3.6405348382012759E-2</v>
      </c>
      <c r="CB11" s="2" t="s">
        <v>151</v>
      </c>
      <c r="CC11" s="30" t="s">
        <v>93</v>
      </c>
      <c r="CD11" s="66">
        <f t="shared" si="30"/>
        <v>5.1117163463963285E-2</v>
      </c>
      <c r="CE11" s="66">
        <f t="shared" si="31"/>
        <v>4.857701279197333E-2</v>
      </c>
      <c r="CF11" s="66">
        <f t="shared" si="32"/>
        <v>4.5454998480099269E-2</v>
      </c>
      <c r="CG11" s="66">
        <f t="shared" si="33"/>
        <v>4.1895361494757054E-2</v>
      </c>
      <c r="CH11" s="66">
        <f t="shared" si="34"/>
        <v>5.1089434296150038E-2</v>
      </c>
      <c r="CI11" s="66">
        <f t="shared" si="35"/>
        <v>4.8918872672790478E-2</v>
      </c>
      <c r="CJ11" s="66">
        <f t="shared" si="36"/>
        <v>5.6930525796924009E-2</v>
      </c>
      <c r="CK11" s="66">
        <f t="shared" si="37"/>
        <v>5.412816297220175E-2</v>
      </c>
      <c r="CL11" s="66">
        <f t="shared" si="38"/>
        <v>5.2280650519283774E-2</v>
      </c>
      <c r="CM11" s="66">
        <f t="shared" si="39"/>
        <v>5.146342778087213E-2</v>
      </c>
      <c r="CO11" s="2" t="s">
        <v>151</v>
      </c>
      <c r="CP11" s="30" t="s">
        <v>93</v>
      </c>
      <c r="CQ11" s="67">
        <f t="shared" si="58"/>
        <v>18243</v>
      </c>
      <c r="CR11" s="67">
        <f t="shared" si="59"/>
        <v>5200</v>
      </c>
      <c r="CS11" s="66">
        <f t="shared" si="60"/>
        <v>0.28504083758153814</v>
      </c>
      <c r="CT11" s="66">
        <f t="shared" si="61"/>
        <v>8.7190485772109749E-2</v>
      </c>
    </row>
    <row r="12" spans="2:98">
      <c r="B12" s="2" t="s">
        <v>199</v>
      </c>
      <c r="C12" s="30" t="s">
        <v>45</v>
      </c>
      <c r="D12" s="67">
        <f>SUMIFS(Ships!$P:$P,Ships!$H:$H,'Ship Table'!$B12,Ships!$I:$I,"&lt;2017")</f>
        <v>9458</v>
      </c>
      <c r="E12" s="67">
        <f>SUMIFS(Ships!$P:$P,Ships!$H:$H,'Ship Table'!$B12,Ships!$I:$I,"&lt;2018")</f>
        <v>11992</v>
      </c>
      <c r="F12" s="67">
        <f>SUMIFS(Ships!$P:$P,Ships!$H:$H,'Ship Table'!$B12,Ships!$I:$I,"&lt;2019")</f>
        <v>14892</v>
      </c>
      <c r="G12" s="67">
        <f>SUMIFS(Ships!$P:$P,Ships!$H:$H,'Ship Table'!$B12,Ships!$I:$I,"&lt;2020")</f>
        <v>17792</v>
      </c>
      <c r="H12" s="67">
        <f>SUMIFS(Ships!$P:$P,Ships!$H:$H,'Ship Table'!$B12,Ships!$I:$I,"&lt;2021")</f>
        <v>17792</v>
      </c>
      <c r="I12" s="67">
        <f>SUMIFS(Ships!$P:$P,Ships!$H:$H,'Ship Table'!$B12,Ships!$I:$I,"&lt;2022")</f>
        <v>17792</v>
      </c>
      <c r="J12" s="67">
        <f>SUMIFS(Ships!$P:$P,Ships!$H:$H,'Ship Table'!$B12,Ships!$I:$I,"&lt;2023")</f>
        <v>17792</v>
      </c>
      <c r="K12" s="67">
        <f>SUMIFS(Ships!$P:$P,Ships!$H:$H,'Ship Table'!$B12,Ships!$I:$I,"&lt;2024")</f>
        <v>20692</v>
      </c>
      <c r="L12" s="67">
        <f>SUMIFS(Ships!$P:$P,Ships!$H:$H,'Ship Table'!$B12,Ships!$I:$I,"&lt;2025")</f>
        <v>20692</v>
      </c>
      <c r="M12" s="67">
        <f>SUMIFS(Ships!$P:$P,Ships!$H:$H,'Ship Table'!$B12,Ships!$I:$I,"&lt;2026")</f>
        <v>20692</v>
      </c>
      <c r="O12" s="2" t="s">
        <v>199</v>
      </c>
      <c r="P12" s="30" t="s">
        <v>45</v>
      </c>
      <c r="Q12" s="67"/>
      <c r="R12" s="67">
        <f t="shared" si="40"/>
        <v>2534</v>
      </c>
      <c r="S12" s="67">
        <f t="shared" si="41"/>
        <v>2900</v>
      </c>
      <c r="T12" s="67">
        <f t="shared" si="42"/>
        <v>2900</v>
      </c>
      <c r="U12" s="67">
        <f t="shared" si="43"/>
        <v>0</v>
      </c>
      <c r="V12" s="67">
        <f t="shared" si="44"/>
        <v>0</v>
      </c>
      <c r="W12" s="67">
        <f t="shared" si="45"/>
        <v>0</v>
      </c>
      <c r="X12" s="67">
        <f t="shared" si="46"/>
        <v>2900</v>
      </c>
      <c r="Y12" s="67">
        <f t="shared" si="47"/>
        <v>0</v>
      </c>
      <c r="Z12" s="67">
        <f t="shared" si="48"/>
        <v>0</v>
      </c>
      <c r="AB12" s="2" t="s">
        <v>199</v>
      </c>
      <c r="AC12" s="30" t="s">
        <v>45</v>
      </c>
      <c r="AD12" s="66"/>
      <c r="AE12" s="66">
        <f t="shared" si="49"/>
        <v>0.26792133643476423</v>
      </c>
      <c r="AF12" s="66">
        <f t="shared" si="50"/>
        <v>0.2418278852568379</v>
      </c>
      <c r="AG12" s="66">
        <f t="shared" si="51"/>
        <v>0.19473542841794253</v>
      </c>
      <c r="AH12" s="66">
        <f t="shared" si="52"/>
        <v>0</v>
      </c>
      <c r="AI12" s="66">
        <f t="shared" si="53"/>
        <v>0</v>
      </c>
      <c r="AJ12" s="66">
        <f t="shared" si="54"/>
        <v>0</v>
      </c>
      <c r="AK12" s="66">
        <f t="shared" si="55"/>
        <v>0.16299460431654678</v>
      </c>
      <c r="AL12" s="66">
        <f t="shared" si="56"/>
        <v>0</v>
      </c>
      <c r="AM12" s="66">
        <f t="shared" si="57"/>
        <v>0</v>
      </c>
      <c r="AO12" s="2" t="s">
        <v>199</v>
      </c>
      <c r="AP12" s="30" t="s">
        <v>45</v>
      </c>
      <c r="AQ12" s="66"/>
      <c r="AR12" s="66">
        <f t="shared" si="2"/>
        <v>5.0728293335255163E-3</v>
      </c>
      <c r="AS12" s="66">
        <f t="shared" si="3"/>
        <v>5.4966716705332911E-3</v>
      </c>
      <c r="AT12" s="66">
        <f t="shared" si="4"/>
        <v>5.1654916657463777E-3</v>
      </c>
      <c r="AU12" s="66">
        <f t="shared" si="5"/>
        <v>0</v>
      </c>
      <c r="AV12" s="66">
        <f t="shared" si="6"/>
        <v>0</v>
      </c>
      <c r="AW12" s="66">
        <f t="shared" si="7"/>
        <v>0</v>
      </c>
      <c r="AX12" s="66">
        <f t="shared" si="8"/>
        <v>3.9883814322965372E-3</v>
      </c>
      <c r="AY12" s="66">
        <f t="shared" si="9"/>
        <v>0</v>
      </c>
      <c r="AZ12" s="66">
        <f t="shared" si="10"/>
        <v>0</v>
      </c>
      <c r="BB12" s="2" t="s">
        <v>199</v>
      </c>
      <c r="BC12" s="30" t="s">
        <v>45</v>
      </c>
      <c r="BD12" s="66"/>
      <c r="BE12" s="66">
        <f t="shared" si="11"/>
        <v>7.1003065404639017E-3</v>
      </c>
      <c r="BF12" s="66">
        <f t="shared" si="12"/>
        <v>7.7220488459531136E-3</v>
      </c>
      <c r="BG12" s="66">
        <f t="shared" si="13"/>
        <v>7.2257575833080019E-3</v>
      </c>
      <c r="BH12" s="66">
        <f t="shared" si="14"/>
        <v>0</v>
      </c>
      <c r="BI12" s="66">
        <f t="shared" si="15"/>
        <v>0</v>
      </c>
      <c r="BJ12" s="66">
        <f t="shared" si="16"/>
        <v>0</v>
      </c>
      <c r="BK12" s="66">
        <f t="shared" si="17"/>
        <v>5.7640095245288419E-3</v>
      </c>
      <c r="BL12" s="66">
        <f t="shared" si="18"/>
        <v>0</v>
      </c>
      <c r="BM12" s="66">
        <f t="shared" si="19"/>
        <v>0</v>
      </c>
      <c r="BO12" s="2" t="s">
        <v>199</v>
      </c>
      <c r="BP12" s="30" t="s">
        <v>45</v>
      </c>
      <c r="BQ12" s="66">
        <f t="shared" si="20"/>
        <v>1.8934025191982767E-2</v>
      </c>
      <c r="BR12" s="66">
        <f t="shared" si="21"/>
        <v>2.2729685059667319E-2</v>
      </c>
      <c r="BS12" s="66">
        <f t="shared" si="22"/>
        <v>2.6525690305618986E-2</v>
      </c>
      <c r="BT12" s="66">
        <f t="shared" si="23"/>
        <v>2.9461733857480188E-2</v>
      </c>
      <c r="BU12" s="66">
        <f t="shared" si="24"/>
        <v>2.7572099366176449E-2</v>
      </c>
      <c r="BV12" s="66">
        <f t="shared" si="25"/>
        <v>2.5984192170860083E-2</v>
      </c>
      <c r="BW12" s="66">
        <f t="shared" si="26"/>
        <v>2.4469407739110344E-2</v>
      </c>
      <c r="BX12" s="66">
        <f t="shared" si="27"/>
        <v>2.7349026553351221E-2</v>
      </c>
      <c r="BY12" s="66">
        <f t="shared" si="28"/>
        <v>2.6657390945865864E-2</v>
      </c>
      <c r="BZ12" s="66">
        <f t="shared" si="29"/>
        <v>2.6299600904954371E-2</v>
      </c>
      <c r="CB12" s="2" t="s">
        <v>199</v>
      </c>
      <c r="CC12" s="30" t="s">
        <v>45</v>
      </c>
      <c r="CD12" s="66">
        <f t="shared" si="30"/>
        <v>2.6501459849924067E-2</v>
      </c>
      <c r="CE12" s="66">
        <f t="shared" si="31"/>
        <v>3.1932003365748189E-2</v>
      </c>
      <c r="CF12" s="66">
        <f t="shared" si="32"/>
        <v>3.7105511010559575E-2</v>
      </c>
      <c r="CG12" s="66">
        <f t="shared" si="33"/>
        <v>4.0859632281681602E-2</v>
      </c>
      <c r="CH12" s="66">
        <f t="shared" si="34"/>
        <v>3.8774184831169282E-2</v>
      </c>
      <c r="CI12" s="66">
        <f t="shared" si="35"/>
        <v>3.7126843091510826E-2</v>
      </c>
      <c r="CJ12" s="66">
        <f t="shared" si="36"/>
        <v>3.5363192227730052E-2</v>
      </c>
      <c r="CK12" s="66">
        <f t="shared" si="37"/>
        <v>3.9102745809475217E-2</v>
      </c>
      <c r="CL12" s="66">
        <f t="shared" si="38"/>
        <v>3.7768083669483636E-2</v>
      </c>
      <c r="CM12" s="66">
        <f t="shared" si="39"/>
        <v>3.7177713495157839E-2</v>
      </c>
      <c r="CO12" s="2" t="s">
        <v>199</v>
      </c>
      <c r="CP12" s="30" t="s">
        <v>45</v>
      </c>
      <c r="CQ12" s="67">
        <f t="shared" si="58"/>
        <v>14892</v>
      </c>
      <c r="CR12" s="67">
        <f t="shared" si="59"/>
        <v>2900</v>
      </c>
      <c r="CS12" s="66">
        <f t="shared" si="60"/>
        <v>0.19473542841794253</v>
      </c>
      <c r="CT12" s="66">
        <f t="shared" si="61"/>
        <v>6.1102279374517954E-2</v>
      </c>
    </row>
    <row r="13" spans="2:98">
      <c r="B13" s="2" t="s">
        <v>194</v>
      </c>
      <c r="C13" s="30" t="s">
        <v>253</v>
      </c>
      <c r="D13" s="67">
        <f>SUMIFS(Ships!$P:$P,Ships!$H:$H,'Ship Table'!$B13,Ships!$I:$I,"&lt;2017")</f>
        <v>8506</v>
      </c>
      <c r="E13" s="67">
        <f>SUMIFS(Ships!$P:$P,Ships!$H:$H,'Ship Table'!$B13,Ships!$I:$I,"&lt;2018")</f>
        <v>8506</v>
      </c>
      <c r="F13" s="67">
        <f>SUMIFS(Ships!$P:$P,Ships!$H:$H,'Ship Table'!$B13,Ships!$I:$I,"&lt;2019")</f>
        <v>8506</v>
      </c>
      <c r="G13" s="67">
        <f>SUMIFS(Ships!$P:$P,Ships!$H:$H,'Ship Table'!$B13,Ships!$I:$I,"&lt;2020")</f>
        <v>8506</v>
      </c>
      <c r="H13" s="67">
        <f>SUMIFS(Ships!$P:$P,Ships!$H:$H,'Ship Table'!$B13,Ships!$I:$I,"&lt;2021")</f>
        <v>8506</v>
      </c>
      <c r="I13" s="67">
        <f>SUMIFS(Ships!$P:$P,Ships!$H:$H,'Ship Table'!$B13,Ships!$I:$I,"&lt;2022")</f>
        <v>8506</v>
      </c>
      <c r="J13" s="67">
        <f>SUMIFS(Ships!$P:$P,Ships!$H:$H,'Ship Table'!$B13,Ships!$I:$I,"&lt;2023")</f>
        <v>8506</v>
      </c>
      <c r="K13" s="67">
        <f>SUMIFS(Ships!$P:$P,Ships!$H:$H,'Ship Table'!$B13,Ships!$I:$I,"&lt;2024")</f>
        <v>8506</v>
      </c>
      <c r="L13" s="67">
        <f>SUMIFS(Ships!$P:$P,Ships!$H:$H,'Ship Table'!$B13,Ships!$I:$I,"&lt;2025")</f>
        <v>8506</v>
      </c>
      <c r="M13" s="67">
        <f>SUMIFS(Ships!$P:$P,Ships!$H:$H,'Ship Table'!$B13,Ships!$I:$I,"&lt;2026")</f>
        <v>8506</v>
      </c>
      <c r="O13" s="2" t="s">
        <v>194</v>
      </c>
      <c r="P13" s="30" t="s">
        <v>253</v>
      </c>
      <c r="Q13" s="67"/>
      <c r="R13" s="67">
        <f t="shared" si="40"/>
        <v>0</v>
      </c>
      <c r="S13" s="67">
        <f t="shared" si="41"/>
        <v>0</v>
      </c>
      <c r="T13" s="67">
        <f t="shared" si="42"/>
        <v>0</v>
      </c>
      <c r="U13" s="67">
        <f t="shared" si="43"/>
        <v>0</v>
      </c>
      <c r="V13" s="67">
        <f t="shared" si="44"/>
        <v>0</v>
      </c>
      <c r="W13" s="67">
        <f t="shared" si="45"/>
        <v>0</v>
      </c>
      <c r="X13" s="67">
        <f t="shared" si="46"/>
        <v>0</v>
      </c>
      <c r="Y13" s="67">
        <f t="shared" si="47"/>
        <v>0</v>
      </c>
      <c r="Z13" s="67">
        <f t="shared" si="48"/>
        <v>0</v>
      </c>
      <c r="AB13" s="2" t="s">
        <v>194</v>
      </c>
      <c r="AC13" s="30" t="s">
        <v>253</v>
      </c>
      <c r="AD13" s="66"/>
      <c r="AE13" s="66">
        <f t="shared" si="49"/>
        <v>0</v>
      </c>
      <c r="AF13" s="66">
        <f t="shared" si="50"/>
        <v>0</v>
      </c>
      <c r="AG13" s="66">
        <f t="shared" si="51"/>
        <v>0</v>
      </c>
      <c r="AH13" s="66">
        <f t="shared" si="52"/>
        <v>0</v>
      </c>
      <c r="AI13" s="66">
        <f t="shared" si="53"/>
        <v>0</v>
      </c>
      <c r="AJ13" s="66">
        <f t="shared" si="54"/>
        <v>0</v>
      </c>
      <c r="AK13" s="66">
        <f t="shared" si="55"/>
        <v>0</v>
      </c>
      <c r="AL13" s="66">
        <f t="shared" si="56"/>
        <v>0</v>
      </c>
      <c r="AM13" s="66">
        <f t="shared" si="57"/>
        <v>0</v>
      </c>
      <c r="AO13" s="2" t="s">
        <v>194</v>
      </c>
      <c r="AP13" s="30" t="s">
        <v>253</v>
      </c>
      <c r="AQ13" s="66"/>
      <c r="AR13" s="66">
        <f t="shared" si="2"/>
        <v>0</v>
      </c>
      <c r="AS13" s="66">
        <f t="shared" si="3"/>
        <v>0</v>
      </c>
      <c r="AT13" s="66">
        <f t="shared" si="4"/>
        <v>0</v>
      </c>
      <c r="AU13" s="66">
        <f t="shared" si="5"/>
        <v>0</v>
      </c>
      <c r="AV13" s="66">
        <f t="shared" si="6"/>
        <v>0</v>
      </c>
      <c r="AW13" s="66">
        <f t="shared" si="7"/>
        <v>0</v>
      </c>
      <c r="AX13" s="66">
        <f t="shared" si="8"/>
        <v>0</v>
      </c>
      <c r="AY13" s="66">
        <f t="shared" si="9"/>
        <v>0</v>
      </c>
      <c r="AZ13" s="66">
        <f t="shared" si="10"/>
        <v>0</v>
      </c>
      <c r="BB13" s="2" t="s">
        <v>194</v>
      </c>
      <c r="BC13" s="30" t="s">
        <v>253</v>
      </c>
      <c r="BD13" s="66"/>
      <c r="BE13" s="66">
        <f t="shared" si="11"/>
        <v>0</v>
      </c>
      <c r="BF13" s="66">
        <f t="shared" si="12"/>
        <v>0</v>
      </c>
      <c r="BG13" s="66">
        <f t="shared" si="13"/>
        <v>0</v>
      </c>
      <c r="BH13" s="66">
        <f t="shared" si="14"/>
        <v>0</v>
      </c>
      <c r="BI13" s="66">
        <f t="shared" si="15"/>
        <v>0</v>
      </c>
      <c r="BJ13" s="66">
        <f t="shared" si="16"/>
        <v>0</v>
      </c>
      <c r="BK13" s="66">
        <f t="shared" si="17"/>
        <v>0</v>
      </c>
      <c r="BL13" s="66">
        <f t="shared" si="18"/>
        <v>0</v>
      </c>
      <c r="BM13" s="66">
        <f t="shared" si="19"/>
        <v>0</v>
      </c>
      <c r="BO13" s="2" t="s">
        <v>194</v>
      </c>
      <c r="BP13" s="30" t="s">
        <v>253</v>
      </c>
      <c r="BQ13" s="66">
        <f t="shared" si="20"/>
        <v>1.7028210856735611E-2</v>
      </c>
      <c r="BR13" s="66">
        <f t="shared" si="21"/>
        <v>1.612230663088144E-2</v>
      </c>
      <c r="BS13" s="66">
        <f t="shared" si="22"/>
        <v>1.5150921416840928E-2</v>
      </c>
      <c r="BT13" s="66">
        <f t="shared" si="23"/>
        <v>1.4085066782358727E-2</v>
      </c>
      <c r="BU13" s="66">
        <f t="shared" si="24"/>
        <v>1.3181670256783771E-2</v>
      </c>
      <c r="BV13" s="66">
        <f t="shared" si="25"/>
        <v>1.242252352772796E-2</v>
      </c>
      <c r="BW13" s="66">
        <f t="shared" si="26"/>
        <v>1.1698335332108395E-2</v>
      </c>
      <c r="BX13" s="66">
        <f t="shared" si="27"/>
        <v>1.1242548804504421E-2</v>
      </c>
      <c r="BY13" s="66">
        <f t="shared" si="28"/>
        <v>1.095823349050527E-2</v>
      </c>
      <c r="BZ13" s="66">
        <f t="shared" si="29"/>
        <v>1.0811154325224332E-2</v>
      </c>
      <c r="CB13" s="2" t="s">
        <v>194</v>
      </c>
      <c r="CC13" s="30" t="s">
        <v>253</v>
      </c>
      <c r="CD13" s="66">
        <f t="shared" si="30"/>
        <v>2.3833941370633761E-2</v>
      </c>
      <c r="CE13" s="66">
        <f t="shared" si="31"/>
        <v>2.2649568097819719E-2</v>
      </c>
      <c r="CF13" s="66">
        <f t="shared" si="32"/>
        <v>2.1193894484006159E-2</v>
      </c>
      <c r="CG13" s="66">
        <f t="shared" si="33"/>
        <v>1.9534174470997284E-2</v>
      </c>
      <c r="CH13" s="66">
        <f t="shared" si="34"/>
        <v>1.8537163678840261E-2</v>
      </c>
      <c r="CI13" s="66">
        <f t="shared" si="35"/>
        <v>1.7749602480687448E-2</v>
      </c>
      <c r="CJ13" s="66">
        <f t="shared" si="36"/>
        <v>1.690643621229046E-2</v>
      </c>
      <c r="CK13" s="66">
        <f t="shared" si="37"/>
        <v>1.6074229453672734E-2</v>
      </c>
      <c r="CL13" s="66">
        <f t="shared" si="38"/>
        <v>1.55255808859766E-2</v>
      </c>
      <c r="CM13" s="66">
        <f t="shared" si="39"/>
        <v>1.5282893436584797E-2</v>
      </c>
      <c r="CO13" s="2" t="s">
        <v>194</v>
      </c>
      <c r="CP13" s="30" t="s">
        <v>253</v>
      </c>
      <c r="CQ13" s="67">
        <f t="shared" si="58"/>
        <v>8506</v>
      </c>
      <c r="CR13" s="67">
        <f t="shared" si="59"/>
        <v>0</v>
      </c>
      <c r="CS13" s="66">
        <f t="shared" si="60"/>
        <v>0</v>
      </c>
      <c r="CT13" s="66">
        <f t="shared" si="61"/>
        <v>0</v>
      </c>
    </row>
    <row r="14" spans="2:98">
      <c r="B14" s="2" t="s">
        <v>37</v>
      </c>
      <c r="C14" s="30" t="s">
        <v>45</v>
      </c>
      <c r="D14" s="67">
        <f>SUMIFS(Ships!$P:$P,Ships!$H:$H,'Ship Table'!$B14,Ships!$I:$I,"&lt;2017")</f>
        <v>8412</v>
      </c>
      <c r="E14" s="67">
        <f>SUMIFS(Ships!$P:$P,Ships!$H:$H,'Ship Table'!$B14,Ships!$I:$I,"&lt;2018")</f>
        <v>8412</v>
      </c>
      <c r="F14" s="67">
        <f>SUMIFS(Ships!$P:$P,Ships!$H:$H,'Ship Table'!$B14,Ships!$I:$I,"&lt;2019")</f>
        <v>8412</v>
      </c>
      <c r="G14" s="67">
        <f>SUMIFS(Ships!$P:$P,Ships!$H:$H,'Ship Table'!$B14,Ships!$I:$I,"&lt;2020")</f>
        <v>8412</v>
      </c>
      <c r="H14" s="67">
        <f>SUMIFS(Ships!$P:$P,Ships!$H:$H,'Ship Table'!$B14,Ships!$I:$I,"&lt;2021")</f>
        <v>8412</v>
      </c>
      <c r="I14" s="67">
        <f>SUMIFS(Ships!$P:$P,Ships!$H:$H,'Ship Table'!$B14,Ships!$I:$I,"&lt;2022")</f>
        <v>8412</v>
      </c>
      <c r="J14" s="67">
        <f>SUMIFS(Ships!$P:$P,Ships!$H:$H,'Ship Table'!$B14,Ships!$I:$I,"&lt;2023")</f>
        <v>8412</v>
      </c>
      <c r="K14" s="67">
        <f>SUMIFS(Ships!$P:$P,Ships!$H:$H,'Ship Table'!$B14,Ships!$I:$I,"&lt;2024")</f>
        <v>8412</v>
      </c>
      <c r="L14" s="67">
        <f>SUMIFS(Ships!$P:$P,Ships!$H:$H,'Ship Table'!$B14,Ships!$I:$I,"&lt;2025")</f>
        <v>8412</v>
      </c>
      <c r="M14" s="67">
        <f>SUMIFS(Ships!$P:$P,Ships!$H:$H,'Ship Table'!$B14,Ships!$I:$I,"&lt;2026")</f>
        <v>8412</v>
      </c>
      <c r="O14" s="2" t="s">
        <v>37</v>
      </c>
      <c r="P14" s="30" t="s">
        <v>45</v>
      </c>
      <c r="Q14" s="67"/>
      <c r="R14" s="67">
        <f t="shared" si="40"/>
        <v>0</v>
      </c>
      <c r="S14" s="67">
        <f t="shared" si="41"/>
        <v>0</v>
      </c>
      <c r="T14" s="67">
        <f t="shared" si="42"/>
        <v>0</v>
      </c>
      <c r="U14" s="67">
        <f t="shared" si="43"/>
        <v>0</v>
      </c>
      <c r="V14" s="67">
        <f t="shared" si="44"/>
        <v>0</v>
      </c>
      <c r="W14" s="67">
        <f t="shared" si="45"/>
        <v>0</v>
      </c>
      <c r="X14" s="67">
        <f t="shared" si="46"/>
        <v>0</v>
      </c>
      <c r="Y14" s="67">
        <f t="shared" si="47"/>
        <v>0</v>
      </c>
      <c r="Z14" s="67">
        <f t="shared" si="48"/>
        <v>0</v>
      </c>
      <c r="AB14" s="2" t="s">
        <v>37</v>
      </c>
      <c r="AC14" s="30" t="s">
        <v>45</v>
      </c>
      <c r="AD14" s="66"/>
      <c r="AE14" s="66">
        <f t="shared" si="49"/>
        <v>0</v>
      </c>
      <c r="AF14" s="66">
        <f t="shared" si="50"/>
        <v>0</v>
      </c>
      <c r="AG14" s="66">
        <f t="shared" si="51"/>
        <v>0</v>
      </c>
      <c r="AH14" s="66">
        <f t="shared" si="52"/>
        <v>0</v>
      </c>
      <c r="AI14" s="66">
        <f t="shared" si="53"/>
        <v>0</v>
      </c>
      <c r="AJ14" s="66">
        <f t="shared" si="54"/>
        <v>0</v>
      </c>
      <c r="AK14" s="66">
        <f t="shared" si="55"/>
        <v>0</v>
      </c>
      <c r="AL14" s="66">
        <f t="shared" si="56"/>
        <v>0</v>
      </c>
      <c r="AM14" s="66">
        <f t="shared" si="57"/>
        <v>0</v>
      </c>
      <c r="AO14" s="2" t="s">
        <v>37</v>
      </c>
      <c r="AP14" s="30" t="s">
        <v>45</v>
      </c>
      <c r="AQ14" s="66"/>
      <c r="AR14" s="66">
        <f t="shared" si="2"/>
        <v>0</v>
      </c>
      <c r="AS14" s="66">
        <f t="shared" si="3"/>
        <v>0</v>
      </c>
      <c r="AT14" s="66">
        <f t="shared" si="4"/>
        <v>0</v>
      </c>
      <c r="AU14" s="66">
        <f t="shared" si="5"/>
        <v>0</v>
      </c>
      <c r="AV14" s="66">
        <f t="shared" si="6"/>
        <v>0</v>
      </c>
      <c r="AW14" s="66">
        <f t="shared" si="7"/>
        <v>0</v>
      </c>
      <c r="AX14" s="66">
        <f t="shared" si="8"/>
        <v>0</v>
      </c>
      <c r="AY14" s="66">
        <f t="shared" si="9"/>
        <v>0</v>
      </c>
      <c r="AZ14" s="66">
        <f t="shared" si="10"/>
        <v>0</v>
      </c>
      <c r="BB14" s="2" t="s">
        <v>37</v>
      </c>
      <c r="BC14" s="30" t="s">
        <v>45</v>
      </c>
      <c r="BD14" s="66"/>
      <c r="BE14" s="66">
        <f t="shared" si="11"/>
        <v>0</v>
      </c>
      <c r="BF14" s="66">
        <f t="shared" si="12"/>
        <v>0</v>
      </c>
      <c r="BG14" s="66">
        <f t="shared" si="13"/>
        <v>0</v>
      </c>
      <c r="BH14" s="66">
        <f t="shared" si="14"/>
        <v>0</v>
      </c>
      <c r="BI14" s="66">
        <f t="shared" si="15"/>
        <v>0</v>
      </c>
      <c r="BJ14" s="66">
        <f t="shared" si="16"/>
        <v>0</v>
      </c>
      <c r="BK14" s="66">
        <f t="shared" si="17"/>
        <v>0</v>
      </c>
      <c r="BL14" s="66">
        <f t="shared" si="18"/>
        <v>0</v>
      </c>
      <c r="BM14" s="66">
        <f t="shared" si="19"/>
        <v>0</v>
      </c>
      <c r="BO14" s="2" t="s">
        <v>37</v>
      </c>
      <c r="BP14" s="30" t="s">
        <v>45</v>
      </c>
      <c r="BQ14" s="66">
        <f t="shared" si="20"/>
        <v>1.6840031710188098E-2</v>
      </c>
      <c r="BR14" s="66">
        <f t="shared" si="21"/>
        <v>1.5944138652595186E-2</v>
      </c>
      <c r="BS14" s="66">
        <f t="shared" si="22"/>
        <v>1.4983488238709838E-2</v>
      </c>
      <c r="BT14" s="66">
        <f t="shared" si="23"/>
        <v>1.3929412388102705E-2</v>
      </c>
      <c r="BU14" s="66">
        <f t="shared" si="24"/>
        <v>1.3035999318136033E-2</v>
      </c>
      <c r="BV14" s="66">
        <f t="shared" si="25"/>
        <v>1.2285241936897203E-2</v>
      </c>
      <c r="BW14" s="66">
        <f t="shared" si="26"/>
        <v>1.1569056761544301E-2</v>
      </c>
      <c r="BX14" s="66">
        <f t="shared" si="27"/>
        <v>1.1118307141252197E-2</v>
      </c>
      <c r="BY14" s="66">
        <f t="shared" si="28"/>
        <v>1.0837133802272551E-2</v>
      </c>
      <c r="BZ14" s="66">
        <f t="shared" si="29"/>
        <v>1.0691680012201632E-2</v>
      </c>
      <c r="CB14" s="2" t="s">
        <v>37</v>
      </c>
      <c r="CC14" s="30" t="s">
        <v>45</v>
      </c>
      <c r="CD14" s="66">
        <f t="shared" si="30"/>
        <v>2.3570551940955937E-2</v>
      </c>
      <c r="CE14" s="66">
        <f t="shared" si="31"/>
        <v>2.2399267204192275E-2</v>
      </c>
      <c r="CF14" s="66">
        <f t="shared" si="32"/>
        <v>2.095968027268514E-2</v>
      </c>
      <c r="CG14" s="66">
        <f t="shared" si="33"/>
        <v>1.9318301863393977E-2</v>
      </c>
      <c r="CH14" s="66">
        <f t="shared" si="34"/>
        <v>1.8332309060240335E-2</v>
      </c>
      <c r="CI14" s="66">
        <f t="shared" si="35"/>
        <v>1.7553451218850553E-2</v>
      </c>
      <c r="CJ14" s="66">
        <f t="shared" si="36"/>
        <v>1.6719602800116074E-2</v>
      </c>
      <c r="CK14" s="66">
        <f t="shared" si="37"/>
        <v>1.589659277736833E-2</v>
      </c>
      <c r="CL14" s="66">
        <f t="shared" si="38"/>
        <v>1.5354007337507072E-2</v>
      </c>
      <c r="CM14" s="66">
        <f t="shared" si="39"/>
        <v>1.5114001832653575E-2</v>
      </c>
      <c r="CO14" s="2" t="s">
        <v>37</v>
      </c>
      <c r="CP14" s="30" t="s">
        <v>45</v>
      </c>
      <c r="CQ14" s="67">
        <f t="shared" si="58"/>
        <v>8412</v>
      </c>
      <c r="CR14" s="67">
        <f t="shared" si="59"/>
        <v>0</v>
      </c>
      <c r="CS14" s="66">
        <f t="shared" si="60"/>
        <v>0</v>
      </c>
      <c r="CT14" s="66">
        <f t="shared" si="61"/>
        <v>0</v>
      </c>
    </row>
    <row r="15" spans="2:98">
      <c r="B15" s="2" t="s">
        <v>156</v>
      </c>
      <c r="C15" s="30" t="s">
        <v>93</v>
      </c>
      <c r="D15" s="67">
        <f>SUMIFS(Ships!$P:$P,Ships!$H:$H,'Ship Table'!$B15,Ships!$I:$I,"&lt;2017")</f>
        <v>5790</v>
      </c>
      <c r="E15" s="67">
        <f>SUMIFS(Ships!$P:$P,Ships!$H:$H,'Ship Table'!$B15,Ships!$I:$I,"&lt;2018")</f>
        <v>5790</v>
      </c>
      <c r="F15" s="67">
        <f>SUMIFS(Ships!$P:$P,Ships!$H:$H,'Ship Table'!$B15,Ships!$I:$I,"&lt;2019")</f>
        <v>5790</v>
      </c>
      <c r="G15" s="67">
        <f>SUMIFS(Ships!$P:$P,Ships!$H:$H,'Ship Table'!$B15,Ships!$I:$I,"&lt;2020")</f>
        <v>5790</v>
      </c>
      <c r="H15" s="67">
        <f>SUMIFS(Ships!$P:$P,Ships!$H:$H,'Ship Table'!$B15,Ships!$I:$I,"&lt;2021")</f>
        <v>5790</v>
      </c>
      <c r="I15" s="67">
        <f>SUMIFS(Ships!$P:$P,Ships!$H:$H,'Ship Table'!$B15,Ships!$I:$I,"&lt;2022")</f>
        <v>5790</v>
      </c>
      <c r="J15" s="67">
        <f>SUMIFS(Ships!$P:$P,Ships!$H:$H,'Ship Table'!$B15,Ships!$I:$I,"&lt;2023")</f>
        <v>5790</v>
      </c>
      <c r="K15" s="67">
        <f>SUMIFS(Ships!$P:$P,Ships!$H:$H,'Ship Table'!$B15,Ships!$I:$I,"&lt;2024")</f>
        <v>5790</v>
      </c>
      <c r="L15" s="67">
        <f>SUMIFS(Ships!$P:$P,Ships!$H:$H,'Ship Table'!$B15,Ships!$I:$I,"&lt;2025")</f>
        <v>5790</v>
      </c>
      <c r="M15" s="67">
        <f>SUMIFS(Ships!$P:$P,Ships!$H:$H,'Ship Table'!$B15,Ships!$I:$I,"&lt;2026")</f>
        <v>5790</v>
      </c>
      <c r="O15" s="2" t="s">
        <v>156</v>
      </c>
      <c r="P15" s="30" t="s">
        <v>93</v>
      </c>
      <c r="Q15" s="67"/>
      <c r="R15" s="67">
        <f t="shared" si="40"/>
        <v>0</v>
      </c>
      <c r="S15" s="67">
        <f t="shared" si="41"/>
        <v>0</v>
      </c>
      <c r="T15" s="67">
        <f t="shared" si="42"/>
        <v>0</v>
      </c>
      <c r="U15" s="67">
        <f t="shared" si="43"/>
        <v>0</v>
      </c>
      <c r="V15" s="67">
        <f t="shared" si="44"/>
        <v>0</v>
      </c>
      <c r="W15" s="67">
        <f t="shared" si="45"/>
        <v>0</v>
      </c>
      <c r="X15" s="67">
        <f t="shared" si="46"/>
        <v>0</v>
      </c>
      <c r="Y15" s="67">
        <f t="shared" si="47"/>
        <v>0</v>
      </c>
      <c r="Z15" s="67">
        <f t="shared" si="48"/>
        <v>0</v>
      </c>
      <c r="AB15" s="2" t="s">
        <v>156</v>
      </c>
      <c r="AC15" s="30" t="s">
        <v>93</v>
      </c>
      <c r="AD15" s="66"/>
      <c r="AE15" s="66">
        <f t="shared" si="49"/>
        <v>0</v>
      </c>
      <c r="AF15" s="66">
        <f t="shared" si="50"/>
        <v>0</v>
      </c>
      <c r="AG15" s="66">
        <f t="shared" si="51"/>
        <v>0</v>
      </c>
      <c r="AH15" s="66">
        <f t="shared" si="52"/>
        <v>0</v>
      </c>
      <c r="AI15" s="66">
        <f t="shared" si="53"/>
        <v>0</v>
      </c>
      <c r="AJ15" s="66">
        <f t="shared" si="54"/>
        <v>0</v>
      </c>
      <c r="AK15" s="66">
        <f t="shared" si="55"/>
        <v>0</v>
      </c>
      <c r="AL15" s="66">
        <f t="shared" si="56"/>
        <v>0</v>
      </c>
      <c r="AM15" s="66">
        <f t="shared" si="57"/>
        <v>0</v>
      </c>
      <c r="AO15" s="2" t="s">
        <v>156</v>
      </c>
      <c r="AP15" s="30" t="s">
        <v>93</v>
      </c>
      <c r="AQ15" s="66"/>
      <c r="AR15" s="66">
        <f t="shared" si="2"/>
        <v>0</v>
      </c>
      <c r="AS15" s="66">
        <f t="shared" si="3"/>
        <v>0</v>
      </c>
      <c r="AT15" s="66">
        <f t="shared" si="4"/>
        <v>0</v>
      </c>
      <c r="AU15" s="66">
        <f t="shared" si="5"/>
        <v>0</v>
      </c>
      <c r="AV15" s="66">
        <f t="shared" si="6"/>
        <v>0</v>
      </c>
      <c r="AW15" s="66">
        <f t="shared" si="7"/>
        <v>0</v>
      </c>
      <c r="AX15" s="66">
        <f t="shared" si="8"/>
        <v>0</v>
      </c>
      <c r="AY15" s="66">
        <f t="shared" si="9"/>
        <v>0</v>
      </c>
      <c r="AZ15" s="66">
        <f t="shared" si="10"/>
        <v>0</v>
      </c>
      <c r="BB15" s="2" t="s">
        <v>156</v>
      </c>
      <c r="BC15" s="30" t="s">
        <v>93</v>
      </c>
      <c r="BD15" s="66"/>
      <c r="BE15" s="66">
        <f t="shared" si="11"/>
        <v>0</v>
      </c>
      <c r="BF15" s="66">
        <f t="shared" si="12"/>
        <v>0</v>
      </c>
      <c r="BG15" s="66">
        <f t="shared" si="13"/>
        <v>0</v>
      </c>
      <c r="BH15" s="66">
        <f t="shared" si="14"/>
        <v>0</v>
      </c>
      <c r="BI15" s="66">
        <f t="shared" si="15"/>
        <v>0</v>
      </c>
      <c r="BJ15" s="66">
        <f t="shared" si="16"/>
        <v>0</v>
      </c>
      <c r="BK15" s="66">
        <f t="shared" si="17"/>
        <v>0</v>
      </c>
      <c r="BL15" s="66">
        <f t="shared" si="18"/>
        <v>0</v>
      </c>
      <c r="BM15" s="66">
        <f t="shared" si="19"/>
        <v>0</v>
      </c>
      <c r="BO15" s="2" t="s">
        <v>156</v>
      </c>
      <c r="BP15" s="30" t="s">
        <v>93</v>
      </c>
      <c r="BQ15" s="66">
        <f t="shared" si="20"/>
        <v>1.159103466500108E-2</v>
      </c>
      <c r="BR15" s="66">
        <f t="shared" si="21"/>
        <v>1.0974389300823364E-2</v>
      </c>
      <c r="BS15" s="66">
        <f t="shared" si="22"/>
        <v>1.0313171291266044E-2</v>
      </c>
      <c r="BT15" s="66">
        <f t="shared" si="23"/>
        <v>9.587648327046441E-3</v>
      </c>
      <c r="BU15" s="66">
        <f t="shared" si="24"/>
        <v>8.9727099443660998E-3</v>
      </c>
      <c r="BV15" s="66">
        <f t="shared" si="25"/>
        <v>8.4559618181924388E-3</v>
      </c>
      <c r="BW15" s="66">
        <f t="shared" si="26"/>
        <v>7.9630098251713636E-3</v>
      </c>
      <c r="BX15" s="66">
        <f t="shared" si="27"/>
        <v>7.6527577684082524E-3</v>
      </c>
      <c r="BY15" s="66">
        <f t="shared" si="28"/>
        <v>7.4592254773131325E-3</v>
      </c>
      <c r="BZ15" s="66">
        <f t="shared" si="29"/>
        <v>7.3591092808663163E-3</v>
      </c>
      <c r="CB15" s="2" t="s">
        <v>156</v>
      </c>
      <c r="CC15" s="30" t="s">
        <v>93</v>
      </c>
      <c r="CD15" s="66">
        <f t="shared" si="30"/>
        <v>1.6223668062070241E-2</v>
      </c>
      <c r="CE15" s="66">
        <f t="shared" si="31"/>
        <v>1.541746993726501E-2</v>
      </c>
      <c r="CF15" s="66">
        <f t="shared" si="32"/>
        <v>1.4426598761156321E-2</v>
      </c>
      <c r="CG15" s="66">
        <f t="shared" si="33"/>
        <v>1.3296834021522957E-2</v>
      </c>
      <c r="CH15" s="66">
        <f t="shared" si="34"/>
        <v>1.2618172783974266E-2</v>
      </c>
      <c r="CI15" s="66">
        <f t="shared" si="35"/>
        <v>1.2082083042932085E-2</v>
      </c>
      <c r="CJ15" s="66">
        <f t="shared" si="36"/>
        <v>1.1508143154145516E-2</v>
      </c>
      <c r="CK15" s="66">
        <f t="shared" si="37"/>
        <v>1.0941663359600885E-2</v>
      </c>
      <c r="CL15" s="66">
        <f t="shared" si="38"/>
        <v>1.0568200485516637E-2</v>
      </c>
      <c r="CM15" s="66">
        <f t="shared" si="39"/>
        <v>1.0403004114486946E-2</v>
      </c>
      <c r="CO15" s="2" t="s">
        <v>156</v>
      </c>
      <c r="CP15" s="30" t="s">
        <v>93</v>
      </c>
      <c r="CQ15" s="67">
        <f t="shared" si="58"/>
        <v>5790</v>
      </c>
      <c r="CR15" s="67">
        <f t="shared" si="59"/>
        <v>0</v>
      </c>
      <c r="CS15" s="66">
        <f t="shared" si="60"/>
        <v>0</v>
      </c>
      <c r="CT15" s="66">
        <f t="shared" si="61"/>
        <v>0</v>
      </c>
    </row>
    <row r="16" spans="2:98">
      <c r="B16" s="2" t="s">
        <v>361</v>
      </c>
      <c r="C16" s="30"/>
      <c r="D16" s="67">
        <f t="shared" ref="D16:M16" si="64">D17-SUM(D5:D15)</f>
        <v>35996</v>
      </c>
      <c r="E16" s="67">
        <f t="shared" si="64"/>
        <v>35996</v>
      </c>
      <c r="F16" s="67">
        <f t="shared" si="64"/>
        <v>35996</v>
      </c>
      <c r="G16" s="67">
        <f t="shared" si="64"/>
        <v>35996</v>
      </c>
      <c r="H16" s="67">
        <f t="shared" si="64"/>
        <v>35996</v>
      </c>
      <c r="I16" s="67">
        <f t="shared" si="64"/>
        <v>35996</v>
      </c>
      <c r="J16" s="67">
        <f t="shared" si="64"/>
        <v>35996</v>
      </c>
      <c r="K16" s="67">
        <f t="shared" si="64"/>
        <v>35996</v>
      </c>
      <c r="L16" s="67">
        <f t="shared" si="64"/>
        <v>35996</v>
      </c>
      <c r="M16" s="67">
        <f t="shared" si="64"/>
        <v>35996</v>
      </c>
      <c r="O16" s="2" t="s">
        <v>361</v>
      </c>
      <c r="P16" s="30"/>
      <c r="Q16" s="67"/>
      <c r="R16" s="67">
        <f t="shared" si="40"/>
        <v>0</v>
      </c>
      <c r="S16" s="67">
        <f t="shared" si="41"/>
        <v>0</v>
      </c>
      <c r="T16" s="67">
        <f t="shared" si="42"/>
        <v>0</v>
      </c>
      <c r="U16" s="67">
        <f t="shared" si="43"/>
        <v>0</v>
      </c>
      <c r="V16" s="67">
        <f t="shared" si="44"/>
        <v>0</v>
      </c>
      <c r="W16" s="67">
        <f t="shared" si="45"/>
        <v>0</v>
      </c>
      <c r="X16" s="67">
        <f t="shared" si="46"/>
        <v>0</v>
      </c>
      <c r="Y16" s="67">
        <f t="shared" si="47"/>
        <v>0</v>
      </c>
      <c r="Z16" s="67">
        <f t="shared" si="48"/>
        <v>0</v>
      </c>
      <c r="AB16" s="2" t="s">
        <v>361</v>
      </c>
      <c r="AC16" s="30"/>
      <c r="AD16" s="66"/>
      <c r="AE16" s="66">
        <f t="shared" si="49"/>
        <v>0</v>
      </c>
      <c r="AF16" s="66">
        <f t="shared" si="50"/>
        <v>0</v>
      </c>
      <c r="AG16" s="66">
        <f t="shared" si="51"/>
        <v>0</v>
      </c>
      <c r="AH16" s="66">
        <f t="shared" si="52"/>
        <v>0</v>
      </c>
      <c r="AI16" s="66">
        <f t="shared" si="53"/>
        <v>0</v>
      </c>
      <c r="AJ16" s="66">
        <f t="shared" si="54"/>
        <v>0</v>
      </c>
      <c r="AK16" s="66">
        <f t="shared" si="55"/>
        <v>0</v>
      </c>
      <c r="AL16" s="66">
        <f t="shared" si="56"/>
        <v>0</v>
      </c>
      <c r="AM16" s="66">
        <f t="shared" si="57"/>
        <v>0</v>
      </c>
      <c r="AO16" s="2" t="s">
        <v>361</v>
      </c>
      <c r="AP16" s="30"/>
      <c r="AQ16" s="66"/>
      <c r="AR16" s="66">
        <f t="shared" si="2"/>
        <v>0</v>
      </c>
      <c r="AS16" s="66">
        <f t="shared" si="3"/>
        <v>0</v>
      </c>
      <c r="AT16" s="66">
        <f t="shared" si="4"/>
        <v>0</v>
      </c>
      <c r="AU16" s="66">
        <f t="shared" si="5"/>
        <v>0</v>
      </c>
      <c r="AV16" s="66">
        <f t="shared" si="6"/>
        <v>0</v>
      </c>
      <c r="AW16" s="66">
        <f t="shared" si="7"/>
        <v>0</v>
      </c>
      <c r="AX16" s="66">
        <f t="shared" si="8"/>
        <v>0</v>
      </c>
      <c r="AY16" s="66">
        <f t="shared" si="9"/>
        <v>0</v>
      </c>
      <c r="AZ16" s="66">
        <f t="shared" si="10"/>
        <v>0</v>
      </c>
      <c r="BB16" s="2" t="s">
        <v>361</v>
      </c>
      <c r="BC16" s="30"/>
      <c r="BD16" s="66"/>
      <c r="BE16" s="66">
        <f t="shared" si="11"/>
        <v>0</v>
      </c>
      <c r="BF16" s="66">
        <f t="shared" si="12"/>
        <v>0</v>
      </c>
      <c r="BG16" s="66">
        <f t="shared" si="13"/>
        <v>0</v>
      </c>
      <c r="BH16" s="66">
        <f t="shared" si="14"/>
        <v>0</v>
      </c>
      <c r="BI16" s="66">
        <f t="shared" si="15"/>
        <v>0</v>
      </c>
      <c r="BJ16" s="66">
        <f t="shared" si="16"/>
        <v>0</v>
      </c>
      <c r="BK16" s="66">
        <f t="shared" si="17"/>
        <v>0</v>
      </c>
      <c r="BL16" s="66">
        <f t="shared" si="18"/>
        <v>0</v>
      </c>
      <c r="BM16" s="66">
        <f t="shared" si="19"/>
        <v>0</v>
      </c>
      <c r="BO16" s="2" t="s">
        <v>361</v>
      </c>
      <c r="BP16" s="30"/>
      <c r="BQ16" s="66">
        <f t="shared" si="20"/>
        <v>7.206060169281156E-2</v>
      </c>
      <c r="BR16" s="66">
        <f t="shared" si="21"/>
        <v>6.8226963259488391E-2</v>
      </c>
      <c r="BS16" s="66">
        <f t="shared" si="22"/>
        <v>6.411622000007125E-2</v>
      </c>
      <c r="BT16" s="66">
        <f t="shared" si="23"/>
        <v>5.9605697613188895E-2</v>
      </c>
      <c r="BU16" s="66">
        <f t="shared" si="24"/>
        <v>5.5782671357064266E-2</v>
      </c>
      <c r="BV16" s="66">
        <f t="shared" si="25"/>
        <v>5.2570086633446471E-2</v>
      </c>
      <c r="BW16" s="66">
        <f t="shared" si="26"/>
        <v>4.950544070239523E-2</v>
      </c>
      <c r="BX16" s="66">
        <f t="shared" si="27"/>
        <v>4.7576626706670719E-2</v>
      </c>
      <c r="BY16" s="66">
        <f t="shared" si="28"/>
        <v>4.6373450825796809E-2</v>
      </c>
      <c r="BZ16" s="66">
        <f t="shared" si="29"/>
        <v>4.5751035867713973E-2</v>
      </c>
      <c r="CB16" s="2" t="s">
        <v>361</v>
      </c>
      <c r="CC16" s="30"/>
      <c r="CD16" s="66">
        <f t="shared" si="30"/>
        <v>0.10086133947535067</v>
      </c>
      <c r="CE16" s="66">
        <f t="shared" si="31"/>
        <v>9.5849265606526998E-2</v>
      </c>
      <c r="CF16" s="66">
        <f t="shared" si="32"/>
        <v>8.9689093092674074E-2</v>
      </c>
      <c r="CG16" s="66">
        <f t="shared" si="33"/>
        <v>8.2665429609454305E-2</v>
      </c>
      <c r="CH16" s="66">
        <f t="shared" si="34"/>
        <v>7.8446243097053142E-2</v>
      </c>
      <c r="CI16" s="66">
        <f t="shared" si="35"/>
        <v>7.5113412990221645E-2</v>
      </c>
      <c r="CJ16" s="66">
        <f t="shared" si="36"/>
        <v>7.1545271325841445E-2</v>
      </c>
      <c r="CK16" s="66">
        <f t="shared" si="37"/>
        <v>6.8023508513332193E-2</v>
      </c>
      <c r="CL16" s="66">
        <f t="shared" si="38"/>
        <v>6.5701717560735215E-2</v>
      </c>
      <c r="CM16" s="66">
        <f t="shared" si="39"/>
        <v>6.4674703990513324E-2</v>
      </c>
      <c r="CO16" s="2" t="s">
        <v>361</v>
      </c>
      <c r="CP16" s="30"/>
      <c r="CQ16" s="67">
        <f t="shared" si="58"/>
        <v>35996</v>
      </c>
      <c r="CR16" s="67">
        <f t="shared" si="59"/>
        <v>0</v>
      </c>
      <c r="CS16" s="66">
        <f t="shared" si="60"/>
        <v>0</v>
      </c>
      <c r="CT16" s="66">
        <f t="shared" si="61"/>
        <v>0</v>
      </c>
    </row>
    <row r="17" spans="2:98">
      <c r="B17" s="65" t="s">
        <v>200</v>
      </c>
      <c r="C17" s="177"/>
      <c r="D17" s="175">
        <f>SUMIFS(Ships!$P:$P,Ships!$G:$G,'Ship Table'!$B17,Ships!$I:$I,"&lt;2017")</f>
        <v>356886</v>
      </c>
      <c r="E17" s="175">
        <f>SUMIFS(Ships!$P:$P,Ships!$G:$G,'Ship Table'!$B17,Ships!$I:$I,"&lt;2018")</f>
        <v>375548</v>
      </c>
      <c r="F17" s="175">
        <f>SUMIFS(Ships!$P:$P,Ships!$G:$G,'Ship Table'!$B17,Ships!$I:$I,"&lt;2019")</f>
        <v>401342</v>
      </c>
      <c r="G17" s="175">
        <f>SUMIFS(Ships!$P:$P,Ships!$G:$G,'Ship Table'!$B17,Ships!$I:$I,"&lt;2020")</f>
        <v>435442</v>
      </c>
      <c r="H17" s="175">
        <f>SUMIFS(Ships!$P:$P,Ships!$G:$G,'Ship Table'!$B17,Ships!$I:$I,"&lt;2021")</f>
        <v>458862</v>
      </c>
      <c r="I17" s="175">
        <f>SUMIFS(Ships!$P:$P,Ships!$G:$G,'Ship Table'!$B17,Ships!$I:$I,"&lt;2022")</f>
        <v>479222</v>
      </c>
      <c r="J17" s="175">
        <f>SUMIFS(Ships!$P:$P,Ships!$G:$G,'Ship Table'!$B17,Ships!$I:$I,"&lt;2023")</f>
        <v>503122</v>
      </c>
      <c r="K17" s="175">
        <f>SUMIFS(Ships!$P:$P,Ships!$G:$G,'Ship Table'!$B17,Ships!$I:$I,"&lt;2024")</f>
        <v>529170</v>
      </c>
      <c r="L17" s="175">
        <f>SUMIFS(Ships!$P:$P,Ships!$G:$G,'Ship Table'!$B17,Ships!$I:$I,"&lt;2025")</f>
        <v>547870</v>
      </c>
      <c r="M17" s="175">
        <f>SUMIFS(Ships!$P:$P,Ships!$G:$G,'Ship Table'!$B17,Ships!$I:$I,"&lt;2026")</f>
        <v>556570</v>
      </c>
      <c r="O17" s="65" t="s">
        <v>200</v>
      </c>
      <c r="P17" s="177"/>
      <c r="Q17" s="175"/>
      <c r="R17" s="175">
        <f t="shared" si="40"/>
        <v>18662</v>
      </c>
      <c r="S17" s="175">
        <f t="shared" si="41"/>
        <v>25794</v>
      </c>
      <c r="T17" s="175">
        <f t="shared" si="42"/>
        <v>34100</v>
      </c>
      <c r="U17" s="175">
        <f t="shared" si="43"/>
        <v>23420</v>
      </c>
      <c r="V17" s="175">
        <f t="shared" si="44"/>
        <v>20360</v>
      </c>
      <c r="W17" s="175">
        <f t="shared" si="45"/>
        <v>23900</v>
      </c>
      <c r="X17" s="175">
        <f t="shared" si="46"/>
        <v>26048</v>
      </c>
      <c r="Y17" s="175">
        <f t="shared" si="47"/>
        <v>18700</v>
      </c>
      <c r="Z17" s="175">
        <f t="shared" si="48"/>
        <v>8700</v>
      </c>
      <c r="AB17" s="65" t="s">
        <v>200</v>
      </c>
      <c r="AC17" s="177"/>
      <c r="AD17" s="271"/>
      <c r="AE17" s="271">
        <f t="shared" si="49"/>
        <v>5.2291207836676137E-2</v>
      </c>
      <c r="AF17" s="271">
        <f t="shared" si="50"/>
        <v>6.8683630321556763E-2</v>
      </c>
      <c r="AG17" s="271">
        <f t="shared" si="51"/>
        <v>8.4964942617518233E-2</v>
      </c>
      <c r="AH17" s="271">
        <f t="shared" si="52"/>
        <v>5.3784430532654179E-2</v>
      </c>
      <c r="AI17" s="271">
        <f t="shared" si="53"/>
        <v>4.4370638666963051E-2</v>
      </c>
      <c r="AJ17" s="271">
        <f t="shared" si="54"/>
        <v>4.9872501679806017E-2</v>
      </c>
      <c r="AK17" s="271">
        <f t="shared" si="55"/>
        <v>5.1772731067216304E-2</v>
      </c>
      <c r="AL17" s="271">
        <f t="shared" si="56"/>
        <v>3.5338360073322375E-2</v>
      </c>
      <c r="AM17" s="271">
        <f t="shared" si="57"/>
        <v>1.5879679486009456E-2</v>
      </c>
      <c r="AO17" s="65" t="s">
        <v>200</v>
      </c>
      <c r="AP17" s="177"/>
      <c r="AQ17" s="271"/>
      <c r="AR17" s="271">
        <f t="shared" si="2"/>
        <v>3.7359566307124385E-2</v>
      </c>
      <c r="AS17" s="271">
        <f t="shared" si="3"/>
        <v>4.8890051403357136E-2</v>
      </c>
      <c r="AT17" s="271">
        <f t="shared" si="4"/>
        <v>6.0739057173086718E-2</v>
      </c>
      <c r="AU17" s="271">
        <f t="shared" si="5"/>
        <v>3.8781126739106678E-2</v>
      </c>
      <c r="AV17" s="271">
        <f t="shared" si="6"/>
        <v>3.1551705434765764E-2</v>
      </c>
      <c r="AW17" s="271">
        <f t="shared" si="7"/>
        <v>3.4904574689948065E-2</v>
      </c>
      <c r="AX17" s="271">
        <f t="shared" si="8"/>
        <v>3.5823917085675935E-2</v>
      </c>
      <c r="AY17" s="271">
        <f t="shared" si="9"/>
        <v>2.4716160668261541E-2</v>
      </c>
      <c r="AZ17" s="271">
        <f t="shared" si="10"/>
        <v>1.1208162634304707E-2</v>
      </c>
      <c r="BB17" s="65" t="s">
        <v>200</v>
      </c>
      <c r="BC17" s="177"/>
      <c r="BD17" s="271"/>
      <c r="BE17" s="271">
        <f t="shared" si="11"/>
        <v>5.2291207836676137E-2</v>
      </c>
      <c r="BF17" s="271">
        <f t="shared" si="12"/>
        <v>6.8683630321556763E-2</v>
      </c>
      <c r="BG17" s="271">
        <f t="shared" si="13"/>
        <v>8.4964942617518233E-2</v>
      </c>
      <c r="BH17" s="271">
        <f t="shared" si="14"/>
        <v>5.3784430532654179E-2</v>
      </c>
      <c r="BI17" s="271">
        <f t="shared" si="15"/>
        <v>4.4370638666963051E-2</v>
      </c>
      <c r="BJ17" s="271">
        <f t="shared" si="16"/>
        <v>4.9872501679806017E-2</v>
      </c>
      <c r="BK17" s="271">
        <f t="shared" si="17"/>
        <v>5.1772731067216304E-2</v>
      </c>
      <c r="BL17" s="271">
        <f t="shared" si="18"/>
        <v>3.5338360073322375E-2</v>
      </c>
      <c r="BM17" s="271">
        <f t="shared" si="19"/>
        <v>1.5879679486009456E-2</v>
      </c>
      <c r="BO17" s="65" t="s">
        <v>200</v>
      </c>
      <c r="BP17" s="177"/>
      <c r="BQ17" s="271">
        <f t="shared" si="20"/>
        <v>0.714452158454849</v>
      </c>
      <c r="BR17" s="271">
        <f t="shared" si="21"/>
        <v>0.7118151905260125</v>
      </c>
      <c r="BS17" s="271">
        <f t="shared" si="22"/>
        <v>0.71487198486689063</v>
      </c>
      <c r="BT17" s="271">
        <f t="shared" si="23"/>
        <v>0.7210474547194744</v>
      </c>
      <c r="BU17" s="271">
        <f t="shared" si="24"/>
        <v>0.71109423669977845</v>
      </c>
      <c r="BV17" s="271">
        <f t="shared" si="25"/>
        <v>0.69987615447976115</v>
      </c>
      <c r="BW17" s="271">
        <f t="shared" si="26"/>
        <v>0.6919456699930685</v>
      </c>
      <c r="BX17" s="271">
        <f t="shared" si="27"/>
        <v>0.69941447811892832</v>
      </c>
      <c r="BY17" s="271">
        <f t="shared" si="28"/>
        <v>0.70581793821339311</v>
      </c>
      <c r="BZ17" s="271">
        <f t="shared" si="29"/>
        <v>0.70740232339408726</v>
      </c>
      <c r="CB17" s="65" t="s">
        <v>200</v>
      </c>
      <c r="CC17" s="177"/>
      <c r="CD17" s="271">
        <f t="shared" si="30"/>
        <v>1</v>
      </c>
      <c r="CE17" s="271">
        <f t="shared" si="31"/>
        <v>1</v>
      </c>
      <c r="CF17" s="271">
        <f t="shared" si="32"/>
        <v>1</v>
      </c>
      <c r="CG17" s="271">
        <f t="shared" si="33"/>
        <v>1</v>
      </c>
      <c r="CH17" s="271">
        <f t="shared" si="34"/>
        <v>1</v>
      </c>
      <c r="CI17" s="271">
        <f t="shared" si="35"/>
        <v>1</v>
      </c>
      <c r="CJ17" s="271">
        <f t="shared" si="36"/>
        <v>1</v>
      </c>
      <c r="CK17" s="271">
        <f t="shared" si="37"/>
        <v>1</v>
      </c>
      <c r="CL17" s="271">
        <f t="shared" si="38"/>
        <v>1</v>
      </c>
      <c r="CM17" s="271">
        <f t="shared" si="39"/>
        <v>1</v>
      </c>
      <c r="CO17" s="65" t="s">
        <v>200</v>
      </c>
      <c r="CP17" s="177"/>
      <c r="CQ17" s="175">
        <f t="shared" si="58"/>
        <v>401342</v>
      </c>
      <c r="CR17" s="175">
        <f t="shared" si="59"/>
        <v>77880</v>
      </c>
      <c r="CS17" s="271">
        <f t="shared" si="60"/>
        <v>0.19404896572000938</v>
      </c>
      <c r="CT17" s="271">
        <f t="shared" si="61"/>
        <v>6.0899013538866953E-2</v>
      </c>
    </row>
    <row r="18" spans="2:98">
      <c r="B18" s="2" t="s">
        <v>195</v>
      </c>
      <c r="C18" s="30" t="s">
        <v>93</v>
      </c>
      <c r="D18" s="67">
        <f>SUMIFS(Ships!$P:$P,Ships!$H:$H,'Ship Table'!$B18,Ships!$I:$I,"&lt;2017")</f>
        <v>43236</v>
      </c>
      <c r="E18" s="67">
        <f>SUMIFS(Ships!$P:$P,Ships!$H:$H,'Ship Table'!$B18,Ships!$I:$I,"&lt;2018")</f>
        <v>46796</v>
      </c>
      <c r="F18" s="67">
        <f>SUMIFS(Ships!$P:$P,Ships!$H:$H,'Ship Table'!$B18,Ships!$I:$I,"&lt;2019")</f>
        <v>46796</v>
      </c>
      <c r="G18" s="67">
        <f>SUMIFS(Ships!$P:$P,Ships!$H:$H,'Ship Table'!$B18,Ships!$I:$I,"&lt;2020")</f>
        <v>50396</v>
      </c>
      <c r="H18" s="67">
        <f>SUMIFS(Ships!$P:$P,Ships!$H:$H,'Ship Table'!$B18,Ships!$I:$I,"&lt;2021")</f>
        <v>53996</v>
      </c>
      <c r="I18" s="67">
        <f>SUMIFS(Ships!$P:$P,Ships!$H:$H,'Ship Table'!$B18,Ships!$I:$I,"&lt;2022")</f>
        <v>53996</v>
      </c>
      <c r="J18" s="67">
        <f>SUMIFS(Ships!$P:$P,Ships!$H:$H,'Ship Table'!$B18,Ships!$I:$I,"&lt;2023")</f>
        <v>57596</v>
      </c>
      <c r="K18" s="67">
        <f>SUMIFS(Ships!$P:$P,Ships!$H:$H,'Ship Table'!$B18,Ships!$I:$I,"&lt;2024")</f>
        <v>57596</v>
      </c>
      <c r="L18" s="67">
        <f>SUMIFS(Ships!$P:$P,Ships!$H:$H,'Ship Table'!$B18,Ships!$I:$I,"&lt;2025")</f>
        <v>57596</v>
      </c>
      <c r="M18" s="67">
        <f>SUMIFS(Ships!$P:$P,Ships!$H:$H,'Ship Table'!$B18,Ships!$I:$I,"&lt;2026")</f>
        <v>57596</v>
      </c>
      <c r="O18" s="2" t="s">
        <v>195</v>
      </c>
      <c r="P18" s="30" t="s">
        <v>93</v>
      </c>
      <c r="Q18" s="67"/>
      <c r="R18" s="67">
        <f t="shared" si="40"/>
        <v>3560</v>
      </c>
      <c r="S18" s="67">
        <f t="shared" si="41"/>
        <v>0</v>
      </c>
      <c r="T18" s="67">
        <f t="shared" si="42"/>
        <v>3600</v>
      </c>
      <c r="U18" s="67">
        <f t="shared" si="43"/>
        <v>3600</v>
      </c>
      <c r="V18" s="67">
        <f t="shared" si="44"/>
        <v>0</v>
      </c>
      <c r="W18" s="67">
        <f t="shared" si="45"/>
        <v>3600</v>
      </c>
      <c r="X18" s="67">
        <f t="shared" si="46"/>
        <v>0</v>
      </c>
      <c r="Y18" s="67">
        <f t="shared" si="47"/>
        <v>0</v>
      </c>
      <c r="Z18" s="67">
        <f t="shared" si="48"/>
        <v>0</v>
      </c>
      <c r="AB18" s="2" t="s">
        <v>195</v>
      </c>
      <c r="AC18" s="30" t="s">
        <v>93</v>
      </c>
      <c r="AD18" s="66"/>
      <c r="AE18" s="66">
        <f t="shared" si="49"/>
        <v>8.2338791747617726E-2</v>
      </c>
      <c r="AF18" s="66">
        <f t="shared" si="50"/>
        <v>0</v>
      </c>
      <c r="AG18" s="66">
        <f t="shared" si="51"/>
        <v>7.6929652107017688E-2</v>
      </c>
      <c r="AH18" s="66">
        <f t="shared" si="52"/>
        <v>7.1434240812762922E-2</v>
      </c>
      <c r="AI18" s="66">
        <f t="shared" si="53"/>
        <v>0</v>
      </c>
      <c r="AJ18" s="66">
        <f t="shared" si="54"/>
        <v>6.6671605304096604E-2</v>
      </c>
      <c r="AK18" s="66">
        <f t="shared" si="55"/>
        <v>0</v>
      </c>
      <c r="AL18" s="66">
        <f t="shared" si="56"/>
        <v>0</v>
      </c>
      <c r="AM18" s="66">
        <f t="shared" si="57"/>
        <v>0</v>
      </c>
      <c r="AO18" s="2" t="s">
        <v>195</v>
      </c>
      <c r="AP18" s="30" t="s">
        <v>93</v>
      </c>
      <c r="AQ18" s="66"/>
      <c r="AR18" s="66">
        <f t="shared" si="2"/>
        <v>7.1267846990334801E-3</v>
      </c>
      <c r="AS18" s="66">
        <f t="shared" si="3"/>
        <v>0</v>
      </c>
      <c r="AT18" s="66">
        <f t="shared" si="4"/>
        <v>6.4123344816161935E-3</v>
      </c>
      <c r="AU18" s="66">
        <f t="shared" si="5"/>
        <v>5.961232120443383E-3</v>
      </c>
      <c r="AV18" s="66">
        <f t="shared" si="6"/>
        <v>0</v>
      </c>
      <c r="AW18" s="66">
        <f t="shared" si="7"/>
        <v>5.2575928403269055E-3</v>
      </c>
      <c r="AX18" s="66">
        <f t="shared" si="8"/>
        <v>0</v>
      </c>
      <c r="AY18" s="66">
        <f t="shared" si="9"/>
        <v>0</v>
      </c>
      <c r="AZ18" s="66">
        <f t="shared" si="10"/>
        <v>0</v>
      </c>
      <c r="BB18" s="2" t="s">
        <v>195</v>
      </c>
      <c r="BC18" s="30" t="s">
        <v>93</v>
      </c>
      <c r="BD18" s="66"/>
      <c r="BE18" s="66">
        <f t="shared" si="11"/>
        <v>9.9751741452452601E-3</v>
      </c>
      <c r="BF18" s="66">
        <f t="shared" si="12"/>
        <v>0</v>
      </c>
      <c r="BG18" s="66">
        <f t="shared" si="13"/>
        <v>8.9699059654857957E-3</v>
      </c>
      <c r="BH18" s="66">
        <f t="shared" si="14"/>
        <v>8.2674615677862957E-3</v>
      </c>
      <c r="BI18" s="66">
        <f t="shared" si="15"/>
        <v>0</v>
      </c>
      <c r="BJ18" s="66">
        <f t="shared" si="16"/>
        <v>7.5121759852427479E-3</v>
      </c>
      <c r="BK18" s="66">
        <f t="shared" si="17"/>
        <v>0</v>
      </c>
      <c r="BL18" s="66">
        <f t="shared" si="18"/>
        <v>0</v>
      </c>
      <c r="BM18" s="66">
        <f t="shared" si="19"/>
        <v>0</v>
      </c>
      <c r="BO18" s="2" t="s">
        <v>195</v>
      </c>
      <c r="BP18" s="30" t="s">
        <v>93</v>
      </c>
      <c r="BQ18" s="66">
        <f t="shared" si="20"/>
        <v>8.6554399788598746E-2</v>
      </c>
      <c r="BR18" s="66">
        <f t="shared" si="21"/>
        <v>8.8697326722164099E-2</v>
      </c>
      <c r="BS18" s="66">
        <f t="shared" si="22"/>
        <v>8.3353223444919827E-2</v>
      </c>
      <c r="BT18" s="66">
        <f t="shared" si="23"/>
        <v>8.3450626094962427E-2</v>
      </c>
      <c r="BU18" s="66">
        <f t="shared" si="24"/>
        <v>8.3677106417269762E-2</v>
      </c>
      <c r="BV18" s="66">
        <f t="shared" si="25"/>
        <v>7.8858050835080989E-2</v>
      </c>
      <c r="BW18" s="66">
        <f t="shared" si="26"/>
        <v>7.9212005853293577E-2</v>
      </c>
      <c r="BX18" s="66">
        <f t="shared" si="27"/>
        <v>7.6125774858245551E-2</v>
      </c>
      <c r="BY18" s="66">
        <f t="shared" si="28"/>
        <v>7.4200613228208492E-2</v>
      </c>
      <c r="BZ18" s="66">
        <f t="shared" si="29"/>
        <v>7.3204707796334423E-2</v>
      </c>
      <c r="CB18" s="2" t="s">
        <v>195</v>
      </c>
      <c r="CC18" s="30" t="s">
        <v>93</v>
      </c>
      <c r="CD18" s="66">
        <f t="shared" ref="CD18:CD29" si="65">D18/D$29</f>
        <v>0.36205900332448476</v>
      </c>
      <c r="CE18" s="66">
        <f t="shared" ref="CE18:CE29" si="66">E18/E$29</f>
        <v>0.36503194302518782</v>
      </c>
      <c r="CF18" s="66">
        <f t="shared" ref="CF18:CF29" si="67">F18/F$29</f>
        <v>0.34667042011452953</v>
      </c>
      <c r="CG18" s="66">
        <f t="shared" ref="CG18:CG29" si="68">G18/G$29</f>
        <v>0.35864699644882825</v>
      </c>
      <c r="CH18" s="66">
        <f t="shared" ref="CH18:CH29" si="69">H18/H$29</f>
        <v>0.34640132925319322</v>
      </c>
      <c r="CI18" s="66">
        <f t="shared" ref="CI18:CI29" si="70">I18/I$29</f>
        <v>0.31260891464565471</v>
      </c>
      <c r="CJ18" s="66">
        <f t="shared" ref="CJ18:CJ29" si="71">J18/J$29</f>
        <v>0.30402170527904904</v>
      </c>
      <c r="CK18" s="66">
        <f t="shared" ref="CK18:CK29" si="72">K18/K$29</f>
        <v>0.29861517962224632</v>
      </c>
      <c r="CL18" s="66">
        <f t="shared" ref="CL18:CL29" si="73">L18/L$29</f>
        <v>0.29718224831920415</v>
      </c>
      <c r="CM18" s="66">
        <f t="shared" ref="CM18:CM29" si="74">M18/M$29</f>
        <v>0.29435724981729161</v>
      </c>
      <c r="CO18" s="2" t="s">
        <v>195</v>
      </c>
      <c r="CP18" s="30" t="s">
        <v>93</v>
      </c>
      <c r="CQ18" s="67">
        <f t="shared" si="58"/>
        <v>46796</v>
      </c>
      <c r="CR18" s="67">
        <f t="shared" si="59"/>
        <v>7200</v>
      </c>
      <c r="CS18" s="66">
        <f t="shared" si="60"/>
        <v>0.15385930421403538</v>
      </c>
      <c r="CT18" s="66">
        <f t="shared" si="61"/>
        <v>4.8860230873058796E-2</v>
      </c>
    </row>
    <row r="19" spans="2:98">
      <c r="B19" s="2" t="s">
        <v>198</v>
      </c>
      <c r="C19" s="30" t="s">
        <v>45</v>
      </c>
      <c r="D19" s="67">
        <f>SUMIFS(Ships!$P:$P,Ships!$H:$H,'Ship Table'!$B19,Ships!$I:$I,"&lt;2017")</f>
        <v>23226</v>
      </c>
      <c r="E19" s="67">
        <f>SUMIFS(Ships!$P:$P,Ships!$H:$H,'Ship Table'!$B19,Ships!$I:$I,"&lt;2018")</f>
        <v>23226</v>
      </c>
      <c r="F19" s="67">
        <f>SUMIFS(Ships!$P:$P,Ships!$H:$H,'Ship Table'!$B19,Ships!$I:$I,"&lt;2019")</f>
        <v>26126</v>
      </c>
      <c r="G19" s="67">
        <f>SUMIFS(Ships!$P:$P,Ships!$H:$H,'Ship Table'!$B19,Ships!$I:$I,"&lt;2020")</f>
        <v>26226</v>
      </c>
      <c r="H19" s="67">
        <f>SUMIFS(Ships!$P:$P,Ships!$H:$H,'Ship Table'!$B19,Ships!$I:$I,"&lt;2021")</f>
        <v>29126</v>
      </c>
      <c r="I19" s="67">
        <f>SUMIFS(Ships!$P:$P,Ships!$H:$H,'Ship Table'!$B19,Ships!$I:$I,"&lt;2022")</f>
        <v>32026</v>
      </c>
      <c r="J19" s="67">
        <f>SUMIFS(Ships!$P:$P,Ships!$H:$H,'Ship Table'!$B19,Ships!$I:$I,"&lt;2023")</f>
        <v>34926</v>
      </c>
      <c r="K19" s="67">
        <f>SUMIFS(Ships!$P:$P,Ships!$H:$H,'Ship Table'!$B19,Ships!$I:$I,"&lt;2024")</f>
        <v>34926</v>
      </c>
      <c r="L19" s="67">
        <f>SUMIFS(Ships!$P:$P,Ships!$H:$H,'Ship Table'!$B19,Ships!$I:$I,"&lt;2025")</f>
        <v>34926</v>
      </c>
      <c r="M19" s="67">
        <f>SUMIFS(Ships!$P:$P,Ships!$H:$H,'Ship Table'!$B19,Ships!$I:$I,"&lt;2026")</f>
        <v>34926</v>
      </c>
      <c r="O19" s="2" t="s">
        <v>198</v>
      </c>
      <c r="P19" s="30" t="s">
        <v>45</v>
      </c>
      <c r="Q19" s="67"/>
      <c r="R19" s="67">
        <f t="shared" si="40"/>
        <v>0</v>
      </c>
      <c r="S19" s="67">
        <f t="shared" si="41"/>
        <v>2900</v>
      </c>
      <c r="T19" s="67">
        <f t="shared" si="42"/>
        <v>100</v>
      </c>
      <c r="U19" s="67">
        <f t="shared" si="43"/>
        <v>2900</v>
      </c>
      <c r="V19" s="67">
        <f t="shared" si="44"/>
        <v>2900</v>
      </c>
      <c r="W19" s="67">
        <f t="shared" si="45"/>
        <v>2900</v>
      </c>
      <c r="X19" s="67">
        <f t="shared" si="46"/>
        <v>0</v>
      </c>
      <c r="Y19" s="67">
        <f t="shared" si="47"/>
        <v>0</v>
      </c>
      <c r="Z19" s="67">
        <f t="shared" si="48"/>
        <v>0</v>
      </c>
      <c r="AB19" s="2" t="s">
        <v>198</v>
      </c>
      <c r="AC19" s="30" t="s">
        <v>45</v>
      </c>
      <c r="AD19" s="66"/>
      <c r="AE19" s="66">
        <f t="shared" ref="AE19:AE52" si="75">R19/D19</f>
        <v>0</v>
      </c>
      <c r="AF19" s="66">
        <f t="shared" ref="AF19:AF52" si="76">S19/E19</f>
        <v>0.12486007061052269</v>
      </c>
      <c r="AG19" s="66">
        <f t="shared" ref="AG19:AG52" si="77">T19/F19</f>
        <v>3.8276046849881344E-3</v>
      </c>
      <c r="AH19" s="66">
        <f t="shared" ref="AH19:AH52" si="78">U19/G19</f>
        <v>0.11057728971249904</v>
      </c>
      <c r="AI19" s="66">
        <f t="shared" ref="AI19:AI52" si="79">V19/H19</f>
        <v>9.9567396827576732E-2</v>
      </c>
      <c r="AJ19" s="66">
        <f t="shared" ref="AJ19:AJ52" si="80">W19/I19</f>
        <v>9.0551426965590459E-2</v>
      </c>
      <c r="AK19" s="66">
        <f t="shared" ref="AK19:AK52" si="81">X19/J19</f>
        <v>0</v>
      </c>
      <c r="AL19" s="66">
        <f t="shared" ref="AL19:AL52" si="82">Y19/K19</f>
        <v>0</v>
      </c>
      <c r="AM19" s="66">
        <f t="shared" ref="AM19:AM52" si="83">Z19/L19</f>
        <v>0</v>
      </c>
      <c r="AO19" s="2" t="s">
        <v>198</v>
      </c>
      <c r="AP19" s="30" t="s">
        <v>45</v>
      </c>
      <c r="AQ19" s="66"/>
      <c r="AR19" s="66">
        <f t="shared" si="2"/>
        <v>0</v>
      </c>
      <c r="AS19" s="66">
        <f t="shared" si="3"/>
        <v>5.4966716705332911E-3</v>
      </c>
      <c r="AT19" s="66">
        <f t="shared" si="4"/>
        <v>1.7812040226711649E-4</v>
      </c>
      <c r="AU19" s="66">
        <f t="shared" si="5"/>
        <v>4.8021036525793918E-3</v>
      </c>
      <c r="AV19" s="66">
        <f t="shared" si="6"/>
        <v>4.4941034263664397E-3</v>
      </c>
      <c r="AW19" s="66">
        <f t="shared" si="7"/>
        <v>4.2352831213744516E-3</v>
      </c>
      <c r="AX19" s="66">
        <f t="shared" si="8"/>
        <v>0</v>
      </c>
      <c r="AY19" s="66">
        <f t="shared" si="9"/>
        <v>0</v>
      </c>
      <c r="AZ19" s="66">
        <f t="shared" si="10"/>
        <v>0</v>
      </c>
      <c r="BB19" s="2" t="s">
        <v>198</v>
      </c>
      <c r="BC19" s="30" t="s">
        <v>45</v>
      </c>
      <c r="BD19" s="66"/>
      <c r="BE19" s="66">
        <f t="shared" si="11"/>
        <v>0</v>
      </c>
      <c r="BF19" s="66">
        <f t="shared" si="12"/>
        <v>7.7220488459531136E-3</v>
      </c>
      <c r="BG19" s="66">
        <f t="shared" si="13"/>
        <v>2.4916405459682762E-4</v>
      </c>
      <c r="BH19" s="66">
        <f t="shared" si="14"/>
        <v>6.6598995962722932E-3</v>
      </c>
      <c r="BI19" s="66">
        <f t="shared" si="15"/>
        <v>6.3199829142530873E-3</v>
      </c>
      <c r="BJ19" s="66">
        <f t="shared" si="16"/>
        <v>6.0514750992233246E-3</v>
      </c>
      <c r="BK19" s="66">
        <f t="shared" si="17"/>
        <v>0</v>
      </c>
      <c r="BL19" s="66">
        <f t="shared" si="18"/>
        <v>0</v>
      </c>
      <c r="BM19" s="66">
        <f t="shared" si="19"/>
        <v>0</v>
      </c>
      <c r="BO19" s="2" t="s">
        <v>198</v>
      </c>
      <c r="BP19" s="30" t="s">
        <v>45</v>
      </c>
      <c r="BQ19" s="66">
        <f t="shared" si="20"/>
        <v>4.6496264443750449E-2</v>
      </c>
      <c r="BR19" s="66">
        <f t="shared" si="21"/>
        <v>4.4022653868898698E-2</v>
      </c>
      <c r="BS19" s="66">
        <f t="shared" si="22"/>
        <v>4.6535736296306848E-2</v>
      </c>
      <c r="BT19" s="66">
        <f t="shared" si="23"/>
        <v>4.3427575997430044E-2</v>
      </c>
      <c r="BU19" s="66">
        <f t="shared" si="24"/>
        <v>4.513629530908584E-2</v>
      </c>
      <c r="BV19" s="66">
        <f t="shared" si="25"/>
        <v>4.6772130084530412E-2</v>
      </c>
      <c r="BW19" s="66">
        <f t="shared" si="26"/>
        <v>4.8033865484272027E-2</v>
      </c>
      <c r="BX19" s="66">
        <f t="shared" si="27"/>
        <v>4.6162386497310297E-2</v>
      </c>
      <c r="BY19" s="66">
        <f t="shared" si="28"/>
        <v>4.49949756512329E-2</v>
      </c>
      <c r="BZ19" s="66">
        <f t="shared" si="29"/>
        <v>4.4391062304583236E-2</v>
      </c>
      <c r="CB19" s="2" t="s">
        <v>198</v>
      </c>
      <c r="CC19" s="30" t="s">
        <v>45</v>
      </c>
      <c r="CD19" s="66">
        <f t="shared" si="65"/>
        <v>0.19449492115862901</v>
      </c>
      <c r="CE19" s="66">
        <f t="shared" si="66"/>
        <v>0.18117428644976091</v>
      </c>
      <c r="CF19" s="66">
        <f t="shared" si="67"/>
        <v>0.19354456355056412</v>
      </c>
      <c r="CG19" s="66">
        <f t="shared" si="68"/>
        <v>0.18663933901236149</v>
      </c>
      <c r="CH19" s="66">
        <f t="shared" si="69"/>
        <v>0.18685245417861518</v>
      </c>
      <c r="CI19" s="66">
        <f t="shared" si="70"/>
        <v>0.18541397696943732</v>
      </c>
      <c r="CJ19" s="66">
        <f t="shared" si="71"/>
        <v>0.18435763036627659</v>
      </c>
      <c r="CK19" s="66">
        <f t="shared" si="72"/>
        <v>0.18107913333367898</v>
      </c>
      <c r="CL19" s="66">
        <f t="shared" si="73"/>
        <v>0.18021020912557337</v>
      </c>
      <c r="CM19" s="66">
        <f t="shared" si="74"/>
        <v>0.17849714055001609</v>
      </c>
      <c r="CO19" s="2" t="s">
        <v>198</v>
      </c>
      <c r="CP19" s="30" t="s">
        <v>45</v>
      </c>
      <c r="CQ19" s="67">
        <f t="shared" si="58"/>
        <v>26126</v>
      </c>
      <c r="CR19" s="67">
        <f t="shared" si="59"/>
        <v>5900</v>
      </c>
      <c r="CS19" s="66">
        <f t="shared" si="60"/>
        <v>0.22582867641429993</v>
      </c>
      <c r="CT19" s="66">
        <f t="shared" si="61"/>
        <v>7.0228697851529409E-2</v>
      </c>
    </row>
    <row r="20" spans="2:98">
      <c r="B20" s="2" t="s">
        <v>747</v>
      </c>
      <c r="C20" s="30" t="s">
        <v>93</v>
      </c>
      <c r="D20" s="67">
        <f>SUMIFS(Ships!$P:$P,Ships!$H:$H,'Ship Table'!$B20,Ships!$I:$I,"&lt;2017")</f>
        <v>23786</v>
      </c>
      <c r="E20" s="67">
        <f>SUMIFS(Ships!$P:$P,Ships!$H:$H,'Ship Table'!$B20,Ships!$I:$I,"&lt;2018")</f>
        <v>23786</v>
      </c>
      <c r="F20" s="67">
        <f>SUMIFS(Ships!$P:$P,Ships!$H:$H,'Ship Table'!$B20,Ships!$I:$I,"&lt;2019")</f>
        <v>26446</v>
      </c>
      <c r="G20" s="67">
        <f>SUMIFS(Ships!$P:$P,Ships!$H:$H,'Ship Table'!$B20,Ships!$I:$I,"&lt;2020")</f>
        <v>26446</v>
      </c>
      <c r="H20" s="67">
        <f>SUMIFS(Ships!$P:$P,Ships!$H:$H,'Ship Table'!$B20,Ships!$I:$I,"&lt;2021")</f>
        <v>26446</v>
      </c>
      <c r="I20" s="67">
        <f>SUMIFS(Ships!$P:$P,Ships!$H:$H,'Ship Table'!$B20,Ships!$I:$I,"&lt;2022")</f>
        <v>29106</v>
      </c>
      <c r="J20" s="67">
        <f>SUMIFS(Ships!$P:$P,Ships!$H:$H,'Ship Table'!$B20,Ships!$I:$I,"&lt;2023")</f>
        <v>29106</v>
      </c>
      <c r="K20" s="67">
        <f>SUMIFS(Ships!$P:$P,Ships!$H:$H,'Ship Table'!$B20,Ships!$I:$I,"&lt;2024")</f>
        <v>29106</v>
      </c>
      <c r="L20" s="67">
        <f>SUMIFS(Ships!$P:$P,Ships!$H:$H,'Ship Table'!$B20,Ships!$I:$I,"&lt;2025")</f>
        <v>29106</v>
      </c>
      <c r="M20" s="67">
        <f>SUMIFS(Ships!$P:$P,Ships!$H:$H,'Ship Table'!$B20,Ships!$I:$I,"&lt;2026")</f>
        <v>29106</v>
      </c>
      <c r="O20" s="2" t="s">
        <v>747</v>
      </c>
      <c r="P20" s="30" t="s">
        <v>93</v>
      </c>
      <c r="Q20" s="67"/>
      <c r="R20" s="67">
        <f t="shared" ref="R20:Z20" si="84">E20-D20</f>
        <v>0</v>
      </c>
      <c r="S20" s="67">
        <f t="shared" si="84"/>
        <v>2660</v>
      </c>
      <c r="T20" s="67">
        <f t="shared" si="84"/>
        <v>0</v>
      </c>
      <c r="U20" s="67">
        <f t="shared" si="84"/>
        <v>0</v>
      </c>
      <c r="V20" s="67">
        <f t="shared" si="84"/>
        <v>2660</v>
      </c>
      <c r="W20" s="67">
        <f t="shared" si="84"/>
        <v>0</v>
      </c>
      <c r="X20" s="67">
        <f t="shared" si="84"/>
        <v>0</v>
      </c>
      <c r="Y20" s="67">
        <f t="shared" si="84"/>
        <v>0</v>
      </c>
      <c r="Z20" s="67">
        <f t="shared" si="84"/>
        <v>0</v>
      </c>
      <c r="AB20" s="2" t="s">
        <v>747</v>
      </c>
      <c r="AC20" s="30" t="s">
        <v>93</v>
      </c>
      <c r="AD20" s="66"/>
      <c r="AE20" s="66">
        <f t="shared" ref="AE20:AM20" si="85">R20/D20</f>
        <v>0</v>
      </c>
      <c r="AF20" s="66">
        <f t="shared" si="85"/>
        <v>0.11183048852266039</v>
      </c>
      <c r="AG20" s="66">
        <f t="shared" si="85"/>
        <v>0</v>
      </c>
      <c r="AH20" s="66">
        <f t="shared" si="85"/>
        <v>0</v>
      </c>
      <c r="AI20" s="66">
        <f t="shared" si="85"/>
        <v>0.10058231868713605</v>
      </c>
      <c r="AJ20" s="66">
        <f t="shared" si="85"/>
        <v>0</v>
      </c>
      <c r="AK20" s="66">
        <f t="shared" si="85"/>
        <v>0</v>
      </c>
      <c r="AL20" s="66">
        <f t="shared" si="85"/>
        <v>0</v>
      </c>
      <c r="AM20" s="66">
        <f t="shared" si="85"/>
        <v>0</v>
      </c>
      <c r="AO20" s="2" t="s">
        <v>747</v>
      </c>
      <c r="AP20" s="30" t="s">
        <v>93</v>
      </c>
      <c r="AQ20" s="66"/>
      <c r="AR20" s="66">
        <f t="shared" si="2"/>
        <v>0</v>
      </c>
      <c r="AS20" s="66">
        <f t="shared" si="3"/>
        <v>5.041774704696053E-3</v>
      </c>
      <c r="AT20" s="66">
        <f t="shared" si="4"/>
        <v>0</v>
      </c>
      <c r="AU20" s="66">
        <f t="shared" si="5"/>
        <v>0</v>
      </c>
      <c r="AV20" s="66">
        <f t="shared" si="6"/>
        <v>4.1221776255637001E-3</v>
      </c>
      <c r="AW20" s="66">
        <f t="shared" si="7"/>
        <v>0</v>
      </c>
      <c r="AX20" s="66">
        <f t="shared" si="8"/>
        <v>0</v>
      </c>
      <c r="AY20" s="66">
        <f t="shared" si="9"/>
        <v>0</v>
      </c>
      <c r="AZ20" s="66">
        <f t="shared" si="10"/>
        <v>0</v>
      </c>
      <c r="BB20" s="2" t="s">
        <v>747</v>
      </c>
      <c r="BC20" s="30" t="s">
        <v>93</v>
      </c>
      <c r="BD20" s="66"/>
      <c r="BE20" s="66">
        <f t="shared" si="11"/>
        <v>0</v>
      </c>
      <c r="BF20" s="66">
        <f t="shared" si="12"/>
        <v>7.0829827345638904E-3</v>
      </c>
      <c r="BG20" s="66">
        <f t="shared" si="13"/>
        <v>0</v>
      </c>
      <c r="BH20" s="66">
        <f t="shared" si="14"/>
        <v>0</v>
      </c>
      <c r="BI20" s="66">
        <f t="shared" si="15"/>
        <v>5.7969498454873139E-3</v>
      </c>
      <c r="BJ20" s="66">
        <f t="shared" si="16"/>
        <v>0</v>
      </c>
      <c r="BK20" s="66">
        <f t="shared" si="17"/>
        <v>0</v>
      </c>
      <c r="BL20" s="66">
        <f t="shared" si="18"/>
        <v>0</v>
      </c>
      <c r="BM20" s="66">
        <f t="shared" si="19"/>
        <v>0</v>
      </c>
      <c r="BO20" s="2" t="s">
        <v>747</v>
      </c>
      <c r="BP20" s="30" t="s">
        <v>93</v>
      </c>
      <c r="BQ20" s="66">
        <f t="shared" si="20"/>
        <v>4.7617331699778186E-2</v>
      </c>
      <c r="BR20" s="66">
        <f t="shared" si="21"/>
        <v>4.5084080122518917E-2</v>
      </c>
      <c r="BS20" s="66">
        <f t="shared" si="22"/>
        <v>4.7105721583561626E-2</v>
      </c>
      <c r="BT20" s="66">
        <f t="shared" si="23"/>
        <v>4.3791873515901587E-2</v>
      </c>
      <c r="BU20" s="66">
        <f t="shared" si="24"/>
        <v>4.0983123866788575E-2</v>
      </c>
      <c r="BV20" s="66">
        <f t="shared" si="25"/>
        <v>4.2507638114043032E-2</v>
      </c>
      <c r="BW20" s="66">
        <f t="shared" si="26"/>
        <v>4.0029596540835523E-2</v>
      </c>
      <c r="BX20" s="66">
        <f t="shared" si="27"/>
        <v>3.8469977134247081E-2</v>
      </c>
      <c r="BY20" s="66">
        <f t="shared" si="28"/>
        <v>3.7497101337249747E-2</v>
      </c>
      <c r="BZ20" s="66">
        <f t="shared" si="29"/>
        <v>3.6993822923816061E-2</v>
      </c>
      <c r="CB20" s="2" t="s">
        <v>747</v>
      </c>
      <c r="CC20" s="30" t="s">
        <v>93</v>
      </c>
      <c r="CD20" s="66">
        <f t="shared" si="65"/>
        <v>0.19918437073448503</v>
      </c>
      <c r="CE20" s="66">
        <f t="shared" si="66"/>
        <v>0.18554256339851946</v>
      </c>
      <c r="CF20" s="66">
        <f t="shared" si="67"/>
        <v>0.19591516220080452</v>
      </c>
      <c r="CG20" s="66">
        <f t="shared" si="68"/>
        <v>0.18820498587359535</v>
      </c>
      <c r="CH20" s="66">
        <f t="shared" si="69"/>
        <v>0.16965941094580983</v>
      </c>
      <c r="CI20" s="66">
        <f t="shared" si="70"/>
        <v>0.16850868711897965</v>
      </c>
      <c r="CJ20" s="66">
        <f t="shared" si="71"/>
        <v>0.15363663715973333</v>
      </c>
      <c r="CK20" s="66">
        <f t="shared" si="72"/>
        <v>0.15090446242942393</v>
      </c>
      <c r="CL20" s="66">
        <f t="shared" si="73"/>
        <v>0.15018033404366199</v>
      </c>
      <c r="CM20" s="66">
        <f t="shared" si="74"/>
        <v>0.14875272784884525</v>
      </c>
      <c r="CO20" s="2" t="s">
        <v>747</v>
      </c>
      <c r="CP20" s="30" t="s">
        <v>93</v>
      </c>
      <c r="CQ20" s="67">
        <f>F20</f>
        <v>26446</v>
      </c>
      <c r="CR20" s="67">
        <f>SUM(T20:V20)</f>
        <v>2660</v>
      </c>
      <c r="CS20" s="66">
        <f>CR20/CQ20</f>
        <v>0.10058231868713605</v>
      </c>
      <c r="CT20" s="66">
        <f>(I20/F20)^(1/3)-1</f>
        <v>3.2462239686585237E-2</v>
      </c>
    </row>
    <row r="21" spans="2:98">
      <c r="B21" s="2" t="s">
        <v>218</v>
      </c>
      <c r="C21" s="30" t="s">
        <v>253</v>
      </c>
      <c r="D21" s="67">
        <f>SUMIFS(Ships!$P:$P,Ships!$H:$H,'Ship Table'!$B21,Ships!$I:$I,"&lt;2017")</f>
        <v>3364</v>
      </c>
      <c r="E21" s="67">
        <f>SUMIFS(Ships!$P:$P,Ships!$H:$H,'Ship Table'!$B21,Ships!$I:$I,"&lt;2018")</f>
        <v>6728</v>
      </c>
      <c r="F21" s="67">
        <f>SUMIFS(Ships!$P:$P,Ships!$H:$H,'Ship Table'!$B21,Ships!$I:$I,"&lt;2019")</f>
        <v>6728</v>
      </c>
      <c r="G21" s="67">
        <f>SUMIFS(Ships!$P:$P,Ships!$H:$H,'Ship Table'!$B21,Ships!$I:$I,"&lt;2020")</f>
        <v>6728</v>
      </c>
      <c r="H21" s="67">
        <f>SUMIFS(Ships!$P:$P,Ships!$H:$H,'Ship Table'!$B21,Ships!$I:$I,"&lt;2021")</f>
        <v>11728</v>
      </c>
      <c r="I21" s="67">
        <f>SUMIFS(Ships!$P:$P,Ships!$H:$H,'Ship Table'!$B21,Ships!$I:$I,"&lt;2022")</f>
        <v>16728</v>
      </c>
      <c r="J21" s="67">
        <f>SUMIFS(Ships!$P:$P,Ships!$H:$H,'Ship Table'!$B21,Ships!$I:$I,"&lt;2023")</f>
        <v>16728</v>
      </c>
      <c r="K21" s="67">
        <f>SUMIFS(Ships!$P:$P,Ships!$H:$H,'Ship Table'!$B21,Ships!$I:$I,"&lt;2024")</f>
        <v>16728</v>
      </c>
      <c r="L21" s="67">
        <f>SUMIFS(Ships!$P:$P,Ships!$H:$H,'Ship Table'!$B21,Ships!$I:$I,"&lt;2025")</f>
        <v>16728</v>
      </c>
      <c r="M21" s="67">
        <f>SUMIFS(Ships!$P:$P,Ships!$H:$H,'Ship Table'!$B21,Ships!$I:$I,"&lt;2026")</f>
        <v>16728</v>
      </c>
      <c r="O21" s="2" t="s">
        <v>218</v>
      </c>
      <c r="P21" s="30" t="s">
        <v>253</v>
      </c>
      <c r="Q21" s="67"/>
      <c r="R21" s="67">
        <f t="shared" si="40"/>
        <v>3364</v>
      </c>
      <c r="S21" s="67">
        <f t="shared" si="41"/>
        <v>0</v>
      </c>
      <c r="T21" s="67">
        <f t="shared" si="42"/>
        <v>0</v>
      </c>
      <c r="U21" s="67">
        <f t="shared" si="43"/>
        <v>5000</v>
      </c>
      <c r="V21" s="67">
        <f t="shared" si="44"/>
        <v>5000</v>
      </c>
      <c r="W21" s="67">
        <f t="shared" si="45"/>
        <v>0</v>
      </c>
      <c r="X21" s="67">
        <f t="shared" si="46"/>
        <v>0</v>
      </c>
      <c r="Y21" s="67">
        <f t="shared" si="47"/>
        <v>0</v>
      </c>
      <c r="Z21" s="67">
        <f t="shared" si="48"/>
        <v>0</v>
      </c>
      <c r="AB21" s="2" t="s">
        <v>218</v>
      </c>
      <c r="AC21" s="30" t="s">
        <v>253</v>
      </c>
      <c r="AD21" s="66"/>
      <c r="AE21" s="66">
        <f t="shared" si="75"/>
        <v>1</v>
      </c>
      <c r="AF21" s="66">
        <f t="shared" si="76"/>
        <v>0</v>
      </c>
      <c r="AG21" s="66">
        <f t="shared" si="77"/>
        <v>0</v>
      </c>
      <c r="AH21" s="66">
        <f t="shared" si="78"/>
        <v>0.74316290130796669</v>
      </c>
      <c r="AI21" s="66">
        <f t="shared" si="79"/>
        <v>0.42633015006821284</v>
      </c>
      <c r="AJ21" s="66">
        <f t="shared" si="80"/>
        <v>0</v>
      </c>
      <c r="AK21" s="66">
        <f t="shared" si="81"/>
        <v>0</v>
      </c>
      <c r="AL21" s="66">
        <f t="shared" si="82"/>
        <v>0</v>
      </c>
      <c r="AM21" s="66">
        <f t="shared" si="83"/>
        <v>0</v>
      </c>
      <c r="AO21" s="2" t="s">
        <v>218</v>
      </c>
      <c r="AP21" s="30" t="s">
        <v>253</v>
      </c>
      <c r="AQ21" s="66"/>
      <c r="AR21" s="66">
        <f t="shared" si="2"/>
        <v>6.7344111594237711E-3</v>
      </c>
      <c r="AS21" s="66">
        <f t="shared" si="3"/>
        <v>0</v>
      </c>
      <c r="AT21" s="66">
        <f t="shared" si="4"/>
        <v>0</v>
      </c>
      <c r="AU21" s="66">
        <f t="shared" si="5"/>
        <v>8.2794890561713654E-3</v>
      </c>
      <c r="AV21" s="66">
        <f t="shared" si="6"/>
        <v>7.7484541833904132E-3</v>
      </c>
      <c r="AW21" s="66">
        <f t="shared" si="7"/>
        <v>0</v>
      </c>
      <c r="AX21" s="66">
        <f t="shared" si="8"/>
        <v>0</v>
      </c>
      <c r="AY21" s="66">
        <f t="shared" si="9"/>
        <v>0</v>
      </c>
      <c r="AZ21" s="66">
        <f t="shared" si="10"/>
        <v>0</v>
      </c>
      <c r="BB21" s="2" t="s">
        <v>218</v>
      </c>
      <c r="BC21" s="30" t="s">
        <v>253</v>
      </c>
      <c r="BD21" s="66"/>
      <c r="BE21" s="66">
        <f t="shared" si="11"/>
        <v>9.4259791642149031E-3</v>
      </c>
      <c r="BF21" s="66">
        <f t="shared" si="12"/>
        <v>0</v>
      </c>
      <c r="BG21" s="66">
        <f t="shared" si="13"/>
        <v>0</v>
      </c>
      <c r="BH21" s="66">
        <f t="shared" si="14"/>
        <v>1.1482585510814299E-2</v>
      </c>
      <c r="BI21" s="66">
        <f t="shared" si="15"/>
        <v>1.0896522265953598E-2</v>
      </c>
      <c r="BJ21" s="66">
        <f t="shared" si="16"/>
        <v>0</v>
      </c>
      <c r="BK21" s="66">
        <f t="shared" si="17"/>
        <v>0</v>
      </c>
      <c r="BL21" s="66">
        <f t="shared" si="18"/>
        <v>0</v>
      </c>
      <c r="BM21" s="66">
        <f t="shared" si="19"/>
        <v>0</v>
      </c>
      <c r="BO21" s="2" t="s">
        <v>218</v>
      </c>
      <c r="BP21" s="30" t="s">
        <v>253</v>
      </c>
      <c r="BQ21" s="66">
        <f t="shared" si="20"/>
        <v>6.7344111594237711E-3</v>
      </c>
      <c r="BR21" s="66">
        <f t="shared" si="21"/>
        <v>1.2752278275637234E-2</v>
      </c>
      <c r="BS21" s="66">
        <f t="shared" si="22"/>
        <v>1.1983940664531597E-2</v>
      </c>
      <c r="BT21" s="66">
        <f t="shared" si="23"/>
        <v>1.1140880473984189E-2</v>
      </c>
      <c r="BU21" s="66">
        <f t="shared" si="24"/>
        <v>1.8174774132560554E-2</v>
      </c>
      <c r="BV21" s="66">
        <f t="shared" si="25"/>
        <v>2.4430281398052353E-2</v>
      </c>
      <c r="BW21" s="66">
        <f t="shared" si="26"/>
        <v>2.3006084344640167E-2</v>
      </c>
      <c r="BX21" s="66">
        <f t="shared" si="27"/>
        <v>2.2109729179608507E-2</v>
      </c>
      <c r="BY21" s="66">
        <f t="shared" si="28"/>
        <v>2.1550591327201052E-2</v>
      </c>
      <c r="BZ21" s="66">
        <f t="shared" si="29"/>
        <v>2.1261343704720506E-2</v>
      </c>
      <c r="CB21" s="2" t="s">
        <v>218</v>
      </c>
      <c r="CC21" s="30" t="s">
        <v>253</v>
      </c>
      <c r="CD21" s="66">
        <f t="shared" si="65"/>
        <v>2.8170193523535177E-2</v>
      </c>
      <c r="CE21" s="66">
        <f t="shared" si="66"/>
        <v>5.2481727341513455E-2</v>
      </c>
      <c r="CF21" s="66">
        <f t="shared" si="67"/>
        <v>4.9841836621304272E-2</v>
      </c>
      <c r="CG21" s="66">
        <f t="shared" si="68"/>
        <v>4.7880327647188595E-2</v>
      </c>
      <c r="CH21" s="66">
        <f t="shared" si="69"/>
        <v>7.5238810087440738E-2</v>
      </c>
      <c r="CI21" s="66">
        <f t="shared" si="70"/>
        <v>9.6846468704950589E-2</v>
      </c>
      <c r="CJ21" s="66">
        <f t="shared" si="71"/>
        <v>8.8299102123549064E-2</v>
      </c>
      <c r="CK21" s="66">
        <f t="shared" si="72"/>
        <v>8.6728847918621718E-2</v>
      </c>
      <c r="CL21" s="66">
        <f t="shared" si="73"/>
        <v>8.6312671884916439E-2</v>
      </c>
      <c r="CM21" s="66">
        <f t="shared" si="74"/>
        <v>8.5492188258623064E-2</v>
      </c>
      <c r="CO21" s="2" t="s">
        <v>218</v>
      </c>
      <c r="CP21" s="30" t="s">
        <v>253</v>
      </c>
      <c r="CQ21" s="67">
        <f t="shared" si="58"/>
        <v>6728</v>
      </c>
      <c r="CR21" s="67">
        <f t="shared" si="59"/>
        <v>10000</v>
      </c>
      <c r="CS21" s="66">
        <f t="shared" si="60"/>
        <v>1.4863258026159334</v>
      </c>
      <c r="CT21" s="66">
        <f t="shared" si="61"/>
        <v>0.35472978414839273</v>
      </c>
    </row>
    <row r="22" spans="2:98">
      <c r="B22" s="2" t="s">
        <v>178</v>
      </c>
      <c r="C22" s="30" t="s">
        <v>254</v>
      </c>
      <c r="D22" s="67">
        <f>SUMIFS(Ships!$P:$P,Ships!$H:$H,'Ship Table'!$B22,Ships!$I:$I,"&lt;2017")</f>
        <v>8508</v>
      </c>
      <c r="E22" s="67">
        <f>SUMIFS(Ships!$P:$P,Ships!$H:$H,'Ship Table'!$B22,Ships!$I:$I,"&lt;2018")</f>
        <v>8508</v>
      </c>
      <c r="F22" s="67">
        <f>SUMIFS(Ships!$P:$P,Ships!$H:$H,'Ship Table'!$B22,Ships!$I:$I,"&lt;2019")</f>
        <v>8508</v>
      </c>
      <c r="G22" s="67">
        <f>SUMIFS(Ships!$P:$P,Ships!$H:$H,'Ship Table'!$B22,Ships!$I:$I,"&lt;2020")</f>
        <v>8508</v>
      </c>
      <c r="H22" s="67">
        <f>SUMIFS(Ships!$P:$P,Ships!$H:$H,'Ship Table'!$B22,Ships!$I:$I,"&lt;2021")</f>
        <v>8508</v>
      </c>
      <c r="I22" s="67">
        <f>SUMIFS(Ships!$P:$P,Ships!$H:$H,'Ship Table'!$B22,Ships!$I:$I,"&lt;2022")</f>
        <v>11008</v>
      </c>
      <c r="J22" s="67">
        <f>SUMIFS(Ships!$P:$P,Ships!$H:$H,'Ship Table'!$B22,Ships!$I:$I,"&lt;2023")</f>
        <v>13508</v>
      </c>
      <c r="K22" s="67">
        <f>SUMIFS(Ships!$P:$P,Ships!$H:$H,'Ship Table'!$B22,Ships!$I:$I,"&lt;2024")</f>
        <v>16008</v>
      </c>
      <c r="L22" s="67">
        <f>SUMIFS(Ships!$P:$P,Ships!$H:$H,'Ship Table'!$B22,Ships!$I:$I,"&lt;2025")</f>
        <v>16008</v>
      </c>
      <c r="M22" s="67">
        <f>SUMIFS(Ships!$P:$P,Ships!$H:$H,'Ship Table'!$B22,Ships!$I:$I,"&lt;2026")</f>
        <v>16008</v>
      </c>
      <c r="O22" s="2" t="s">
        <v>178</v>
      </c>
      <c r="P22" s="30" t="s">
        <v>254</v>
      </c>
      <c r="Q22" s="67"/>
      <c r="R22" s="67">
        <f t="shared" si="40"/>
        <v>0</v>
      </c>
      <c r="S22" s="67">
        <f t="shared" si="41"/>
        <v>0</v>
      </c>
      <c r="T22" s="67">
        <f t="shared" si="42"/>
        <v>0</v>
      </c>
      <c r="U22" s="67">
        <f t="shared" si="43"/>
        <v>0</v>
      </c>
      <c r="V22" s="67">
        <f t="shared" si="44"/>
        <v>2500</v>
      </c>
      <c r="W22" s="67">
        <f t="shared" si="45"/>
        <v>2500</v>
      </c>
      <c r="X22" s="67">
        <f t="shared" si="46"/>
        <v>2500</v>
      </c>
      <c r="Y22" s="67">
        <f t="shared" si="47"/>
        <v>0</v>
      </c>
      <c r="Z22" s="67">
        <f t="shared" si="48"/>
        <v>0</v>
      </c>
      <c r="AB22" s="2" t="s">
        <v>178</v>
      </c>
      <c r="AC22" s="30" t="s">
        <v>254</v>
      </c>
      <c r="AD22" s="66"/>
      <c r="AE22" s="66">
        <f t="shared" si="75"/>
        <v>0</v>
      </c>
      <c r="AF22" s="66">
        <f t="shared" si="76"/>
        <v>0</v>
      </c>
      <c r="AG22" s="66">
        <f t="shared" si="77"/>
        <v>0</v>
      </c>
      <c r="AH22" s="66">
        <f t="shared" si="78"/>
        <v>0</v>
      </c>
      <c r="AI22" s="66">
        <f t="shared" si="79"/>
        <v>0.29384109073812881</v>
      </c>
      <c r="AJ22" s="66">
        <f t="shared" si="80"/>
        <v>0.22710755813953487</v>
      </c>
      <c r="AK22" s="66">
        <f t="shared" si="81"/>
        <v>0.18507551080840984</v>
      </c>
      <c r="AL22" s="66">
        <f t="shared" si="82"/>
        <v>0</v>
      </c>
      <c r="AM22" s="66">
        <f t="shared" si="83"/>
        <v>0</v>
      </c>
      <c r="AO22" s="2" t="s">
        <v>178</v>
      </c>
      <c r="AP22" s="30" t="s">
        <v>254</v>
      </c>
      <c r="AQ22" s="66"/>
      <c r="AR22" s="66">
        <f t="shared" si="2"/>
        <v>0</v>
      </c>
      <c r="AS22" s="66">
        <f t="shared" si="3"/>
        <v>0</v>
      </c>
      <c r="AT22" s="66">
        <f t="shared" si="4"/>
        <v>0</v>
      </c>
      <c r="AU22" s="66">
        <f t="shared" si="5"/>
        <v>0</v>
      </c>
      <c r="AV22" s="66">
        <f t="shared" si="6"/>
        <v>3.8742270916952066E-3</v>
      </c>
      <c r="AW22" s="66">
        <f t="shared" si="7"/>
        <v>3.6511061391159066E-3</v>
      </c>
      <c r="AX22" s="66">
        <f t="shared" si="8"/>
        <v>3.4382598554280495E-3</v>
      </c>
      <c r="AY22" s="66">
        <f t="shared" si="9"/>
        <v>0</v>
      </c>
      <c r="AZ22" s="66">
        <f t="shared" si="10"/>
        <v>0</v>
      </c>
      <c r="BB22" s="2" t="s">
        <v>178</v>
      </c>
      <c r="BC22" s="30" t="s">
        <v>254</v>
      </c>
      <c r="BD22" s="66"/>
      <c r="BE22" s="66">
        <f t="shared" si="11"/>
        <v>0</v>
      </c>
      <c r="BF22" s="66">
        <f t="shared" si="12"/>
        <v>0</v>
      </c>
      <c r="BG22" s="66">
        <f t="shared" si="13"/>
        <v>0</v>
      </c>
      <c r="BH22" s="66">
        <f t="shared" si="14"/>
        <v>0</v>
      </c>
      <c r="BI22" s="66">
        <f t="shared" si="15"/>
        <v>5.4482611329767991E-3</v>
      </c>
      <c r="BJ22" s="66">
        <f t="shared" si="16"/>
        <v>5.2167888786407973E-3</v>
      </c>
      <c r="BK22" s="66">
        <f t="shared" si="17"/>
        <v>4.9689737280421047E-3</v>
      </c>
      <c r="BL22" s="66">
        <f t="shared" si="18"/>
        <v>0</v>
      </c>
      <c r="BM22" s="66">
        <f t="shared" si="19"/>
        <v>0</v>
      </c>
      <c r="BO22" s="2" t="s">
        <v>178</v>
      </c>
      <c r="BP22" s="30" t="s">
        <v>254</v>
      </c>
      <c r="BQ22" s="66">
        <f t="shared" si="20"/>
        <v>1.7032214668364284E-2</v>
      </c>
      <c r="BR22" s="66">
        <f t="shared" si="21"/>
        <v>1.6126097438930082E-2</v>
      </c>
      <c r="BS22" s="66">
        <f t="shared" si="22"/>
        <v>1.515448382488627E-2</v>
      </c>
      <c r="BT22" s="66">
        <f t="shared" si="23"/>
        <v>1.4088378577981196E-2</v>
      </c>
      <c r="BU22" s="66">
        <f t="shared" si="24"/>
        <v>1.3184769638457128E-2</v>
      </c>
      <c r="BV22" s="66">
        <f t="shared" si="25"/>
        <v>1.6076550551755161E-2</v>
      </c>
      <c r="BW22" s="66">
        <f t="shared" si="26"/>
        <v>1.8577605650848837E-2</v>
      </c>
      <c r="BX22" s="66">
        <f t="shared" si="27"/>
        <v>2.1158090907889344E-2</v>
      </c>
      <c r="BY22" s="66">
        <f t="shared" si="28"/>
        <v>2.062301924712066E-2</v>
      </c>
      <c r="BZ22" s="66">
        <f t="shared" si="29"/>
        <v>2.0346221307099826E-2</v>
      </c>
      <c r="CB22" s="2" t="s">
        <v>178</v>
      </c>
      <c r="CC22" s="30" t="s">
        <v>254</v>
      </c>
      <c r="CD22" s="66">
        <f t="shared" si="65"/>
        <v>7.124613748461274E-2</v>
      </c>
      <c r="CE22" s="66">
        <f t="shared" si="66"/>
        <v>6.6366607642924555E-2</v>
      </c>
      <c r="CF22" s="66">
        <f t="shared" si="67"/>
        <v>6.3028291613266466E-2</v>
      </c>
      <c r="CG22" s="66">
        <f t="shared" si="68"/>
        <v>6.0547834069899019E-2</v>
      </c>
      <c r="CH22" s="66">
        <f t="shared" si="69"/>
        <v>5.4581496949517888E-2</v>
      </c>
      <c r="CI22" s="66">
        <f t="shared" si="70"/>
        <v>6.373062694309517E-2</v>
      </c>
      <c r="CJ22" s="66">
        <f t="shared" si="71"/>
        <v>7.1302263957729609E-2</v>
      </c>
      <c r="CK22" s="66">
        <f t="shared" si="72"/>
        <v>8.2995898940775734E-2</v>
      </c>
      <c r="CL22" s="66">
        <f t="shared" si="73"/>
        <v>8.2597635792308846E-2</v>
      </c>
      <c r="CM22" s="66">
        <f t="shared" si="74"/>
        <v>8.1812467099715333E-2</v>
      </c>
      <c r="CO22" s="2" t="s">
        <v>178</v>
      </c>
      <c r="CP22" s="30" t="s">
        <v>254</v>
      </c>
      <c r="CQ22" s="67">
        <f t="shared" si="58"/>
        <v>8508</v>
      </c>
      <c r="CR22" s="67">
        <f t="shared" si="59"/>
        <v>2500</v>
      </c>
      <c r="CS22" s="66">
        <f t="shared" si="60"/>
        <v>0.29384109073812881</v>
      </c>
      <c r="CT22" s="66">
        <f t="shared" si="61"/>
        <v>8.9666618224121475E-2</v>
      </c>
    </row>
    <row r="23" spans="2:98">
      <c r="B23" s="2" t="s">
        <v>155</v>
      </c>
      <c r="C23" s="30" t="s">
        <v>93</v>
      </c>
      <c r="D23" s="67">
        <f>SUMIFS(Ships!$P:$P,Ships!$H:$H,'Ship Table'!$B23,Ships!$I:$I,"&lt;2017")</f>
        <v>6811</v>
      </c>
      <c r="E23" s="67">
        <f>SUMIFS(Ships!$P:$P,Ships!$H:$H,'Ship Table'!$B23,Ships!$I:$I,"&lt;2018")</f>
        <v>6811</v>
      </c>
      <c r="F23" s="67">
        <f>SUMIFS(Ships!$P:$P,Ships!$H:$H,'Ship Table'!$B23,Ships!$I:$I,"&lt;2019")</f>
        <v>6811</v>
      </c>
      <c r="G23" s="67">
        <f>SUMIFS(Ships!$P:$P,Ships!$H:$H,'Ship Table'!$B23,Ships!$I:$I,"&lt;2020")</f>
        <v>6811</v>
      </c>
      <c r="H23" s="67">
        <f>SUMIFS(Ships!$P:$P,Ships!$H:$H,'Ship Table'!$B23,Ships!$I:$I,"&lt;2021")</f>
        <v>6811</v>
      </c>
      <c r="I23" s="67">
        <f>SUMIFS(Ships!$P:$P,Ships!$H:$H,'Ship Table'!$B23,Ships!$I:$I,"&lt;2022")</f>
        <v>6811</v>
      </c>
      <c r="J23" s="67">
        <f>SUMIFS(Ships!$P:$P,Ships!$H:$H,'Ship Table'!$B23,Ships!$I:$I,"&lt;2023")</f>
        <v>9811</v>
      </c>
      <c r="K23" s="67">
        <f>SUMIFS(Ships!$P:$P,Ships!$H:$H,'Ship Table'!$B23,Ships!$I:$I,"&lt;2024")</f>
        <v>9811</v>
      </c>
      <c r="L23" s="67">
        <f>SUMIFS(Ships!$P:$P,Ships!$H:$H,'Ship Table'!$B23,Ships!$I:$I,"&lt;2025")</f>
        <v>9811</v>
      </c>
      <c r="M23" s="67">
        <f>SUMIFS(Ships!$P:$P,Ships!$H:$H,'Ship Table'!$B23,Ships!$I:$I,"&lt;2026")</f>
        <v>9811</v>
      </c>
      <c r="O23" s="2" t="s">
        <v>155</v>
      </c>
      <c r="P23" s="30" t="s">
        <v>93</v>
      </c>
      <c r="Q23" s="67"/>
      <c r="R23" s="67">
        <f t="shared" si="40"/>
        <v>0</v>
      </c>
      <c r="S23" s="67">
        <f t="shared" si="41"/>
        <v>0</v>
      </c>
      <c r="T23" s="67">
        <f t="shared" si="42"/>
        <v>0</v>
      </c>
      <c r="U23" s="67">
        <f t="shared" si="43"/>
        <v>0</v>
      </c>
      <c r="V23" s="67">
        <f t="shared" si="44"/>
        <v>0</v>
      </c>
      <c r="W23" s="67">
        <f t="shared" si="45"/>
        <v>3000</v>
      </c>
      <c r="X23" s="67">
        <f t="shared" si="46"/>
        <v>0</v>
      </c>
      <c r="Y23" s="67">
        <f t="shared" si="47"/>
        <v>0</v>
      </c>
      <c r="Z23" s="67">
        <f t="shared" si="48"/>
        <v>0</v>
      </c>
      <c r="AB23" s="2" t="s">
        <v>155</v>
      </c>
      <c r="AC23" s="30" t="s">
        <v>93</v>
      </c>
      <c r="AD23" s="66"/>
      <c r="AE23" s="66">
        <f t="shared" si="75"/>
        <v>0</v>
      </c>
      <c r="AF23" s="66">
        <f t="shared" si="76"/>
        <v>0</v>
      </c>
      <c r="AG23" s="66">
        <f t="shared" si="77"/>
        <v>0</v>
      </c>
      <c r="AH23" s="66">
        <f t="shared" si="78"/>
        <v>0</v>
      </c>
      <c r="AI23" s="66">
        <f t="shared" si="79"/>
        <v>0</v>
      </c>
      <c r="AJ23" s="66">
        <f t="shared" si="80"/>
        <v>0.44046395536631922</v>
      </c>
      <c r="AK23" s="66">
        <f t="shared" si="81"/>
        <v>0</v>
      </c>
      <c r="AL23" s="66">
        <f t="shared" si="82"/>
        <v>0</v>
      </c>
      <c r="AM23" s="66">
        <f t="shared" si="83"/>
        <v>0</v>
      </c>
      <c r="AO23" s="2" t="s">
        <v>155</v>
      </c>
      <c r="AP23" s="30" t="s">
        <v>93</v>
      </c>
      <c r="AQ23" s="66"/>
      <c r="AR23" s="66">
        <f t="shared" si="2"/>
        <v>0</v>
      </c>
      <c r="AS23" s="66">
        <f t="shared" si="3"/>
        <v>0</v>
      </c>
      <c r="AT23" s="66">
        <f t="shared" si="4"/>
        <v>0</v>
      </c>
      <c r="AU23" s="66">
        <f t="shared" si="5"/>
        <v>0</v>
      </c>
      <c r="AV23" s="66">
        <f t="shared" si="6"/>
        <v>0</v>
      </c>
      <c r="AW23" s="66">
        <f t="shared" si="7"/>
        <v>4.3813273669390876E-3</v>
      </c>
      <c r="AX23" s="66">
        <f t="shared" si="8"/>
        <v>0</v>
      </c>
      <c r="AY23" s="66">
        <f t="shared" si="9"/>
        <v>0</v>
      </c>
      <c r="AZ23" s="66">
        <f t="shared" si="10"/>
        <v>0</v>
      </c>
      <c r="BB23" s="2" t="s">
        <v>155</v>
      </c>
      <c r="BC23" s="30" t="s">
        <v>93</v>
      </c>
      <c r="BD23" s="66"/>
      <c r="BE23" s="66">
        <f t="shared" si="11"/>
        <v>0</v>
      </c>
      <c r="BF23" s="66">
        <f t="shared" si="12"/>
        <v>0</v>
      </c>
      <c r="BG23" s="66">
        <f t="shared" si="13"/>
        <v>0</v>
      </c>
      <c r="BH23" s="66">
        <f t="shared" si="14"/>
        <v>0</v>
      </c>
      <c r="BI23" s="66">
        <f t="shared" si="15"/>
        <v>0</v>
      </c>
      <c r="BJ23" s="66">
        <f t="shared" si="16"/>
        <v>6.260146654368956E-3</v>
      </c>
      <c r="BK23" s="66">
        <f t="shared" si="17"/>
        <v>0</v>
      </c>
      <c r="BL23" s="66">
        <f t="shared" si="18"/>
        <v>0</v>
      </c>
      <c r="BM23" s="66">
        <f t="shared" si="19"/>
        <v>0</v>
      </c>
      <c r="BO23" s="2" t="s">
        <v>155</v>
      </c>
      <c r="BP23" s="30" t="s">
        <v>93</v>
      </c>
      <c r="BQ23" s="66">
        <f t="shared" si="20"/>
        <v>1.3634980501437369E-2</v>
      </c>
      <c r="BR23" s="66">
        <f t="shared" si="21"/>
        <v>1.2909596809655947E-2</v>
      </c>
      <c r="BS23" s="66">
        <f t="shared" si="22"/>
        <v>1.2131780598413303E-2</v>
      </c>
      <c r="BT23" s="66">
        <f t="shared" si="23"/>
        <v>1.1278319992316634E-2</v>
      </c>
      <c r="BU23" s="66">
        <f t="shared" si="24"/>
        <v>1.0554944288614421E-2</v>
      </c>
      <c r="BV23" s="66">
        <f t="shared" si="25"/>
        <v>9.9470735654073762E-3</v>
      </c>
      <c r="BW23" s="66">
        <f t="shared" si="26"/>
        <v>1.3493106976641838E-2</v>
      </c>
      <c r="BX23" s="66">
        <f t="shared" si="27"/>
        <v>1.2967393171995401E-2</v>
      </c>
      <c r="BY23" s="66">
        <f t="shared" si="28"/>
        <v>1.2639457885650976E-2</v>
      </c>
      <c r="BZ23" s="66">
        <f t="shared" si="29"/>
        <v>1.2469813670911817E-2</v>
      </c>
      <c r="CB23" s="2" t="s">
        <v>155</v>
      </c>
      <c r="CC23" s="30" t="s">
        <v>93</v>
      </c>
      <c r="CD23" s="66">
        <f t="shared" si="65"/>
        <v>5.7035430466349013E-2</v>
      </c>
      <c r="CE23" s="66">
        <f t="shared" si="66"/>
        <v>5.312916838927588E-2</v>
      </c>
      <c r="CF23" s="66">
        <f t="shared" si="67"/>
        <v>5.0456710646210379E-2</v>
      </c>
      <c r="CG23" s="66">
        <f t="shared" si="68"/>
        <v>4.8471003508472284E-2</v>
      </c>
      <c r="CH23" s="66">
        <f t="shared" si="69"/>
        <v>4.36947080069542E-2</v>
      </c>
      <c r="CI23" s="66">
        <f t="shared" si="70"/>
        <v>3.9432167524475037E-2</v>
      </c>
      <c r="CJ23" s="66">
        <f t="shared" si="71"/>
        <v>5.1787571194054277E-2</v>
      </c>
      <c r="CK23" s="66">
        <f t="shared" si="72"/>
        <v>5.0866614474509658E-2</v>
      </c>
      <c r="CL23" s="66">
        <f t="shared" si="73"/>
        <v>5.0622526534129311E-2</v>
      </c>
      <c r="CM23" s="66">
        <f t="shared" si="74"/>
        <v>5.0141311513949724E-2</v>
      </c>
      <c r="CO23" s="2" t="s">
        <v>155</v>
      </c>
      <c r="CP23" s="30" t="s">
        <v>93</v>
      </c>
      <c r="CQ23" s="67">
        <f t="shared" si="58"/>
        <v>6811</v>
      </c>
      <c r="CR23" s="67">
        <f t="shared" si="59"/>
        <v>0</v>
      </c>
      <c r="CS23" s="66">
        <f t="shared" si="60"/>
        <v>0</v>
      </c>
      <c r="CT23" s="66">
        <f t="shared" si="61"/>
        <v>0</v>
      </c>
    </row>
    <row r="24" spans="2:98">
      <c r="B24" s="2" t="s">
        <v>317</v>
      </c>
      <c r="C24" s="30" t="s">
        <v>277</v>
      </c>
      <c r="D24" s="67">
        <f>SUMIFS(Ships!$P:$P,Ships!$H:$H,'Ship Table'!$B24,Ships!$I:$I,"&lt;2017")</f>
        <v>1856</v>
      </c>
      <c r="E24" s="67">
        <f>SUMIFS(Ships!$P:$P,Ships!$H:$H,'Ship Table'!$B24,Ships!$I:$I,"&lt;2018")</f>
        <v>3712</v>
      </c>
      <c r="F24" s="67">
        <f>SUMIFS(Ships!$P:$P,Ships!$H:$H,'Ship Table'!$B24,Ships!$I:$I,"&lt;2019")</f>
        <v>4642</v>
      </c>
      <c r="G24" s="67">
        <f>SUMIFS(Ships!$P:$P,Ships!$H:$H,'Ship Table'!$B24,Ships!$I:$I,"&lt;2020")</f>
        <v>5572</v>
      </c>
      <c r="H24" s="67">
        <f>SUMIFS(Ships!$P:$P,Ships!$H:$H,'Ship Table'!$B24,Ships!$I:$I,"&lt;2021")</f>
        <v>5572</v>
      </c>
      <c r="I24" s="67">
        <f>SUMIFS(Ships!$P:$P,Ships!$H:$H,'Ship Table'!$B24,Ships!$I:$I,"&lt;2022")</f>
        <v>6772</v>
      </c>
      <c r="J24" s="67">
        <f>SUMIFS(Ships!$P:$P,Ships!$H:$H,'Ship Table'!$B24,Ships!$I:$I,"&lt;2023")</f>
        <v>8902</v>
      </c>
      <c r="K24" s="67">
        <f>SUMIFS(Ships!$P:$P,Ships!$H:$H,'Ship Table'!$B24,Ships!$I:$I,"&lt;2024")</f>
        <v>9832</v>
      </c>
      <c r="L24" s="67">
        <f>SUMIFS(Ships!$P:$P,Ships!$H:$H,'Ship Table'!$B24,Ships!$I:$I,"&lt;2025")</f>
        <v>10762</v>
      </c>
      <c r="M24" s="67">
        <f>SUMIFS(Ships!$P:$P,Ships!$H:$H,'Ship Table'!$B24,Ships!$I:$I,"&lt;2026")</f>
        <v>12622</v>
      </c>
      <c r="O24" s="2" t="s">
        <v>317</v>
      </c>
      <c r="P24" s="30" t="s">
        <v>277</v>
      </c>
      <c r="Q24" s="67"/>
      <c r="R24" s="67">
        <f t="shared" si="40"/>
        <v>1856</v>
      </c>
      <c r="S24" s="67">
        <f t="shared" si="41"/>
        <v>930</v>
      </c>
      <c r="T24" s="67">
        <f t="shared" si="42"/>
        <v>930</v>
      </c>
      <c r="U24" s="67">
        <f t="shared" si="43"/>
        <v>0</v>
      </c>
      <c r="V24" s="67">
        <f t="shared" si="44"/>
        <v>1200</v>
      </c>
      <c r="W24" s="67">
        <f t="shared" si="45"/>
        <v>2130</v>
      </c>
      <c r="X24" s="67">
        <f t="shared" si="46"/>
        <v>930</v>
      </c>
      <c r="Y24" s="67">
        <f t="shared" si="47"/>
        <v>930</v>
      </c>
      <c r="Z24" s="67">
        <f t="shared" si="48"/>
        <v>1860</v>
      </c>
      <c r="AB24" s="2" t="s">
        <v>317</v>
      </c>
      <c r="AC24" s="30" t="s">
        <v>277</v>
      </c>
      <c r="AD24" s="66"/>
      <c r="AE24" s="66">
        <f t="shared" si="75"/>
        <v>1</v>
      </c>
      <c r="AF24" s="66">
        <f t="shared" si="76"/>
        <v>0.25053879310344829</v>
      </c>
      <c r="AG24" s="66">
        <f t="shared" si="77"/>
        <v>0.20034467901766481</v>
      </c>
      <c r="AH24" s="66">
        <f t="shared" si="78"/>
        <v>0</v>
      </c>
      <c r="AI24" s="66">
        <f t="shared" si="79"/>
        <v>0.21536252692031588</v>
      </c>
      <c r="AJ24" s="66">
        <f t="shared" si="80"/>
        <v>0.31453041937389248</v>
      </c>
      <c r="AK24" s="66">
        <f t="shared" si="81"/>
        <v>0.10447090541451359</v>
      </c>
      <c r="AL24" s="66">
        <f t="shared" si="82"/>
        <v>9.4589096826688368E-2</v>
      </c>
      <c r="AM24" s="66">
        <f t="shared" si="83"/>
        <v>0.17283032893514216</v>
      </c>
      <c r="AO24" s="2" t="s">
        <v>317</v>
      </c>
      <c r="AP24" s="30" t="s">
        <v>277</v>
      </c>
      <c r="AQ24" s="66"/>
      <c r="AR24" s="66">
        <f t="shared" si="2"/>
        <v>3.7155371914062187E-3</v>
      </c>
      <c r="AS24" s="66">
        <f t="shared" si="3"/>
        <v>1.7627257426192967E-3</v>
      </c>
      <c r="AT24" s="66">
        <f t="shared" si="4"/>
        <v>1.6565197410841833E-3</v>
      </c>
      <c r="AU24" s="66">
        <f t="shared" si="5"/>
        <v>0</v>
      </c>
      <c r="AV24" s="66">
        <f t="shared" si="6"/>
        <v>1.8596290040136993E-3</v>
      </c>
      <c r="AW24" s="66">
        <f t="shared" si="7"/>
        <v>3.1107424305267524E-3</v>
      </c>
      <c r="AX24" s="66">
        <f t="shared" si="8"/>
        <v>1.2790326662192346E-3</v>
      </c>
      <c r="AY24" s="66">
        <f t="shared" si="9"/>
        <v>1.2291994343039162E-3</v>
      </c>
      <c r="AZ24" s="66">
        <f t="shared" si="10"/>
        <v>2.3962278735410064E-3</v>
      </c>
      <c r="BB24" s="2" t="s">
        <v>317</v>
      </c>
      <c r="BC24" s="30" t="s">
        <v>277</v>
      </c>
      <c r="BD24" s="66"/>
      <c r="BE24" s="66">
        <f t="shared" si="11"/>
        <v>5.2005402285323606E-3</v>
      </c>
      <c r="BF24" s="66">
        <f t="shared" si="12"/>
        <v>2.4763811816332399E-3</v>
      </c>
      <c r="BG24" s="66">
        <f t="shared" si="13"/>
        <v>2.3172257077504971E-3</v>
      </c>
      <c r="BH24" s="66">
        <f t="shared" si="14"/>
        <v>0</v>
      </c>
      <c r="BI24" s="66">
        <f t="shared" si="15"/>
        <v>2.6151653438288634E-3</v>
      </c>
      <c r="BJ24" s="66">
        <f t="shared" si="16"/>
        <v>4.4447041246019588E-3</v>
      </c>
      <c r="BK24" s="66">
        <f t="shared" si="17"/>
        <v>1.8484582268316631E-3</v>
      </c>
      <c r="BL24" s="66">
        <f t="shared" si="18"/>
        <v>1.7574692442882249E-3</v>
      </c>
      <c r="BM24" s="66">
        <f t="shared" si="19"/>
        <v>3.3949659590778833E-3</v>
      </c>
      <c r="BO24" s="2" t="s">
        <v>317</v>
      </c>
      <c r="BP24" s="30" t="s">
        <v>277</v>
      </c>
      <c r="BQ24" s="66">
        <f t="shared" si="20"/>
        <v>3.7155371914062187E-3</v>
      </c>
      <c r="BR24" s="66">
        <f t="shared" si="21"/>
        <v>7.0357397382826122E-3</v>
      </c>
      <c r="BS24" s="66">
        <f t="shared" si="22"/>
        <v>8.2683490732395476E-3</v>
      </c>
      <c r="BT24" s="66">
        <f t="shared" si="23"/>
        <v>9.2266626041973693E-3</v>
      </c>
      <c r="BU24" s="66">
        <f t="shared" si="24"/>
        <v>8.6348773419702776E-3</v>
      </c>
      <c r="BV24" s="66">
        <f t="shared" si="25"/>
        <v>9.8901163096371675E-3</v>
      </c>
      <c r="BW24" s="66">
        <f t="shared" si="26"/>
        <v>1.2242955693208199E-2</v>
      </c>
      <c r="BX24" s="66">
        <f t="shared" si="27"/>
        <v>1.2995149288253877E-2</v>
      </c>
      <c r="BY24" s="66">
        <f t="shared" si="28"/>
        <v>1.386462600809049E-2</v>
      </c>
      <c r="BZ24" s="66">
        <f t="shared" si="29"/>
        <v>1.6042604031622564E-2</v>
      </c>
      <c r="CB24" s="2" t="s">
        <v>317</v>
      </c>
      <c r="CC24" s="30" t="s">
        <v>277</v>
      </c>
      <c r="CD24" s="66">
        <f t="shared" si="65"/>
        <v>1.5542175737122856E-2</v>
      </c>
      <c r="CE24" s="66">
        <f t="shared" si="66"/>
        <v>2.895543577462811E-2</v>
      </c>
      <c r="CF24" s="66">
        <f t="shared" si="67"/>
        <v>3.4388496670049708E-2</v>
      </c>
      <c r="CG24" s="66">
        <f t="shared" si="68"/>
        <v>3.9653565049068799E-2</v>
      </c>
      <c r="CH24" s="66">
        <f t="shared" si="69"/>
        <v>3.5746133169101281E-2</v>
      </c>
      <c r="CI24" s="66">
        <f t="shared" si="70"/>
        <v>3.9206377694280571E-2</v>
      </c>
      <c r="CJ24" s="66">
        <f t="shared" si="71"/>
        <v>4.6989395450970459E-2</v>
      </c>
      <c r="CK24" s="66">
        <f t="shared" si="72"/>
        <v>5.0975492153030169E-2</v>
      </c>
      <c r="CL24" s="66">
        <f t="shared" si="73"/>
        <v>5.5529470039781842E-2</v>
      </c>
      <c r="CM24" s="66">
        <f t="shared" si="74"/>
        <v>6.4507556205185335E-2</v>
      </c>
      <c r="CO24" s="2" t="s">
        <v>317</v>
      </c>
      <c r="CP24" s="30" t="s">
        <v>277</v>
      </c>
      <c r="CQ24" s="67">
        <f t="shared" si="58"/>
        <v>4642</v>
      </c>
      <c r="CR24" s="67">
        <f t="shared" si="59"/>
        <v>2130</v>
      </c>
      <c r="CS24" s="66">
        <f t="shared" si="60"/>
        <v>0.45885394226626453</v>
      </c>
      <c r="CT24" s="66">
        <f t="shared" si="61"/>
        <v>0.13415028026660414</v>
      </c>
    </row>
    <row r="25" spans="2:98">
      <c r="B25" s="2" t="s">
        <v>500</v>
      </c>
      <c r="C25" s="30" t="s">
        <v>500</v>
      </c>
      <c r="D25" s="67">
        <f>SUMIFS(Ships!$P:$P,Ships!$H:$H,'Ship Table'!$B25,Ships!$I:$I,"&lt;2017")</f>
        <v>0</v>
      </c>
      <c r="E25" s="67">
        <f>SUMIFS(Ships!$P:$P,Ships!$H:$H,'Ship Table'!$B25,Ships!$I:$I,"&lt;2018")</f>
        <v>0</v>
      </c>
      <c r="F25" s="67">
        <f>SUMIFS(Ships!$P:$P,Ships!$H:$H,'Ship Table'!$B25,Ships!$I:$I,"&lt;2019")</f>
        <v>0</v>
      </c>
      <c r="G25" s="67">
        <f>SUMIFS(Ships!$P:$P,Ships!$H:$H,'Ship Table'!$B25,Ships!$I:$I,"&lt;2020")</f>
        <v>0</v>
      </c>
      <c r="H25" s="67">
        <f>SUMIFS(Ships!$P:$P,Ships!$H:$H,'Ship Table'!$B25,Ships!$I:$I,"&lt;2021")</f>
        <v>2860</v>
      </c>
      <c r="I25" s="67">
        <f>SUMIFS(Ships!$P:$P,Ships!$H:$H,'Ship Table'!$B25,Ships!$I:$I,"&lt;2022")</f>
        <v>5720</v>
      </c>
      <c r="J25" s="67">
        <f>SUMIFS(Ships!$P:$P,Ships!$H:$H,'Ship Table'!$B25,Ships!$I:$I,"&lt;2023")</f>
        <v>8580</v>
      </c>
      <c r="K25" s="67">
        <f>SUMIFS(Ships!$P:$P,Ships!$H:$H,'Ship Table'!$B25,Ships!$I:$I,"&lt;2024")</f>
        <v>8580</v>
      </c>
      <c r="L25" s="67">
        <f>SUMIFS(Ships!$P:$P,Ships!$H:$H,'Ship Table'!$B25,Ships!$I:$I,"&lt;2025")</f>
        <v>8580</v>
      </c>
      <c r="M25" s="67">
        <f>SUMIFS(Ships!$P:$P,Ships!$H:$H,'Ship Table'!$B25,Ships!$I:$I,"&lt;2026")</f>
        <v>8580</v>
      </c>
      <c r="O25" s="2" t="s">
        <v>500</v>
      </c>
      <c r="P25" s="30" t="s">
        <v>500</v>
      </c>
      <c r="Q25" s="67"/>
      <c r="R25" s="67">
        <f t="shared" si="40"/>
        <v>0</v>
      </c>
      <c r="S25" s="67">
        <f t="shared" si="41"/>
        <v>0</v>
      </c>
      <c r="T25" s="67">
        <f t="shared" si="42"/>
        <v>0</v>
      </c>
      <c r="U25" s="67">
        <f t="shared" si="43"/>
        <v>2860</v>
      </c>
      <c r="V25" s="67">
        <f t="shared" si="44"/>
        <v>2860</v>
      </c>
      <c r="W25" s="67">
        <f t="shared" si="45"/>
        <v>2860</v>
      </c>
      <c r="X25" s="67">
        <f t="shared" si="46"/>
        <v>0</v>
      </c>
      <c r="Y25" s="67">
        <f t="shared" si="47"/>
        <v>0</v>
      </c>
      <c r="Z25" s="67">
        <f t="shared" si="48"/>
        <v>0</v>
      </c>
      <c r="AB25" s="2" t="s">
        <v>500</v>
      </c>
      <c r="AC25" s="30" t="s">
        <v>500</v>
      </c>
      <c r="AD25" s="66"/>
      <c r="AE25" s="66"/>
      <c r="AF25" s="66"/>
      <c r="AG25" s="66"/>
      <c r="AH25" s="66"/>
      <c r="AI25" s="66">
        <f t="shared" si="79"/>
        <v>1</v>
      </c>
      <c r="AJ25" s="66">
        <f t="shared" si="80"/>
        <v>0.5</v>
      </c>
      <c r="AK25" s="66">
        <f t="shared" si="81"/>
        <v>0</v>
      </c>
      <c r="AL25" s="66">
        <f t="shared" si="82"/>
        <v>0</v>
      </c>
      <c r="AM25" s="66">
        <f t="shared" si="83"/>
        <v>0</v>
      </c>
      <c r="AO25" s="2" t="s">
        <v>500</v>
      </c>
      <c r="AP25" s="30" t="s">
        <v>500</v>
      </c>
      <c r="AQ25" s="66"/>
      <c r="AR25" s="66">
        <f t="shared" si="2"/>
        <v>0</v>
      </c>
      <c r="AS25" s="66">
        <f t="shared" si="3"/>
        <v>0</v>
      </c>
      <c r="AT25" s="66">
        <f t="shared" si="4"/>
        <v>0</v>
      </c>
      <c r="AU25" s="66">
        <f t="shared" si="5"/>
        <v>4.735867740130021E-3</v>
      </c>
      <c r="AV25" s="66">
        <f t="shared" si="6"/>
        <v>4.4321157928993169E-3</v>
      </c>
      <c r="AW25" s="66">
        <f t="shared" si="7"/>
        <v>4.176865423148597E-3</v>
      </c>
      <c r="AX25" s="66">
        <f t="shared" si="8"/>
        <v>0</v>
      </c>
      <c r="AY25" s="66">
        <f t="shared" si="9"/>
        <v>0</v>
      </c>
      <c r="AZ25" s="66">
        <f t="shared" si="10"/>
        <v>0</v>
      </c>
      <c r="BB25" s="2" t="s">
        <v>500</v>
      </c>
      <c r="BC25" s="30" t="s">
        <v>500</v>
      </c>
      <c r="BD25" s="66"/>
      <c r="BE25" s="66">
        <f t="shared" si="11"/>
        <v>0</v>
      </c>
      <c r="BF25" s="66">
        <f t="shared" si="12"/>
        <v>0</v>
      </c>
      <c r="BG25" s="66">
        <f t="shared" si="13"/>
        <v>0</v>
      </c>
      <c r="BH25" s="66">
        <f t="shared" si="14"/>
        <v>6.5680389121857792E-3</v>
      </c>
      <c r="BI25" s="66">
        <f t="shared" si="15"/>
        <v>6.2328107361254584E-3</v>
      </c>
      <c r="BJ25" s="66">
        <f t="shared" si="16"/>
        <v>5.9680064771650719E-3</v>
      </c>
      <c r="BK25" s="66">
        <f t="shared" si="17"/>
        <v>0</v>
      </c>
      <c r="BL25" s="66">
        <f t="shared" si="18"/>
        <v>0</v>
      </c>
      <c r="BM25" s="66">
        <f t="shared" si="19"/>
        <v>0</v>
      </c>
      <c r="BO25" s="2" t="s">
        <v>500</v>
      </c>
      <c r="BP25" s="30" t="s">
        <v>500</v>
      </c>
      <c r="BQ25" s="66">
        <f t="shared" si="20"/>
        <v>0</v>
      </c>
      <c r="BR25" s="66">
        <f t="shared" si="21"/>
        <v>0</v>
      </c>
      <c r="BS25" s="66">
        <f t="shared" si="22"/>
        <v>0</v>
      </c>
      <c r="BT25" s="66">
        <f t="shared" si="23"/>
        <v>0</v>
      </c>
      <c r="BU25" s="66">
        <f t="shared" si="24"/>
        <v>4.4321157928993169E-3</v>
      </c>
      <c r="BV25" s="66">
        <f t="shared" si="25"/>
        <v>8.353730846297194E-3</v>
      </c>
      <c r="BW25" s="66">
        <f t="shared" si="26"/>
        <v>1.1800107823829066E-2</v>
      </c>
      <c r="BX25" s="66">
        <f t="shared" si="27"/>
        <v>1.1340356071320001E-2</v>
      </c>
      <c r="BY25" s="66">
        <f t="shared" si="28"/>
        <v>1.1053567287624643E-2</v>
      </c>
      <c r="BZ25" s="66">
        <f t="shared" si="29"/>
        <v>1.0905208571646457E-2</v>
      </c>
      <c r="CB25" s="2" t="s">
        <v>500</v>
      </c>
      <c r="CC25" s="30" t="s">
        <v>500</v>
      </c>
      <c r="CD25" s="66">
        <f t="shared" si="65"/>
        <v>0</v>
      </c>
      <c r="CE25" s="66">
        <f t="shared" si="66"/>
        <v>0</v>
      </c>
      <c r="CF25" s="66">
        <f t="shared" si="67"/>
        <v>0</v>
      </c>
      <c r="CG25" s="66">
        <f t="shared" si="68"/>
        <v>0</v>
      </c>
      <c r="CH25" s="66">
        <f t="shared" si="69"/>
        <v>1.834779986784452E-2</v>
      </c>
      <c r="CI25" s="66">
        <f t="shared" si="70"/>
        <v>3.3115841761855412E-2</v>
      </c>
      <c r="CJ25" s="66">
        <f t="shared" si="71"/>
        <v>4.528971163438851E-2</v>
      </c>
      <c r="CK25" s="66">
        <f t="shared" si="72"/>
        <v>4.4484308652664652E-2</v>
      </c>
      <c r="CL25" s="66">
        <f t="shared" si="73"/>
        <v>4.4270846770240499E-2</v>
      </c>
      <c r="CM25" s="66">
        <f t="shared" si="74"/>
        <v>4.3850010476983857E-2</v>
      </c>
      <c r="CO25" s="2" t="s">
        <v>500</v>
      </c>
      <c r="CP25" s="30" t="s">
        <v>500</v>
      </c>
      <c r="CQ25" s="67">
        <f t="shared" si="58"/>
        <v>0</v>
      </c>
      <c r="CR25" s="67">
        <f t="shared" si="59"/>
        <v>5720</v>
      </c>
      <c r="CS25" s="66"/>
      <c r="CT25" s="66"/>
    </row>
    <row r="26" spans="2:98">
      <c r="B26" s="2" t="s">
        <v>196</v>
      </c>
      <c r="C26" s="30" t="s">
        <v>63</v>
      </c>
      <c r="D26" s="67">
        <f>SUMIFS(Ships!$P:$P,Ships!$H:$H,'Ship Table'!$B26,Ships!$I:$I,"&lt;2017")</f>
        <v>4810</v>
      </c>
      <c r="E26" s="67">
        <f>SUMIFS(Ships!$P:$P,Ships!$H:$H,'Ship Table'!$B26,Ships!$I:$I,"&lt;2018")</f>
        <v>4810</v>
      </c>
      <c r="F26" s="67">
        <f>SUMIFS(Ships!$P:$P,Ships!$H:$H,'Ship Table'!$B26,Ships!$I:$I,"&lt;2019")</f>
        <v>4810</v>
      </c>
      <c r="G26" s="67">
        <f>SUMIFS(Ships!$P:$P,Ships!$H:$H,'Ship Table'!$B26,Ships!$I:$I,"&lt;2020")</f>
        <v>4810</v>
      </c>
      <c r="H26" s="67">
        <f>SUMIFS(Ships!$P:$P,Ships!$H:$H,'Ship Table'!$B26,Ships!$I:$I,"&lt;2021")</f>
        <v>4810</v>
      </c>
      <c r="I26" s="67">
        <f>SUMIFS(Ships!$P:$P,Ships!$H:$H,'Ship Table'!$B26,Ships!$I:$I,"&lt;2022")</f>
        <v>4810</v>
      </c>
      <c r="J26" s="67">
        <f>SUMIFS(Ships!$P:$P,Ships!$H:$H,'Ship Table'!$B26,Ships!$I:$I,"&lt;2023")</f>
        <v>4810</v>
      </c>
      <c r="K26" s="67">
        <f>SUMIFS(Ships!$P:$P,Ships!$H:$H,'Ship Table'!$B26,Ships!$I:$I,"&lt;2024")</f>
        <v>4810</v>
      </c>
      <c r="L26" s="67">
        <f>SUMIFS(Ships!$P:$P,Ships!$H:$H,'Ship Table'!$B26,Ships!$I:$I,"&lt;2025")</f>
        <v>4810</v>
      </c>
      <c r="M26" s="67">
        <f>SUMIFS(Ships!$P:$P,Ships!$H:$H,'Ship Table'!$B26,Ships!$I:$I,"&lt;2026")</f>
        <v>4810</v>
      </c>
      <c r="O26" s="2" t="s">
        <v>196</v>
      </c>
      <c r="P26" s="30" t="s">
        <v>63</v>
      </c>
      <c r="Q26" s="67"/>
      <c r="R26" s="67">
        <f t="shared" si="40"/>
        <v>0</v>
      </c>
      <c r="S26" s="67">
        <f t="shared" si="41"/>
        <v>0</v>
      </c>
      <c r="T26" s="67">
        <f t="shared" si="42"/>
        <v>0</v>
      </c>
      <c r="U26" s="67">
        <f t="shared" si="43"/>
        <v>0</v>
      </c>
      <c r="V26" s="67">
        <f t="shared" si="44"/>
        <v>0</v>
      </c>
      <c r="W26" s="67">
        <f t="shared" si="45"/>
        <v>0</v>
      </c>
      <c r="X26" s="67">
        <f t="shared" si="46"/>
        <v>0</v>
      </c>
      <c r="Y26" s="67">
        <f t="shared" si="47"/>
        <v>0</v>
      </c>
      <c r="Z26" s="67">
        <f t="shared" si="48"/>
        <v>0</v>
      </c>
      <c r="AB26" s="2" t="s">
        <v>196</v>
      </c>
      <c r="AC26" s="30" t="s">
        <v>63</v>
      </c>
      <c r="AD26" s="66"/>
      <c r="AE26" s="66">
        <f t="shared" si="75"/>
        <v>0</v>
      </c>
      <c r="AF26" s="66">
        <f t="shared" si="76"/>
        <v>0</v>
      </c>
      <c r="AG26" s="66">
        <f t="shared" si="77"/>
        <v>0</v>
      </c>
      <c r="AH26" s="66">
        <f t="shared" si="78"/>
        <v>0</v>
      </c>
      <c r="AI26" s="66">
        <f t="shared" si="79"/>
        <v>0</v>
      </c>
      <c r="AJ26" s="66">
        <f t="shared" si="80"/>
        <v>0</v>
      </c>
      <c r="AK26" s="66">
        <f t="shared" si="81"/>
        <v>0</v>
      </c>
      <c r="AL26" s="66">
        <f t="shared" si="82"/>
        <v>0</v>
      </c>
      <c r="AM26" s="66">
        <f t="shared" si="83"/>
        <v>0</v>
      </c>
      <c r="AO26" s="2" t="s">
        <v>196</v>
      </c>
      <c r="AP26" s="30" t="s">
        <v>63</v>
      </c>
      <c r="AQ26" s="66"/>
      <c r="AR26" s="66">
        <f t="shared" si="2"/>
        <v>0</v>
      </c>
      <c r="AS26" s="66">
        <f t="shared" si="3"/>
        <v>0</v>
      </c>
      <c r="AT26" s="66">
        <f t="shared" si="4"/>
        <v>0</v>
      </c>
      <c r="AU26" s="66">
        <f t="shared" si="5"/>
        <v>0</v>
      </c>
      <c r="AV26" s="66">
        <f t="shared" si="6"/>
        <v>0</v>
      </c>
      <c r="AW26" s="66">
        <f t="shared" si="7"/>
        <v>0</v>
      </c>
      <c r="AX26" s="66">
        <f t="shared" si="8"/>
        <v>0</v>
      </c>
      <c r="AY26" s="66">
        <f t="shared" si="9"/>
        <v>0</v>
      </c>
      <c r="AZ26" s="66">
        <f t="shared" si="10"/>
        <v>0</v>
      </c>
      <c r="BB26" s="2" t="s">
        <v>196</v>
      </c>
      <c r="BC26" s="30" t="s">
        <v>63</v>
      </c>
      <c r="BD26" s="66"/>
      <c r="BE26" s="66">
        <f t="shared" si="11"/>
        <v>0</v>
      </c>
      <c r="BF26" s="66">
        <f t="shared" si="12"/>
        <v>0</v>
      </c>
      <c r="BG26" s="66">
        <f t="shared" si="13"/>
        <v>0</v>
      </c>
      <c r="BH26" s="66">
        <f t="shared" si="14"/>
        <v>0</v>
      </c>
      <c r="BI26" s="66">
        <f t="shared" si="15"/>
        <v>0</v>
      </c>
      <c r="BJ26" s="66">
        <f t="shared" si="16"/>
        <v>0</v>
      </c>
      <c r="BK26" s="66">
        <f t="shared" si="17"/>
        <v>0</v>
      </c>
      <c r="BL26" s="66">
        <f t="shared" si="18"/>
        <v>0</v>
      </c>
      <c r="BM26" s="66">
        <f t="shared" si="19"/>
        <v>0</v>
      </c>
      <c r="BO26" s="2" t="s">
        <v>196</v>
      </c>
      <c r="BP26" s="30" t="s">
        <v>63</v>
      </c>
      <c r="BQ26" s="66">
        <f t="shared" si="20"/>
        <v>9.6291669669525386E-3</v>
      </c>
      <c r="BR26" s="66">
        <f t="shared" si="21"/>
        <v>9.1168933569879748E-3</v>
      </c>
      <c r="BS26" s="66">
        <f t="shared" si="22"/>
        <v>8.5675913490483036E-3</v>
      </c>
      <c r="BT26" s="66">
        <f t="shared" si="23"/>
        <v>7.964868472036854E-3</v>
      </c>
      <c r="BU26" s="66">
        <f t="shared" si="24"/>
        <v>7.4540129244215778E-3</v>
      </c>
      <c r="BV26" s="66">
        <f t="shared" si="25"/>
        <v>7.0247282116590046E-3</v>
      </c>
      <c r="BW26" s="66">
        <f t="shared" si="26"/>
        <v>6.6152119618435676E-3</v>
      </c>
      <c r="BX26" s="66">
        <f t="shared" si="27"/>
        <v>6.3574723430127279E-3</v>
      </c>
      <c r="BY26" s="66">
        <f t="shared" si="28"/>
        <v>6.1966968127592694E-3</v>
      </c>
      <c r="BZ26" s="66">
        <f t="shared" si="29"/>
        <v>6.1135260174381657E-3</v>
      </c>
      <c r="CB26" s="2" t="s">
        <v>196</v>
      </c>
      <c r="CC26" s="30" t="s">
        <v>63</v>
      </c>
      <c r="CD26" s="66">
        <f t="shared" si="65"/>
        <v>4.0279022249763437E-2</v>
      </c>
      <c r="CE26" s="66">
        <f t="shared" si="66"/>
        <v>3.7520378792015412E-2</v>
      </c>
      <c r="CF26" s="66">
        <f t="shared" si="67"/>
        <v>3.5633060961425912E-2</v>
      </c>
      <c r="CG26" s="66">
        <f t="shared" si="68"/>
        <v>3.4230733647886022E-2</v>
      </c>
      <c r="CH26" s="66">
        <f t="shared" si="69"/>
        <v>3.0857663414102145E-2</v>
      </c>
      <c r="CI26" s="66">
        <f t="shared" si="70"/>
        <v>2.7847412390651142E-2</v>
      </c>
      <c r="CJ26" s="66">
        <f t="shared" si="71"/>
        <v>2.5389686825339014E-2</v>
      </c>
      <c r="CK26" s="66">
        <f t="shared" si="72"/>
        <v>2.4938173032554425E-2</v>
      </c>
      <c r="CL26" s="66">
        <f t="shared" si="73"/>
        <v>2.4818505007559066E-2</v>
      </c>
      <c r="CM26" s="66">
        <f t="shared" si="74"/>
        <v>2.4582581631036403E-2</v>
      </c>
      <c r="CO26" s="2" t="s">
        <v>196</v>
      </c>
      <c r="CP26" s="30" t="s">
        <v>63</v>
      </c>
      <c r="CQ26" s="67">
        <f t="shared" si="58"/>
        <v>4810</v>
      </c>
      <c r="CR26" s="67">
        <f t="shared" si="59"/>
        <v>0</v>
      </c>
      <c r="CS26" s="66">
        <f t="shared" si="60"/>
        <v>0</v>
      </c>
      <c r="CT26" s="66">
        <f t="shared" si="61"/>
        <v>0</v>
      </c>
    </row>
    <row r="27" spans="2:98">
      <c r="B27" s="2" t="s">
        <v>420</v>
      </c>
      <c r="C27" s="30" t="s">
        <v>277</v>
      </c>
      <c r="D27" s="67">
        <f>SUMIFS(Ships!$P:$P,Ships!$H:$H,'Ship Table'!$B27,Ships!$I:$I,"&lt;2017")</f>
        <v>1254</v>
      </c>
      <c r="E27" s="67">
        <f>SUMIFS(Ships!$P:$P,Ships!$H:$H,'Ship Table'!$B27,Ships!$I:$I,"&lt;2018")</f>
        <v>1254</v>
      </c>
      <c r="F27" s="67">
        <f>SUMIFS(Ships!$P:$P,Ships!$H:$H,'Ship Table'!$B27,Ships!$I:$I,"&lt;2019")</f>
        <v>1254</v>
      </c>
      <c r="G27" s="67">
        <f>SUMIFS(Ships!$P:$P,Ships!$H:$H,'Ship Table'!$B27,Ships!$I:$I,"&lt;2020")</f>
        <v>2254</v>
      </c>
      <c r="H27" s="67">
        <f>SUMIFS(Ships!$P:$P,Ships!$H:$H,'Ship Table'!$B27,Ships!$I:$I,"&lt;2021")</f>
        <v>3254</v>
      </c>
      <c r="I27" s="67">
        <f>SUMIFS(Ships!$P:$P,Ships!$H:$H,'Ship Table'!$B27,Ships!$I:$I,"&lt;2022")</f>
        <v>3254</v>
      </c>
      <c r="J27" s="67">
        <f>SUMIFS(Ships!$P:$P,Ships!$H:$H,'Ship Table'!$B27,Ships!$I:$I,"&lt;2023")</f>
        <v>3254</v>
      </c>
      <c r="K27" s="67">
        <f>SUMIFS(Ships!$P:$P,Ships!$H:$H,'Ship Table'!$B27,Ships!$I:$I,"&lt;2024")</f>
        <v>3254</v>
      </c>
      <c r="L27" s="67">
        <f>SUMIFS(Ships!$P:$P,Ships!$H:$H,'Ship Table'!$B27,Ships!$I:$I,"&lt;2025")</f>
        <v>3254</v>
      </c>
      <c r="M27" s="67">
        <f>SUMIFS(Ships!$P:$P,Ships!$H:$H,'Ship Table'!$B27,Ships!$I:$I,"&lt;2026")</f>
        <v>3254</v>
      </c>
      <c r="O27" s="2" t="s">
        <v>420</v>
      </c>
      <c r="P27" s="30" t="s">
        <v>277</v>
      </c>
      <c r="Q27" s="67"/>
      <c r="R27" s="67">
        <f t="shared" si="40"/>
        <v>0</v>
      </c>
      <c r="S27" s="67">
        <f t="shared" si="41"/>
        <v>0</v>
      </c>
      <c r="T27" s="67">
        <f t="shared" si="42"/>
        <v>1000</v>
      </c>
      <c r="U27" s="67">
        <f t="shared" si="43"/>
        <v>1000</v>
      </c>
      <c r="V27" s="67">
        <f t="shared" si="44"/>
        <v>0</v>
      </c>
      <c r="W27" s="67">
        <f t="shared" si="45"/>
        <v>0</v>
      </c>
      <c r="X27" s="67">
        <f t="shared" si="46"/>
        <v>0</v>
      </c>
      <c r="Y27" s="67">
        <f t="shared" si="47"/>
        <v>0</v>
      </c>
      <c r="Z27" s="67">
        <f t="shared" si="48"/>
        <v>0</v>
      </c>
      <c r="AB27" s="2" t="s">
        <v>420</v>
      </c>
      <c r="AC27" s="30" t="s">
        <v>277</v>
      </c>
      <c r="AD27" s="66"/>
      <c r="AE27" s="66">
        <f t="shared" si="75"/>
        <v>0</v>
      </c>
      <c r="AF27" s="66">
        <f t="shared" si="76"/>
        <v>0</v>
      </c>
      <c r="AG27" s="66">
        <f t="shared" si="77"/>
        <v>0.79744816586921852</v>
      </c>
      <c r="AH27" s="66">
        <f t="shared" si="78"/>
        <v>0.44365572315882873</v>
      </c>
      <c r="AI27" s="66">
        <f t="shared" si="79"/>
        <v>0</v>
      </c>
      <c r="AJ27" s="66">
        <f t="shared" si="80"/>
        <v>0</v>
      </c>
      <c r="AK27" s="66">
        <f t="shared" si="81"/>
        <v>0</v>
      </c>
      <c r="AL27" s="66">
        <f t="shared" si="82"/>
        <v>0</v>
      </c>
      <c r="AM27" s="66">
        <f t="shared" si="83"/>
        <v>0</v>
      </c>
      <c r="AO27" s="2" t="s">
        <v>420</v>
      </c>
      <c r="AP27" s="30" t="s">
        <v>277</v>
      </c>
      <c r="AQ27" s="66"/>
      <c r="AR27" s="66">
        <f t="shared" si="2"/>
        <v>0</v>
      </c>
      <c r="AS27" s="66">
        <f t="shared" si="3"/>
        <v>0</v>
      </c>
      <c r="AT27" s="66">
        <f t="shared" si="4"/>
        <v>1.7812040226711648E-3</v>
      </c>
      <c r="AU27" s="66">
        <f t="shared" si="5"/>
        <v>1.655897811234273E-3</v>
      </c>
      <c r="AV27" s="66">
        <f t="shared" si="6"/>
        <v>0</v>
      </c>
      <c r="AW27" s="66">
        <f t="shared" si="7"/>
        <v>0</v>
      </c>
      <c r="AX27" s="66">
        <f t="shared" si="8"/>
        <v>0</v>
      </c>
      <c r="AY27" s="66">
        <f t="shared" si="9"/>
        <v>0</v>
      </c>
      <c r="AZ27" s="66">
        <f t="shared" si="10"/>
        <v>0</v>
      </c>
      <c r="BB27" s="2" t="s">
        <v>420</v>
      </c>
      <c r="BC27" s="30" t="s">
        <v>277</v>
      </c>
      <c r="BD27" s="66"/>
      <c r="BE27" s="66">
        <f t="shared" si="11"/>
        <v>0</v>
      </c>
      <c r="BF27" s="66">
        <f t="shared" si="12"/>
        <v>0</v>
      </c>
      <c r="BG27" s="66">
        <f t="shared" si="13"/>
        <v>2.4916405459682765E-3</v>
      </c>
      <c r="BH27" s="66">
        <f t="shared" si="14"/>
        <v>2.2965171021628599E-3</v>
      </c>
      <c r="BI27" s="66">
        <f t="shared" si="15"/>
        <v>0</v>
      </c>
      <c r="BJ27" s="66">
        <f t="shared" si="16"/>
        <v>0</v>
      </c>
      <c r="BK27" s="66">
        <f t="shared" si="17"/>
        <v>0</v>
      </c>
      <c r="BL27" s="66">
        <f t="shared" si="18"/>
        <v>0</v>
      </c>
      <c r="BM27" s="66">
        <f t="shared" si="19"/>
        <v>0</v>
      </c>
      <c r="BO27" s="2" t="s">
        <v>420</v>
      </c>
      <c r="BP27" s="30" t="s">
        <v>277</v>
      </c>
      <c r="BQ27" s="66">
        <f t="shared" si="20"/>
        <v>2.5103898911764001E-3</v>
      </c>
      <c r="BR27" s="66">
        <f t="shared" si="21"/>
        <v>2.3768366464995676E-3</v>
      </c>
      <c r="BS27" s="66">
        <f t="shared" si="22"/>
        <v>2.2336298444296408E-3</v>
      </c>
      <c r="BT27" s="66">
        <f t="shared" si="23"/>
        <v>3.7323936665220516E-3</v>
      </c>
      <c r="BU27" s="66">
        <f t="shared" si="24"/>
        <v>5.0426939825504811E-3</v>
      </c>
      <c r="BV27" s="66">
        <f t="shared" si="25"/>
        <v>4.7522797506732639E-3</v>
      </c>
      <c r="BW27" s="66">
        <f t="shared" si="26"/>
        <v>4.4752390278251491E-3</v>
      </c>
      <c r="BX27" s="66">
        <f t="shared" si="27"/>
        <v>4.3008763002418751E-3</v>
      </c>
      <c r="BY27" s="66">
        <f t="shared" si="28"/>
        <v>4.1921104841410942E-3</v>
      </c>
      <c r="BZ27" s="66">
        <f t="shared" si="29"/>
        <v>4.13584483591347E-3</v>
      </c>
      <c r="CB27" s="2" t="s">
        <v>420</v>
      </c>
      <c r="CC27" s="30" t="s">
        <v>277</v>
      </c>
      <c r="CD27" s="66">
        <f t="shared" si="65"/>
        <v>1.0501017443077619E-2</v>
      </c>
      <c r="CE27" s="66">
        <f t="shared" si="66"/>
        <v>9.7818201673986124E-3</v>
      </c>
      <c r="CF27" s="66">
        <f t="shared" si="67"/>
        <v>9.2897834606295426E-3</v>
      </c>
      <c r="CG27" s="66">
        <f t="shared" si="68"/>
        <v>1.6040763751005216E-2</v>
      </c>
      <c r="CH27" s="66">
        <f t="shared" si="69"/>
        <v>2.087543383565247E-2</v>
      </c>
      <c r="CI27" s="66">
        <f t="shared" si="70"/>
        <v>1.8838977114174392E-2</v>
      </c>
      <c r="CJ27" s="66">
        <f t="shared" si="71"/>
        <v>1.7176307885582776E-2</v>
      </c>
      <c r="CK27" s="66">
        <f t="shared" si="72"/>
        <v>1.6870855519320604E-2</v>
      </c>
      <c r="CL27" s="66">
        <f t="shared" si="73"/>
        <v>1.6789899229645987E-2</v>
      </c>
      <c r="CM27" s="66">
        <f t="shared" si="74"/>
        <v>1.6630295348730239E-2</v>
      </c>
      <c r="CO27" s="2" t="s">
        <v>420</v>
      </c>
      <c r="CP27" s="30" t="s">
        <v>277</v>
      </c>
      <c r="CQ27" s="67">
        <f t="shared" si="58"/>
        <v>1254</v>
      </c>
      <c r="CR27" s="67">
        <f t="shared" si="59"/>
        <v>2000</v>
      </c>
      <c r="CS27" s="66">
        <f t="shared" si="60"/>
        <v>1.594896331738437</v>
      </c>
      <c r="CT27" s="66">
        <f t="shared" si="61"/>
        <v>0.3741685475519807</v>
      </c>
    </row>
    <row r="28" spans="2:98">
      <c r="B28" s="2" t="s">
        <v>797</v>
      </c>
      <c r="C28" s="30" t="s">
        <v>45</v>
      </c>
      <c r="D28" s="67">
        <f>SUMIFS(Ships!$P:$P,Ships!$H:$H,'Ship Table'!$B28,Ships!$I:$I,"&lt;2017")</f>
        <v>2130</v>
      </c>
      <c r="E28" s="67">
        <f>SUMIFS(Ships!$P:$P,Ships!$H:$H,'Ship Table'!$B28,Ships!$I:$I,"&lt;2018")</f>
        <v>2130</v>
      </c>
      <c r="F28" s="67">
        <f>SUMIFS(Ships!$P:$P,Ships!$H:$H,'Ship Table'!$B28,Ships!$I:$I,"&lt;2019")</f>
        <v>2130</v>
      </c>
      <c r="G28" s="67">
        <f>SUMIFS(Ships!$P:$P,Ships!$H:$H,'Ship Table'!$B28,Ships!$I:$I,"&lt;2020")</f>
        <v>2130</v>
      </c>
      <c r="H28" s="67">
        <f>SUMIFS(Ships!$P:$P,Ships!$H:$H,'Ship Table'!$B28,Ships!$I:$I,"&lt;2021")</f>
        <v>2130</v>
      </c>
      <c r="I28" s="67">
        <f>SUMIFS(Ships!$P:$P,Ships!$H:$H,'Ship Table'!$B28,Ships!$I:$I,"&lt;2022")</f>
        <v>2130</v>
      </c>
      <c r="J28" s="67">
        <f>SUMIFS(Ships!$P:$P,Ships!$H:$H,'Ship Table'!$B28,Ships!$I:$I,"&lt;2023")</f>
        <v>2130</v>
      </c>
      <c r="K28" s="67">
        <f>SUMIFS(Ships!$P:$P,Ships!$H:$H,'Ship Table'!$B28,Ships!$I:$I,"&lt;2024")</f>
        <v>2130</v>
      </c>
      <c r="L28" s="67">
        <f>SUMIFS(Ships!$P:$P,Ships!$H:$H,'Ship Table'!$B28,Ships!$I:$I,"&lt;2025")</f>
        <v>2130</v>
      </c>
      <c r="M28" s="67">
        <f>SUMIFS(Ships!$P:$P,Ships!$H:$H,'Ship Table'!$B28,Ships!$I:$I,"&lt;2026")</f>
        <v>2130</v>
      </c>
      <c r="O28" s="2" t="s">
        <v>797</v>
      </c>
      <c r="P28" s="30" t="s">
        <v>45</v>
      </c>
      <c r="Q28" s="67"/>
      <c r="R28" s="67">
        <f t="shared" si="40"/>
        <v>0</v>
      </c>
      <c r="S28" s="67">
        <f t="shared" si="41"/>
        <v>0</v>
      </c>
      <c r="T28" s="67">
        <f t="shared" si="42"/>
        <v>0</v>
      </c>
      <c r="U28" s="67">
        <f t="shared" si="43"/>
        <v>0</v>
      </c>
      <c r="V28" s="67">
        <f t="shared" si="44"/>
        <v>0</v>
      </c>
      <c r="W28" s="67">
        <f t="shared" si="45"/>
        <v>0</v>
      </c>
      <c r="X28" s="67">
        <f t="shared" si="46"/>
        <v>0</v>
      </c>
      <c r="Y28" s="67">
        <f t="shared" si="47"/>
        <v>0</v>
      </c>
      <c r="Z28" s="67">
        <f t="shared" si="48"/>
        <v>0</v>
      </c>
      <c r="AB28" s="2" t="s">
        <v>797</v>
      </c>
      <c r="AC28" s="30" t="s">
        <v>45</v>
      </c>
      <c r="AD28" s="66"/>
      <c r="AE28" s="66">
        <f t="shared" si="75"/>
        <v>0</v>
      </c>
      <c r="AF28" s="66">
        <f t="shared" si="76"/>
        <v>0</v>
      </c>
      <c r="AG28" s="66">
        <f t="shared" si="77"/>
        <v>0</v>
      </c>
      <c r="AH28" s="66">
        <f t="shared" si="78"/>
        <v>0</v>
      </c>
      <c r="AI28" s="66">
        <f t="shared" si="79"/>
        <v>0</v>
      </c>
      <c r="AJ28" s="66">
        <f t="shared" si="80"/>
        <v>0</v>
      </c>
      <c r="AK28" s="66">
        <f t="shared" si="81"/>
        <v>0</v>
      </c>
      <c r="AL28" s="66">
        <f t="shared" si="82"/>
        <v>0</v>
      </c>
      <c r="AM28" s="66">
        <f t="shared" si="83"/>
        <v>0</v>
      </c>
      <c r="AO28" s="2" t="s">
        <v>797</v>
      </c>
      <c r="AP28" s="30" t="s">
        <v>45</v>
      </c>
      <c r="AQ28" s="66"/>
      <c r="AR28" s="66">
        <f t="shared" si="2"/>
        <v>0</v>
      </c>
      <c r="AS28" s="66">
        <f t="shared" si="3"/>
        <v>0</v>
      </c>
      <c r="AT28" s="66">
        <f t="shared" si="4"/>
        <v>0</v>
      </c>
      <c r="AU28" s="66">
        <f t="shared" si="5"/>
        <v>0</v>
      </c>
      <c r="AV28" s="66">
        <f t="shared" si="6"/>
        <v>0</v>
      </c>
      <c r="AW28" s="66">
        <f t="shared" si="7"/>
        <v>0</v>
      </c>
      <c r="AX28" s="66">
        <f t="shared" si="8"/>
        <v>0</v>
      </c>
      <c r="AY28" s="66">
        <f t="shared" si="9"/>
        <v>0</v>
      </c>
      <c r="AZ28" s="66">
        <f t="shared" si="10"/>
        <v>0</v>
      </c>
      <c r="BB28" s="2" t="s">
        <v>797</v>
      </c>
      <c r="BC28" s="30" t="s">
        <v>45</v>
      </c>
      <c r="BD28" s="66"/>
      <c r="BE28" s="66">
        <f t="shared" si="11"/>
        <v>0</v>
      </c>
      <c r="BF28" s="66">
        <f t="shared" si="12"/>
        <v>0</v>
      </c>
      <c r="BG28" s="66">
        <f t="shared" si="13"/>
        <v>0</v>
      </c>
      <c r="BH28" s="66">
        <f t="shared" si="14"/>
        <v>0</v>
      </c>
      <c r="BI28" s="66">
        <f t="shared" si="15"/>
        <v>0</v>
      </c>
      <c r="BJ28" s="66">
        <f t="shared" si="16"/>
        <v>0</v>
      </c>
      <c r="BK28" s="66">
        <f t="shared" si="17"/>
        <v>0</v>
      </c>
      <c r="BL28" s="66">
        <f t="shared" si="18"/>
        <v>0</v>
      </c>
      <c r="BM28" s="66">
        <f t="shared" si="19"/>
        <v>0</v>
      </c>
      <c r="BO28" s="2" t="s">
        <v>797</v>
      </c>
      <c r="BP28" s="30" t="s">
        <v>45</v>
      </c>
      <c r="BQ28" s="66">
        <f t="shared" si="20"/>
        <v>4.2640593845340762E-3</v>
      </c>
      <c r="BR28" s="66">
        <f t="shared" si="21"/>
        <v>4.0372105718054861E-3</v>
      </c>
      <c r="BS28" s="66">
        <f t="shared" si="22"/>
        <v>3.7939645682895811E-3</v>
      </c>
      <c r="BT28" s="66">
        <f t="shared" si="23"/>
        <v>3.5270623379290017E-3</v>
      </c>
      <c r="BU28" s="66">
        <f t="shared" si="24"/>
        <v>3.3008414821243163E-3</v>
      </c>
      <c r="BV28" s="66">
        <f t="shared" si="25"/>
        <v>3.1107424305267524E-3</v>
      </c>
      <c r="BW28" s="66">
        <f t="shared" si="26"/>
        <v>2.9293973968246984E-3</v>
      </c>
      <c r="BX28" s="66">
        <f t="shared" si="27"/>
        <v>2.8152632205025179E-3</v>
      </c>
      <c r="BY28" s="66">
        <f t="shared" si="28"/>
        <v>2.7440674035711524E-3</v>
      </c>
      <c r="BZ28" s="66">
        <f t="shared" si="29"/>
        <v>2.7072370929611834E-3</v>
      </c>
      <c r="CB28" s="2" t="s">
        <v>797</v>
      </c>
      <c r="CC28" s="30" t="s">
        <v>45</v>
      </c>
      <c r="CD28" s="66">
        <f t="shared" si="65"/>
        <v>1.7836656422452416E-2</v>
      </c>
      <c r="CE28" s="66">
        <f t="shared" si="66"/>
        <v>1.6615053394385203E-2</v>
      </c>
      <c r="CF28" s="66">
        <f t="shared" si="67"/>
        <v>1.5779297265662618E-2</v>
      </c>
      <c r="CG28" s="66">
        <f t="shared" si="68"/>
        <v>1.515830824740067E-2</v>
      </c>
      <c r="CH28" s="66">
        <f t="shared" si="69"/>
        <v>1.3664620181296792E-2</v>
      </c>
      <c r="CI28" s="66">
        <f t="shared" si="70"/>
        <v>1.2331598418313293E-2</v>
      </c>
      <c r="CJ28" s="66">
        <f t="shared" si="71"/>
        <v>1.124325009105449E-2</v>
      </c>
      <c r="CK28" s="66">
        <f t="shared" si="72"/>
        <v>1.1043307392794372E-2</v>
      </c>
      <c r="CL28" s="66">
        <f t="shared" si="73"/>
        <v>1.0990315107297467E-2</v>
      </c>
      <c r="CM28" s="66">
        <f t="shared" si="74"/>
        <v>1.088584176176872E-2</v>
      </c>
      <c r="CO28" s="2" t="s">
        <v>797</v>
      </c>
      <c r="CP28" s="30" t="s">
        <v>45</v>
      </c>
      <c r="CQ28" s="67">
        <f t="shared" si="58"/>
        <v>2130</v>
      </c>
      <c r="CR28" s="67">
        <f t="shared" si="59"/>
        <v>0</v>
      </c>
      <c r="CS28" s="66">
        <f t="shared" si="60"/>
        <v>0</v>
      </c>
      <c r="CT28" s="66">
        <f t="shared" si="61"/>
        <v>0</v>
      </c>
    </row>
    <row r="29" spans="2:98">
      <c r="B29" s="65" t="s">
        <v>201</v>
      </c>
      <c r="C29" s="177"/>
      <c r="D29" s="175">
        <f>SUMIFS(Ships!$P:$P,Ships!$G:$G,'Ship Table'!$B29,Ships!$I:$I,"&lt;2017")</f>
        <v>119417</v>
      </c>
      <c r="E29" s="175">
        <f>SUMIFS(Ships!$P:$P,Ships!$G:$G,'Ship Table'!$B29,Ships!$I:$I,"&lt;2018")</f>
        <v>128197</v>
      </c>
      <c r="F29" s="175">
        <f>SUMIFS(Ships!$P:$P,Ships!$G:$G,'Ship Table'!$B29,Ships!$I:$I,"&lt;2019")</f>
        <v>134987</v>
      </c>
      <c r="G29" s="175">
        <f>SUMIFS(Ships!$P:$P,Ships!$G:$G,'Ship Table'!$B29,Ships!$I:$I,"&lt;2020")</f>
        <v>140517</v>
      </c>
      <c r="H29" s="175">
        <f>SUMIFS(Ships!$P:$P,Ships!$G:$G,'Ship Table'!$B29,Ships!$I:$I,"&lt;2021")</f>
        <v>155877</v>
      </c>
      <c r="I29" s="175">
        <f>SUMIFS(Ships!$P:$P,Ships!$G:$G,'Ship Table'!$B29,Ships!$I:$I,"&lt;2022")</f>
        <v>172727</v>
      </c>
      <c r="J29" s="175">
        <f>SUMIFS(Ships!$P:$P,Ships!$G:$G,'Ship Table'!$B29,Ships!$I:$I,"&lt;2023")</f>
        <v>189447</v>
      </c>
      <c r="K29" s="175">
        <f>SUMIFS(Ships!$P:$P,Ships!$G:$G,'Ship Table'!$B29,Ships!$I:$I,"&lt;2024")</f>
        <v>192877</v>
      </c>
      <c r="L29" s="175">
        <f>SUMIFS(Ships!$P:$P,Ships!$G:$G,'Ship Table'!$B29,Ships!$I:$I,"&lt;2025")</f>
        <v>193807</v>
      </c>
      <c r="M29" s="175">
        <f>SUMIFS(Ships!$P:$P,Ships!$G:$G,'Ship Table'!$B29,Ships!$I:$I,"&lt;2026")</f>
        <v>195667</v>
      </c>
      <c r="O29" s="65" t="s">
        <v>201</v>
      </c>
      <c r="P29" s="177"/>
      <c r="Q29" s="175"/>
      <c r="R29" s="175">
        <f t="shared" si="40"/>
        <v>8780</v>
      </c>
      <c r="S29" s="175">
        <f t="shared" si="41"/>
        <v>6790</v>
      </c>
      <c r="T29" s="175">
        <f t="shared" si="42"/>
        <v>5530</v>
      </c>
      <c r="U29" s="175">
        <f t="shared" si="43"/>
        <v>15360</v>
      </c>
      <c r="V29" s="175">
        <f t="shared" si="44"/>
        <v>16850</v>
      </c>
      <c r="W29" s="175">
        <f t="shared" si="45"/>
        <v>16720</v>
      </c>
      <c r="X29" s="175">
        <f t="shared" si="46"/>
        <v>3430</v>
      </c>
      <c r="Y29" s="175">
        <f t="shared" si="47"/>
        <v>930</v>
      </c>
      <c r="Z29" s="175">
        <f t="shared" si="48"/>
        <v>1860</v>
      </c>
      <c r="AB29" s="65" t="s">
        <v>201</v>
      </c>
      <c r="AC29" s="177"/>
      <c r="AD29" s="271"/>
      <c r="AE29" s="271">
        <f t="shared" si="75"/>
        <v>7.3523870135742811E-2</v>
      </c>
      <c r="AF29" s="271">
        <f t="shared" si="76"/>
        <v>5.2965358003697435E-2</v>
      </c>
      <c r="AG29" s="271">
        <f t="shared" si="77"/>
        <v>4.0966907924466799E-2</v>
      </c>
      <c r="AH29" s="271">
        <f t="shared" si="78"/>
        <v>0.10931061722069216</v>
      </c>
      <c r="AI29" s="271">
        <f t="shared" si="79"/>
        <v>0.10809805166894411</v>
      </c>
      <c r="AJ29" s="271">
        <f t="shared" si="80"/>
        <v>9.6800152842346596E-2</v>
      </c>
      <c r="AK29" s="271">
        <f t="shared" si="81"/>
        <v>1.8105327611416387E-2</v>
      </c>
      <c r="AL29" s="271">
        <f t="shared" si="82"/>
        <v>4.821725763051064E-3</v>
      </c>
      <c r="AM29" s="271">
        <f t="shared" si="83"/>
        <v>9.5971765725696174E-3</v>
      </c>
      <c r="AO29" s="65" t="s">
        <v>201</v>
      </c>
      <c r="AP29" s="177"/>
      <c r="AQ29" s="271"/>
      <c r="AR29" s="271">
        <f t="shared" si="2"/>
        <v>1.7576733049863472E-2</v>
      </c>
      <c r="AS29" s="271">
        <f t="shared" si="3"/>
        <v>1.2869793325145188E-2</v>
      </c>
      <c r="AT29" s="271">
        <f t="shared" si="4"/>
        <v>9.8500582453715409E-3</v>
      </c>
      <c r="AU29" s="271">
        <f t="shared" si="5"/>
        <v>2.5434590380558435E-2</v>
      </c>
      <c r="AV29" s="271">
        <f t="shared" si="6"/>
        <v>2.6112290598025695E-2</v>
      </c>
      <c r="AW29" s="271">
        <f t="shared" si="7"/>
        <v>2.4418597858407182E-2</v>
      </c>
      <c r="AX29" s="271">
        <f t="shared" si="8"/>
        <v>4.7172925216472841E-3</v>
      </c>
      <c r="AY29" s="271">
        <f t="shared" si="9"/>
        <v>1.2291994343039162E-3</v>
      </c>
      <c r="AZ29" s="271">
        <f t="shared" si="10"/>
        <v>2.3962278735410064E-3</v>
      </c>
      <c r="BB29" s="65" t="s">
        <v>201</v>
      </c>
      <c r="BC29" s="177"/>
      <c r="BD29" s="271"/>
      <c r="BE29" s="271">
        <f t="shared" si="11"/>
        <v>2.4601693537992523E-2</v>
      </c>
      <c r="BF29" s="271">
        <f t="shared" si="12"/>
        <v>1.8080245401386773E-2</v>
      </c>
      <c r="BG29" s="271">
        <f t="shared" si="13"/>
        <v>1.3778772219204569E-2</v>
      </c>
      <c r="BH29" s="271">
        <f t="shared" si="14"/>
        <v>3.5274502689221526E-2</v>
      </c>
      <c r="BI29" s="271">
        <f t="shared" si="15"/>
        <v>3.6721280036263626E-2</v>
      </c>
      <c r="BJ29" s="271">
        <f t="shared" si="16"/>
        <v>3.4889884020349649E-2</v>
      </c>
      <c r="BK29" s="271">
        <f t="shared" si="17"/>
        <v>6.8174319548737683E-3</v>
      </c>
      <c r="BL29" s="271">
        <f t="shared" si="18"/>
        <v>1.7574692442882249E-3</v>
      </c>
      <c r="BM29" s="271">
        <f t="shared" si="19"/>
        <v>3.3949659590778833E-3</v>
      </c>
      <c r="BO29" s="65" t="s">
        <v>201</v>
      </c>
      <c r="BP29" s="177"/>
      <c r="BQ29" s="271">
        <f t="shared" si="20"/>
        <v>0.23906158663047222</v>
      </c>
      <c r="BR29" s="271">
        <f t="shared" si="21"/>
        <v>0.24298510970598491</v>
      </c>
      <c r="BS29" s="271">
        <f t="shared" si="22"/>
        <v>0.24043938740831253</v>
      </c>
      <c r="BT29" s="271">
        <f t="shared" si="23"/>
        <v>0.23268179274120634</v>
      </c>
      <c r="BU29" s="271">
        <f t="shared" si="24"/>
        <v>0.2415611585488695</v>
      </c>
      <c r="BV29" s="271">
        <f t="shared" si="25"/>
        <v>0.25225784403642926</v>
      </c>
      <c r="BW29" s="271">
        <f t="shared" si="26"/>
        <v>0.26054720593251107</v>
      </c>
      <c r="BX29" s="271">
        <f t="shared" si="27"/>
        <v>0.25492935407552308</v>
      </c>
      <c r="BY29" s="271">
        <f t="shared" si="28"/>
        <v>0.24968050295019453</v>
      </c>
      <c r="BZ29" s="271">
        <f t="shared" si="29"/>
        <v>0.24869340857673047</v>
      </c>
      <c r="CB29" s="65" t="s">
        <v>201</v>
      </c>
      <c r="CC29" s="177"/>
      <c r="CD29" s="271">
        <f t="shared" si="65"/>
        <v>1</v>
      </c>
      <c r="CE29" s="271">
        <f t="shared" si="66"/>
        <v>1</v>
      </c>
      <c r="CF29" s="271">
        <f t="shared" si="67"/>
        <v>1</v>
      </c>
      <c r="CG29" s="271">
        <f t="shared" si="68"/>
        <v>1</v>
      </c>
      <c r="CH29" s="271">
        <f t="shared" si="69"/>
        <v>1</v>
      </c>
      <c r="CI29" s="271">
        <f t="shared" si="70"/>
        <v>1</v>
      </c>
      <c r="CJ29" s="271">
        <f t="shared" si="71"/>
        <v>1</v>
      </c>
      <c r="CK29" s="271">
        <f t="shared" si="72"/>
        <v>1</v>
      </c>
      <c r="CL29" s="271">
        <f t="shared" si="73"/>
        <v>1</v>
      </c>
      <c r="CM29" s="271">
        <f t="shared" si="74"/>
        <v>1</v>
      </c>
      <c r="CO29" s="65" t="s">
        <v>201</v>
      </c>
      <c r="CP29" s="177"/>
      <c r="CQ29" s="175">
        <f t="shared" si="58"/>
        <v>134987</v>
      </c>
      <c r="CR29" s="175">
        <f t="shared" si="59"/>
        <v>37740</v>
      </c>
      <c r="CS29" s="271">
        <f t="shared" si="60"/>
        <v>0.27958247831272642</v>
      </c>
      <c r="CT29" s="271">
        <f t="shared" si="61"/>
        <v>8.5648978776305063E-2</v>
      </c>
    </row>
    <row r="30" spans="2:98">
      <c r="B30" s="2" t="s">
        <v>316</v>
      </c>
      <c r="C30" s="30" t="s">
        <v>45</v>
      </c>
      <c r="D30" s="67">
        <f>SUMIFS(Ships!$P:$P,Ships!$H:$H,'Ship Table'!$B30,Ships!$I:$I,"&lt;2017")</f>
        <v>2346</v>
      </c>
      <c r="E30" s="67">
        <f>SUMIFS(Ships!$P:$P,Ships!$H:$H,'Ship Table'!$B30,Ships!$I:$I,"&lt;2018")</f>
        <v>2922</v>
      </c>
      <c r="F30" s="67">
        <f>SUMIFS(Ships!$P:$P,Ships!$H:$H,'Ship Table'!$B30,Ships!$I:$I,"&lt;2019")</f>
        <v>2922</v>
      </c>
      <c r="G30" s="67">
        <f>SUMIFS(Ships!$P:$P,Ships!$H:$H,'Ship Table'!$B30,Ships!$I:$I,"&lt;2020")</f>
        <v>2922</v>
      </c>
      <c r="H30" s="67">
        <f>SUMIFS(Ships!$P:$P,Ships!$H:$H,'Ship Table'!$B30,Ships!$I:$I,"&lt;2021")</f>
        <v>3518</v>
      </c>
      <c r="I30" s="67">
        <f>SUMIFS(Ships!$P:$P,Ships!$H:$H,'Ship Table'!$B30,Ships!$I:$I,"&lt;2022")</f>
        <v>4114</v>
      </c>
      <c r="J30" s="67">
        <f>SUMIFS(Ships!$P:$P,Ships!$H:$H,'Ship Table'!$B30,Ships!$I:$I,"&lt;2023")</f>
        <v>4114</v>
      </c>
      <c r="K30" s="67">
        <f>SUMIFS(Ships!$P:$P,Ships!$H:$H,'Ship Table'!$B30,Ships!$I:$I,"&lt;2024")</f>
        <v>4114</v>
      </c>
      <c r="L30" s="67">
        <f>SUMIFS(Ships!$P:$P,Ships!$H:$H,'Ship Table'!$B30,Ships!$I:$I,"&lt;2025")</f>
        <v>4114</v>
      </c>
      <c r="M30" s="67">
        <f>SUMIFS(Ships!$P:$P,Ships!$H:$H,'Ship Table'!$B30,Ships!$I:$I,"&lt;2026")</f>
        <v>4114</v>
      </c>
      <c r="O30" s="2" t="s">
        <v>316</v>
      </c>
      <c r="P30" s="30" t="s">
        <v>45</v>
      </c>
      <c r="Q30" s="67"/>
      <c r="R30" s="67">
        <f t="shared" si="40"/>
        <v>576</v>
      </c>
      <c r="S30" s="67">
        <f t="shared" si="41"/>
        <v>0</v>
      </c>
      <c r="T30" s="67">
        <f t="shared" si="42"/>
        <v>0</v>
      </c>
      <c r="U30" s="67">
        <f t="shared" si="43"/>
        <v>596</v>
      </c>
      <c r="V30" s="67">
        <f t="shared" si="44"/>
        <v>596</v>
      </c>
      <c r="W30" s="67">
        <f t="shared" si="45"/>
        <v>0</v>
      </c>
      <c r="X30" s="67">
        <f t="shared" si="46"/>
        <v>0</v>
      </c>
      <c r="Y30" s="67">
        <f t="shared" si="47"/>
        <v>0</v>
      </c>
      <c r="Z30" s="67">
        <f t="shared" si="48"/>
        <v>0</v>
      </c>
      <c r="AB30" s="2" t="s">
        <v>316</v>
      </c>
      <c r="AC30" s="30" t="s">
        <v>45</v>
      </c>
      <c r="AD30" s="66"/>
      <c r="AE30" s="66">
        <f t="shared" si="75"/>
        <v>0.24552429667519182</v>
      </c>
      <c r="AF30" s="66">
        <f t="shared" si="76"/>
        <v>0</v>
      </c>
      <c r="AG30" s="66">
        <f t="shared" si="77"/>
        <v>0</v>
      </c>
      <c r="AH30" s="66">
        <f t="shared" si="78"/>
        <v>0.20396988364134155</v>
      </c>
      <c r="AI30" s="66">
        <f t="shared" si="79"/>
        <v>0.1694144400227402</v>
      </c>
      <c r="AJ30" s="66">
        <f t="shared" si="80"/>
        <v>0</v>
      </c>
      <c r="AK30" s="66">
        <f t="shared" si="81"/>
        <v>0</v>
      </c>
      <c r="AL30" s="66">
        <f t="shared" si="82"/>
        <v>0</v>
      </c>
      <c r="AM30" s="66">
        <f t="shared" si="83"/>
        <v>0</v>
      </c>
      <c r="AO30" s="2" t="s">
        <v>316</v>
      </c>
      <c r="AP30" s="30" t="s">
        <v>45</v>
      </c>
      <c r="AQ30" s="66"/>
      <c r="AR30" s="66">
        <f t="shared" si="2"/>
        <v>1.1530977490571024E-3</v>
      </c>
      <c r="AS30" s="66">
        <f t="shared" si="3"/>
        <v>0</v>
      </c>
      <c r="AT30" s="66">
        <f t="shared" si="4"/>
        <v>0</v>
      </c>
      <c r="AU30" s="66">
        <f t="shared" si="5"/>
        <v>9.869150954956267E-4</v>
      </c>
      <c r="AV30" s="66">
        <f t="shared" si="6"/>
        <v>9.2361573866013731E-4</v>
      </c>
      <c r="AW30" s="66">
        <f t="shared" si="7"/>
        <v>0</v>
      </c>
      <c r="AX30" s="66">
        <f t="shared" si="8"/>
        <v>0</v>
      </c>
      <c r="AY30" s="66">
        <f t="shared" si="9"/>
        <v>0</v>
      </c>
      <c r="AZ30" s="66">
        <f t="shared" si="10"/>
        <v>0</v>
      </c>
      <c r="BB30" s="2" t="s">
        <v>316</v>
      </c>
      <c r="BC30" s="30" t="s">
        <v>45</v>
      </c>
      <c r="BD30" s="66"/>
      <c r="BE30" s="66">
        <f t="shared" si="11"/>
        <v>1.6139607605790084E-3</v>
      </c>
      <c r="BF30" s="66">
        <f t="shared" si="12"/>
        <v>0</v>
      </c>
      <c r="BG30" s="66">
        <f t="shared" si="13"/>
        <v>0</v>
      </c>
      <c r="BH30" s="66">
        <f t="shared" si="14"/>
        <v>1.3687241928890645E-3</v>
      </c>
      <c r="BI30" s="66">
        <f t="shared" si="15"/>
        <v>1.298865454101669E-3</v>
      </c>
      <c r="BJ30" s="66">
        <f t="shared" si="16"/>
        <v>0</v>
      </c>
      <c r="BK30" s="66">
        <f t="shared" si="17"/>
        <v>0</v>
      </c>
      <c r="BL30" s="66">
        <f t="shared" si="18"/>
        <v>0</v>
      </c>
      <c r="BM30" s="66">
        <f t="shared" si="19"/>
        <v>0</v>
      </c>
      <c r="BO30" s="2" t="s">
        <v>316</v>
      </c>
      <c r="BP30" s="30" t="s">
        <v>45</v>
      </c>
      <c r="BQ30" s="66">
        <f t="shared" si="20"/>
        <v>4.6964710404304895E-3</v>
      </c>
      <c r="BR30" s="66">
        <f t="shared" si="21"/>
        <v>5.5383705590683714E-3</v>
      </c>
      <c r="BS30" s="66">
        <f t="shared" si="22"/>
        <v>5.2046781542451435E-3</v>
      </c>
      <c r="BT30" s="66">
        <f t="shared" si="23"/>
        <v>4.838533404426546E-3</v>
      </c>
      <c r="BU30" s="66">
        <f t="shared" si="24"/>
        <v>5.4518123634334954E-3</v>
      </c>
      <c r="BV30" s="66">
        <f t="shared" si="25"/>
        <v>6.0082602625291361E-3</v>
      </c>
      <c r="BW30" s="66">
        <f t="shared" si="26"/>
        <v>5.6580004180923982E-3</v>
      </c>
      <c r="BX30" s="66">
        <f t="shared" si="27"/>
        <v>5.437555347017539E-3</v>
      </c>
      <c r="BY30" s="66">
        <f t="shared" si="28"/>
        <v>5.3000438020148928E-3</v>
      </c>
      <c r="BZ30" s="66">
        <f t="shared" si="29"/>
        <v>5.2289076997381733E-3</v>
      </c>
      <c r="CB30" s="2" t="s">
        <v>316</v>
      </c>
      <c r="CC30" s="30" t="s">
        <v>45</v>
      </c>
      <c r="CD30" s="66">
        <f t="shared" ref="CD30:CD40" si="86">D30/D$40</f>
        <v>0.18991338136485064</v>
      </c>
      <c r="CE30" s="66">
        <f t="shared" ref="CE30:CE40" si="87">E30/E$40</f>
        <v>0.22600355789310853</v>
      </c>
      <c r="CF30" s="66">
        <f t="shared" ref="CF30:CF40" si="88">F30/F$40</f>
        <v>0.21233921953346413</v>
      </c>
      <c r="CG30" s="66">
        <f t="shared" ref="CG30:CG40" si="89">G30/G$40</f>
        <v>0.2012535298574282</v>
      </c>
      <c r="CH30" s="66">
        <f t="shared" ref="CH30:CH40" si="90">H30/H$40</f>
        <v>0.21608009336035869</v>
      </c>
      <c r="CI30" s="66">
        <f t="shared" ref="CI30:CI40" si="91">I30/I$40</f>
        <v>0.23015384615384615</v>
      </c>
      <c r="CJ30" s="66">
        <f t="shared" ref="CJ30:CJ40" si="92">J30/J$40</f>
        <v>0.21235740463531719</v>
      </c>
      <c r="CK30" s="66">
        <f t="shared" ref="CK30:CK40" si="93">K30/K$40</f>
        <v>0.21235740463531719</v>
      </c>
      <c r="CL30" s="66">
        <f t="shared" ref="CL30:CL40" si="94">L30/L$40</f>
        <v>0.21235740463531719</v>
      </c>
      <c r="CM30" s="66">
        <f t="shared" ref="CM30:CM40" si="95">M30/M$40</f>
        <v>0.21235740463531719</v>
      </c>
      <c r="CO30" s="2" t="s">
        <v>316</v>
      </c>
      <c r="CP30" s="30" t="s">
        <v>45</v>
      </c>
      <c r="CQ30" s="67">
        <f t="shared" si="58"/>
        <v>2922</v>
      </c>
      <c r="CR30" s="67">
        <f t="shared" si="59"/>
        <v>1192</v>
      </c>
      <c r="CS30" s="66">
        <f t="shared" si="60"/>
        <v>0.40793976728268311</v>
      </c>
      <c r="CT30" s="66">
        <f t="shared" si="61"/>
        <v>0.12079974960593942</v>
      </c>
    </row>
    <row r="31" spans="2:98">
      <c r="B31" s="2" t="s">
        <v>65</v>
      </c>
      <c r="C31" s="30" t="s">
        <v>63</v>
      </c>
      <c r="D31" s="67">
        <f>SUMIFS(Ships!$P:$P,Ships!$H:$H,'Ship Table'!$B31,Ships!$I:$I,"&lt;2017")</f>
        <v>2674</v>
      </c>
      <c r="E31" s="67">
        <f>SUMIFS(Ships!$P:$P,Ships!$H:$H,'Ship Table'!$B31,Ships!$I:$I,"&lt;2018")</f>
        <v>2674</v>
      </c>
      <c r="F31" s="67">
        <f>SUMIFS(Ships!$P:$P,Ships!$H:$H,'Ship Table'!$B31,Ships!$I:$I,"&lt;2019")</f>
        <v>2674</v>
      </c>
      <c r="G31" s="67">
        <f>SUMIFS(Ships!$P:$P,Ships!$H:$H,'Ship Table'!$B31,Ships!$I:$I,"&lt;2020")</f>
        <v>2674</v>
      </c>
      <c r="H31" s="67">
        <f>SUMIFS(Ships!$P:$P,Ships!$H:$H,'Ship Table'!$B31,Ships!$I:$I,"&lt;2021")</f>
        <v>3412</v>
      </c>
      <c r="I31" s="67">
        <f>SUMIFS(Ships!$P:$P,Ships!$H:$H,'Ship Table'!$B31,Ships!$I:$I,"&lt;2022")</f>
        <v>3412</v>
      </c>
      <c r="J31" s="67">
        <f>SUMIFS(Ships!$P:$P,Ships!$H:$H,'Ship Table'!$B31,Ships!$I:$I,"&lt;2023")</f>
        <v>3412</v>
      </c>
      <c r="K31" s="67">
        <f>SUMIFS(Ships!$P:$P,Ships!$H:$H,'Ship Table'!$B31,Ships!$I:$I,"&lt;2024")</f>
        <v>3412</v>
      </c>
      <c r="L31" s="67">
        <f>SUMIFS(Ships!$P:$P,Ships!$H:$H,'Ship Table'!$B31,Ships!$I:$I,"&lt;2025")</f>
        <v>3412</v>
      </c>
      <c r="M31" s="67">
        <f>SUMIFS(Ships!$P:$P,Ships!$H:$H,'Ship Table'!$B31,Ships!$I:$I,"&lt;2026")</f>
        <v>3412</v>
      </c>
      <c r="O31" s="2" t="s">
        <v>65</v>
      </c>
      <c r="P31" s="30" t="s">
        <v>63</v>
      </c>
      <c r="Q31" s="67"/>
      <c r="R31" s="67">
        <f t="shared" si="40"/>
        <v>0</v>
      </c>
      <c r="S31" s="67">
        <f t="shared" si="41"/>
        <v>0</v>
      </c>
      <c r="T31" s="67">
        <f t="shared" si="42"/>
        <v>0</v>
      </c>
      <c r="U31" s="67">
        <f t="shared" si="43"/>
        <v>738</v>
      </c>
      <c r="V31" s="67">
        <f t="shared" si="44"/>
        <v>0</v>
      </c>
      <c r="W31" s="67">
        <f t="shared" si="45"/>
        <v>0</v>
      </c>
      <c r="X31" s="67">
        <f t="shared" si="46"/>
        <v>0</v>
      </c>
      <c r="Y31" s="67">
        <f t="shared" si="47"/>
        <v>0</v>
      </c>
      <c r="Z31" s="67">
        <f t="shared" si="48"/>
        <v>0</v>
      </c>
      <c r="AB31" s="2" t="s">
        <v>65</v>
      </c>
      <c r="AC31" s="30" t="s">
        <v>63</v>
      </c>
      <c r="AD31" s="66"/>
      <c r="AE31" s="66">
        <f t="shared" si="75"/>
        <v>0</v>
      </c>
      <c r="AF31" s="66">
        <f t="shared" si="76"/>
        <v>0</v>
      </c>
      <c r="AG31" s="66">
        <f t="shared" si="77"/>
        <v>0</v>
      </c>
      <c r="AH31" s="66">
        <f t="shared" si="78"/>
        <v>0.27599102468212416</v>
      </c>
      <c r="AI31" s="66">
        <f t="shared" si="79"/>
        <v>0</v>
      </c>
      <c r="AJ31" s="66">
        <f t="shared" si="80"/>
        <v>0</v>
      </c>
      <c r="AK31" s="66">
        <f t="shared" si="81"/>
        <v>0</v>
      </c>
      <c r="AL31" s="66">
        <f t="shared" si="82"/>
        <v>0</v>
      </c>
      <c r="AM31" s="66">
        <f t="shared" si="83"/>
        <v>0</v>
      </c>
      <c r="AO31" s="2" t="s">
        <v>65</v>
      </c>
      <c r="AP31" s="30" t="s">
        <v>63</v>
      </c>
      <c r="AQ31" s="66"/>
      <c r="AR31" s="66">
        <f t="shared" si="2"/>
        <v>0</v>
      </c>
      <c r="AS31" s="66">
        <f t="shared" si="3"/>
        <v>0</v>
      </c>
      <c r="AT31" s="66">
        <f t="shared" si="4"/>
        <v>0</v>
      </c>
      <c r="AU31" s="66">
        <f t="shared" si="5"/>
        <v>1.2220525846908935E-3</v>
      </c>
      <c r="AV31" s="66">
        <f t="shared" si="6"/>
        <v>0</v>
      </c>
      <c r="AW31" s="66">
        <f t="shared" si="7"/>
        <v>0</v>
      </c>
      <c r="AX31" s="66">
        <f t="shared" si="8"/>
        <v>0</v>
      </c>
      <c r="AY31" s="66">
        <f t="shared" si="9"/>
        <v>0</v>
      </c>
      <c r="AZ31" s="66">
        <f t="shared" si="10"/>
        <v>0</v>
      </c>
      <c r="BB31" s="2" t="s">
        <v>65</v>
      </c>
      <c r="BC31" s="30" t="s">
        <v>63</v>
      </c>
      <c r="BD31" s="66"/>
      <c r="BE31" s="66">
        <f t="shared" si="11"/>
        <v>0</v>
      </c>
      <c r="BF31" s="66">
        <f t="shared" si="12"/>
        <v>0</v>
      </c>
      <c r="BG31" s="66">
        <f t="shared" si="13"/>
        <v>0</v>
      </c>
      <c r="BH31" s="66">
        <f t="shared" si="14"/>
        <v>1.6948296213961905E-3</v>
      </c>
      <c r="BI31" s="66">
        <f t="shared" si="15"/>
        <v>0</v>
      </c>
      <c r="BJ31" s="66">
        <f t="shared" si="16"/>
        <v>0</v>
      </c>
      <c r="BK31" s="66">
        <f t="shared" si="17"/>
        <v>0</v>
      </c>
      <c r="BL31" s="66">
        <f t="shared" si="18"/>
        <v>0</v>
      </c>
      <c r="BM31" s="66">
        <f t="shared" si="19"/>
        <v>0</v>
      </c>
      <c r="BO31" s="2" t="s">
        <v>65</v>
      </c>
      <c r="BP31" s="30" t="s">
        <v>63</v>
      </c>
      <c r="BQ31" s="66">
        <f t="shared" si="20"/>
        <v>5.3530961475324506E-3</v>
      </c>
      <c r="BR31" s="66">
        <f t="shared" si="21"/>
        <v>5.0683103610365586E-3</v>
      </c>
      <c r="BS31" s="66">
        <f t="shared" si="22"/>
        <v>4.7629395566226949E-3</v>
      </c>
      <c r="BT31" s="66">
        <f t="shared" si="23"/>
        <v>4.4278707472404462E-3</v>
      </c>
      <c r="BU31" s="66">
        <f t="shared" si="24"/>
        <v>5.2875451347456186E-3</v>
      </c>
      <c r="BV31" s="66">
        <f t="shared" si="25"/>
        <v>4.9830296586653895E-3</v>
      </c>
      <c r="BW31" s="66">
        <f t="shared" si="26"/>
        <v>4.692537050688202E-3</v>
      </c>
      <c r="BX31" s="66">
        <f t="shared" si="27"/>
        <v>4.5097080320913576E-3</v>
      </c>
      <c r="BY31" s="66">
        <f t="shared" si="28"/>
        <v>4.3956610239365129E-3</v>
      </c>
      <c r="BZ31" s="66">
        <f t="shared" si="29"/>
        <v>4.3366633620580087E-3</v>
      </c>
      <c r="CB31" s="2" t="s">
        <v>65</v>
      </c>
      <c r="CC31" s="30" t="s">
        <v>63</v>
      </c>
      <c r="CD31" s="66">
        <f t="shared" si="86"/>
        <v>0.21646563587792439</v>
      </c>
      <c r="CE31" s="66">
        <f t="shared" si="87"/>
        <v>0.20682187330806714</v>
      </c>
      <c r="CF31" s="66">
        <f t="shared" si="88"/>
        <v>0.1943172734539641</v>
      </c>
      <c r="CG31" s="66">
        <f t="shared" si="89"/>
        <v>0.1841724636682967</v>
      </c>
      <c r="CH31" s="66">
        <f t="shared" si="90"/>
        <v>0.20956943676678336</v>
      </c>
      <c r="CI31" s="66">
        <f t="shared" si="91"/>
        <v>0.19088111888111889</v>
      </c>
      <c r="CJ31" s="66">
        <f t="shared" si="92"/>
        <v>0.17612140608062768</v>
      </c>
      <c r="CK31" s="66">
        <f t="shared" si="93"/>
        <v>0.17612140608062768</v>
      </c>
      <c r="CL31" s="66">
        <f t="shared" si="94"/>
        <v>0.17612140608062768</v>
      </c>
      <c r="CM31" s="66">
        <f t="shared" si="95"/>
        <v>0.17612140608062768</v>
      </c>
      <c r="CO31" s="2" t="s">
        <v>65</v>
      </c>
      <c r="CP31" s="30" t="s">
        <v>63</v>
      </c>
      <c r="CQ31" s="67">
        <f t="shared" si="58"/>
        <v>2674</v>
      </c>
      <c r="CR31" s="67">
        <f t="shared" si="59"/>
        <v>738</v>
      </c>
      <c r="CS31" s="66">
        <f t="shared" si="60"/>
        <v>0.27599102468212416</v>
      </c>
      <c r="CT31" s="66">
        <f t="shared" si="61"/>
        <v>8.4632316021001852E-2</v>
      </c>
    </row>
    <row r="32" spans="2:98">
      <c r="B32" s="2" t="s">
        <v>111</v>
      </c>
      <c r="C32" s="30" t="s">
        <v>93</v>
      </c>
      <c r="D32" s="67">
        <f>SUMIFS(Ships!$P:$P,Ships!$H:$H,'Ship Table'!$B32,Ships!$I:$I,"&lt;2017")</f>
        <v>1954</v>
      </c>
      <c r="E32" s="67">
        <f>SUMIFS(Ships!$P:$P,Ships!$H:$H,'Ship Table'!$B32,Ships!$I:$I,"&lt;2018")</f>
        <v>1954</v>
      </c>
      <c r="F32" s="67">
        <f>SUMIFS(Ships!$P:$P,Ships!$H:$H,'Ship Table'!$B32,Ships!$I:$I,"&lt;2019")</f>
        <v>2558</v>
      </c>
      <c r="G32" s="67">
        <f>SUMIFS(Ships!$P:$P,Ships!$H:$H,'Ship Table'!$B32,Ships!$I:$I,"&lt;2020")</f>
        <v>2558</v>
      </c>
      <c r="H32" s="67">
        <f>SUMIFS(Ships!$P:$P,Ships!$H:$H,'Ship Table'!$B32,Ships!$I:$I,"&lt;2021")</f>
        <v>2558</v>
      </c>
      <c r="I32" s="67">
        <f>SUMIFS(Ships!$P:$P,Ships!$H:$H,'Ship Table'!$B32,Ships!$I:$I,"&lt;2022")</f>
        <v>2558</v>
      </c>
      <c r="J32" s="67">
        <f>SUMIFS(Ships!$P:$P,Ships!$H:$H,'Ship Table'!$B32,Ships!$I:$I,"&lt;2023")</f>
        <v>2558</v>
      </c>
      <c r="K32" s="67">
        <f>SUMIFS(Ships!$P:$P,Ships!$H:$H,'Ship Table'!$B32,Ships!$I:$I,"&lt;2024")</f>
        <v>2558</v>
      </c>
      <c r="L32" s="67">
        <f>SUMIFS(Ships!$P:$P,Ships!$H:$H,'Ship Table'!$B32,Ships!$I:$I,"&lt;2025")</f>
        <v>2558</v>
      </c>
      <c r="M32" s="67">
        <f>SUMIFS(Ships!$P:$P,Ships!$H:$H,'Ship Table'!$B32,Ships!$I:$I,"&lt;2026")</f>
        <v>2558</v>
      </c>
      <c r="O32" s="2" t="s">
        <v>111</v>
      </c>
      <c r="P32" s="30" t="s">
        <v>93</v>
      </c>
      <c r="Q32" s="67"/>
      <c r="R32" s="67">
        <f t="shared" si="40"/>
        <v>0</v>
      </c>
      <c r="S32" s="67">
        <f t="shared" si="41"/>
        <v>604</v>
      </c>
      <c r="T32" s="67">
        <f t="shared" si="42"/>
        <v>0</v>
      </c>
      <c r="U32" s="67">
        <f t="shared" si="43"/>
        <v>0</v>
      </c>
      <c r="V32" s="67">
        <f t="shared" si="44"/>
        <v>0</v>
      </c>
      <c r="W32" s="67">
        <f t="shared" si="45"/>
        <v>0</v>
      </c>
      <c r="X32" s="67">
        <f t="shared" si="46"/>
        <v>0</v>
      </c>
      <c r="Y32" s="67">
        <f t="shared" si="47"/>
        <v>0</v>
      </c>
      <c r="Z32" s="67">
        <f t="shared" si="48"/>
        <v>0</v>
      </c>
      <c r="AB32" s="2" t="s">
        <v>111</v>
      </c>
      <c r="AC32" s="30" t="s">
        <v>93</v>
      </c>
      <c r="AD32" s="66"/>
      <c r="AE32" s="66">
        <f t="shared" si="75"/>
        <v>0</v>
      </c>
      <c r="AF32" s="66">
        <f t="shared" si="76"/>
        <v>0.30910951893551691</v>
      </c>
      <c r="AG32" s="66">
        <f t="shared" si="77"/>
        <v>0</v>
      </c>
      <c r="AH32" s="66">
        <f t="shared" si="78"/>
        <v>0</v>
      </c>
      <c r="AI32" s="66">
        <f t="shared" si="79"/>
        <v>0</v>
      </c>
      <c r="AJ32" s="66">
        <f t="shared" si="80"/>
        <v>0</v>
      </c>
      <c r="AK32" s="66">
        <f t="shared" si="81"/>
        <v>0</v>
      </c>
      <c r="AL32" s="66">
        <f t="shared" si="82"/>
        <v>0</v>
      </c>
      <c r="AM32" s="66">
        <f t="shared" si="83"/>
        <v>0</v>
      </c>
      <c r="AO32" s="2" t="s">
        <v>111</v>
      </c>
      <c r="AP32" s="30" t="s">
        <v>93</v>
      </c>
      <c r="AQ32" s="66"/>
      <c r="AR32" s="66">
        <f t="shared" si="2"/>
        <v>0</v>
      </c>
      <c r="AS32" s="66">
        <f t="shared" si="3"/>
        <v>1.1448240306903819E-3</v>
      </c>
      <c r="AT32" s="66">
        <f t="shared" si="4"/>
        <v>0</v>
      </c>
      <c r="AU32" s="66">
        <f t="shared" si="5"/>
        <v>0</v>
      </c>
      <c r="AV32" s="66">
        <f t="shared" si="6"/>
        <v>0</v>
      </c>
      <c r="AW32" s="66">
        <f t="shared" si="7"/>
        <v>0</v>
      </c>
      <c r="AX32" s="66">
        <f t="shared" si="8"/>
        <v>0</v>
      </c>
      <c r="AY32" s="66">
        <f t="shared" si="9"/>
        <v>0</v>
      </c>
      <c r="AZ32" s="66">
        <f t="shared" si="10"/>
        <v>0</v>
      </c>
      <c r="BB32" s="2" t="s">
        <v>111</v>
      </c>
      <c r="BC32" s="30" t="s">
        <v>93</v>
      </c>
      <c r="BD32" s="66"/>
      <c r="BE32" s="66">
        <f t="shared" si="11"/>
        <v>0</v>
      </c>
      <c r="BF32" s="66">
        <f t="shared" si="12"/>
        <v>1.608316380329545E-3</v>
      </c>
      <c r="BG32" s="66">
        <f t="shared" si="13"/>
        <v>0</v>
      </c>
      <c r="BH32" s="66">
        <f t="shared" si="14"/>
        <v>0</v>
      </c>
      <c r="BI32" s="66">
        <f t="shared" si="15"/>
        <v>0</v>
      </c>
      <c r="BJ32" s="66">
        <f t="shared" si="16"/>
        <v>0</v>
      </c>
      <c r="BK32" s="66">
        <f t="shared" si="17"/>
        <v>0</v>
      </c>
      <c r="BL32" s="66">
        <f t="shared" si="18"/>
        <v>0</v>
      </c>
      <c r="BM32" s="66">
        <f t="shared" si="19"/>
        <v>0</v>
      </c>
      <c r="BO32" s="2" t="s">
        <v>111</v>
      </c>
      <c r="BP32" s="30" t="s">
        <v>93</v>
      </c>
      <c r="BQ32" s="66">
        <f t="shared" si="20"/>
        <v>3.9117239612110732E-3</v>
      </c>
      <c r="BR32" s="66">
        <f t="shared" si="21"/>
        <v>3.7036194635248448E-3</v>
      </c>
      <c r="BS32" s="66">
        <f t="shared" si="22"/>
        <v>4.5563198899928395E-3</v>
      </c>
      <c r="BT32" s="66">
        <f t="shared" si="23"/>
        <v>4.2357866011372702E-3</v>
      </c>
      <c r="BU32" s="66">
        <f t="shared" si="24"/>
        <v>3.9641091602225353E-3</v>
      </c>
      <c r="BV32" s="66">
        <f t="shared" si="25"/>
        <v>3.7358118015433958E-3</v>
      </c>
      <c r="BW32" s="66">
        <f t="shared" si="26"/>
        <v>3.5180274840739805E-3</v>
      </c>
      <c r="BX32" s="66">
        <f t="shared" si="27"/>
        <v>3.3809593042466858E-3</v>
      </c>
      <c r="BY32" s="66">
        <f t="shared" si="28"/>
        <v>3.2954574733967176E-3</v>
      </c>
      <c r="BZ32" s="66">
        <f t="shared" si="29"/>
        <v>3.2512265182134776E-3</v>
      </c>
      <c r="CB32" s="2" t="s">
        <v>111</v>
      </c>
      <c r="CC32" s="30" t="s">
        <v>93</v>
      </c>
      <c r="CD32" s="66">
        <f t="shared" si="86"/>
        <v>0.15818019914190884</v>
      </c>
      <c r="CE32" s="66">
        <f t="shared" si="87"/>
        <v>0.15113311160955992</v>
      </c>
      <c r="CF32" s="66">
        <f t="shared" si="88"/>
        <v>0.1858876535135528</v>
      </c>
      <c r="CG32" s="66">
        <f t="shared" si="89"/>
        <v>0.17618293270886426</v>
      </c>
      <c r="CH32" s="66">
        <f t="shared" si="90"/>
        <v>0.1571156562864689</v>
      </c>
      <c r="CI32" s="66">
        <f t="shared" si="91"/>
        <v>0.1431048951048951</v>
      </c>
      <c r="CJ32" s="66">
        <f t="shared" si="92"/>
        <v>0.13203943632891138</v>
      </c>
      <c r="CK32" s="66">
        <f t="shared" si="93"/>
        <v>0.13203943632891138</v>
      </c>
      <c r="CL32" s="66">
        <f t="shared" si="94"/>
        <v>0.13203943632891138</v>
      </c>
      <c r="CM32" s="66">
        <f t="shared" si="95"/>
        <v>0.13203943632891138</v>
      </c>
      <c r="CO32" s="2" t="s">
        <v>111</v>
      </c>
      <c r="CP32" s="30" t="s">
        <v>93</v>
      </c>
      <c r="CQ32" s="67">
        <f t="shared" si="58"/>
        <v>2558</v>
      </c>
      <c r="CR32" s="67">
        <f t="shared" si="59"/>
        <v>0</v>
      </c>
      <c r="CS32" s="66">
        <f t="shared" si="60"/>
        <v>0</v>
      </c>
      <c r="CT32" s="66">
        <f t="shared" si="61"/>
        <v>0</v>
      </c>
    </row>
    <row r="33" spans="2:98">
      <c r="B33" s="2" t="s">
        <v>288</v>
      </c>
      <c r="C33" s="30" t="s">
        <v>253</v>
      </c>
      <c r="D33" s="67">
        <f>SUMIFS(Ships!$P:$P,Ships!$H:$H,'Ship Table'!$B33,Ships!$I:$I,"&lt;2017")</f>
        <v>2102</v>
      </c>
      <c r="E33" s="67">
        <f>SUMIFS(Ships!$P:$P,Ships!$H:$H,'Ship Table'!$B33,Ships!$I:$I,"&lt;2018")</f>
        <v>2102</v>
      </c>
      <c r="F33" s="67">
        <f>SUMIFS(Ships!$P:$P,Ships!$H:$H,'Ship Table'!$B33,Ships!$I:$I,"&lt;2019")</f>
        <v>2102</v>
      </c>
      <c r="G33" s="67">
        <f>SUMIFS(Ships!$P:$P,Ships!$H:$H,'Ship Table'!$B33,Ships!$I:$I,"&lt;2020")</f>
        <v>2102</v>
      </c>
      <c r="H33" s="67">
        <f>SUMIFS(Ships!$P:$P,Ships!$H:$H,'Ship Table'!$B33,Ships!$I:$I,"&lt;2021")</f>
        <v>2302</v>
      </c>
      <c r="I33" s="67">
        <f>SUMIFS(Ships!$P:$P,Ships!$H:$H,'Ship Table'!$B33,Ships!$I:$I,"&lt;2022")</f>
        <v>2502</v>
      </c>
      <c r="J33" s="67">
        <f>SUMIFS(Ships!$P:$P,Ships!$H:$H,'Ship Table'!$B33,Ships!$I:$I,"&lt;2023")</f>
        <v>3702</v>
      </c>
      <c r="K33" s="67">
        <f>SUMIFS(Ships!$P:$P,Ships!$H:$H,'Ship Table'!$B33,Ships!$I:$I,"&lt;2024")</f>
        <v>3702</v>
      </c>
      <c r="L33" s="67">
        <f>SUMIFS(Ships!$P:$P,Ships!$H:$H,'Ship Table'!$B33,Ships!$I:$I,"&lt;2025")</f>
        <v>3702</v>
      </c>
      <c r="M33" s="67">
        <f>SUMIFS(Ships!$P:$P,Ships!$H:$H,'Ship Table'!$B33,Ships!$I:$I,"&lt;2026")</f>
        <v>3702</v>
      </c>
      <c r="O33" s="2" t="s">
        <v>288</v>
      </c>
      <c r="P33" s="30" t="s">
        <v>253</v>
      </c>
      <c r="Q33" s="67"/>
      <c r="R33" s="67">
        <f t="shared" ref="R33:Z33" si="96">E33-D33</f>
        <v>0</v>
      </c>
      <c r="S33" s="67">
        <f t="shared" si="96"/>
        <v>0</v>
      </c>
      <c r="T33" s="67">
        <f t="shared" si="96"/>
        <v>0</v>
      </c>
      <c r="U33" s="67">
        <f t="shared" si="96"/>
        <v>200</v>
      </c>
      <c r="V33" s="67">
        <f t="shared" si="96"/>
        <v>200</v>
      </c>
      <c r="W33" s="67">
        <f t="shared" si="96"/>
        <v>1200</v>
      </c>
      <c r="X33" s="67">
        <f t="shared" si="96"/>
        <v>0</v>
      </c>
      <c r="Y33" s="67">
        <f t="shared" si="96"/>
        <v>0</v>
      </c>
      <c r="Z33" s="67">
        <f t="shared" si="96"/>
        <v>0</v>
      </c>
      <c r="AB33" s="2" t="s">
        <v>288</v>
      </c>
      <c r="AC33" s="30" t="s">
        <v>253</v>
      </c>
      <c r="AD33" s="66"/>
      <c r="AE33" s="66">
        <f t="shared" ref="AE33:AM33" si="97">R33/D33</f>
        <v>0</v>
      </c>
      <c r="AF33" s="66">
        <f t="shared" si="97"/>
        <v>0</v>
      </c>
      <c r="AG33" s="66">
        <f t="shared" si="97"/>
        <v>0</v>
      </c>
      <c r="AH33" s="66">
        <f t="shared" si="97"/>
        <v>9.5147478591817311E-2</v>
      </c>
      <c r="AI33" s="66">
        <f t="shared" si="97"/>
        <v>8.6880973066898348E-2</v>
      </c>
      <c r="AJ33" s="66">
        <f t="shared" si="97"/>
        <v>0.47961630695443647</v>
      </c>
      <c r="AK33" s="66">
        <f t="shared" si="97"/>
        <v>0</v>
      </c>
      <c r="AL33" s="66">
        <f t="shared" si="97"/>
        <v>0</v>
      </c>
      <c r="AM33" s="66">
        <f t="shared" si="97"/>
        <v>0</v>
      </c>
      <c r="AO33" s="2" t="s">
        <v>288</v>
      </c>
      <c r="AP33" s="30" t="s">
        <v>253</v>
      </c>
      <c r="AQ33" s="66"/>
      <c r="AR33" s="66">
        <f t="shared" si="2"/>
        <v>0</v>
      </c>
      <c r="AS33" s="66">
        <f t="shared" si="3"/>
        <v>0</v>
      </c>
      <c r="AT33" s="66">
        <f t="shared" si="4"/>
        <v>0</v>
      </c>
      <c r="AU33" s="66">
        <f t="shared" si="5"/>
        <v>3.3117956224685462E-4</v>
      </c>
      <c r="AV33" s="66">
        <f t="shared" si="6"/>
        <v>3.0993816733561655E-4</v>
      </c>
      <c r="AW33" s="66">
        <f t="shared" si="7"/>
        <v>1.7525309467756351E-3</v>
      </c>
      <c r="AX33" s="66">
        <f t="shared" si="8"/>
        <v>0</v>
      </c>
      <c r="AY33" s="66">
        <f t="shared" si="9"/>
        <v>0</v>
      </c>
      <c r="AZ33" s="66">
        <f t="shared" si="10"/>
        <v>0</v>
      </c>
      <c r="BB33" s="2" t="s">
        <v>288</v>
      </c>
      <c r="BC33" s="30" t="s">
        <v>253</v>
      </c>
      <c r="BD33" s="66"/>
      <c r="BE33" s="66">
        <f t="shared" si="11"/>
        <v>0</v>
      </c>
      <c r="BF33" s="66">
        <f t="shared" si="12"/>
        <v>0</v>
      </c>
      <c r="BG33" s="66">
        <f t="shared" si="13"/>
        <v>0</v>
      </c>
      <c r="BH33" s="66">
        <f t="shared" si="14"/>
        <v>4.5930342043257194E-4</v>
      </c>
      <c r="BI33" s="66">
        <f t="shared" si="15"/>
        <v>4.3586089063814396E-4</v>
      </c>
      <c r="BJ33" s="66">
        <f t="shared" si="16"/>
        <v>2.5040586617475825E-3</v>
      </c>
      <c r="BK33" s="66">
        <f t="shared" si="17"/>
        <v>0</v>
      </c>
      <c r="BL33" s="66">
        <f t="shared" si="18"/>
        <v>0</v>
      </c>
      <c r="BM33" s="66">
        <f t="shared" si="19"/>
        <v>0</v>
      </c>
      <c r="BO33" s="2" t="s">
        <v>288</v>
      </c>
      <c r="BP33" s="30" t="s">
        <v>253</v>
      </c>
      <c r="BQ33" s="66">
        <f t="shared" si="20"/>
        <v>4.2080060217326897E-3</v>
      </c>
      <c r="BR33" s="66">
        <f t="shared" si="21"/>
        <v>3.9841392591244747E-3</v>
      </c>
      <c r="BS33" s="66">
        <f t="shared" si="22"/>
        <v>3.7440908556547886E-3</v>
      </c>
      <c r="BT33" s="66">
        <f t="shared" si="23"/>
        <v>3.4806971992144419E-3</v>
      </c>
      <c r="BU33" s="66">
        <f t="shared" si="24"/>
        <v>3.5673883060329463E-3</v>
      </c>
      <c r="BV33" s="66">
        <f t="shared" si="25"/>
        <v>3.6540270240271993E-3</v>
      </c>
      <c r="BW33" s="66">
        <f t="shared" si="26"/>
        <v>5.0913751939178561E-3</v>
      </c>
      <c r="BX33" s="66">
        <f t="shared" si="27"/>
        <v>4.8930067804226858E-3</v>
      </c>
      <c r="BY33" s="66">
        <f t="shared" si="28"/>
        <v>4.7692664450800027E-3</v>
      </c>
      <c r="BZ33" s="66">
        <f t="shared" si="29"/>
        <v>4.7052543277663391E-3</v>
      </c>
      <c r="CB33" s="2" t="s">
        <v>288</v>
      </c>
      <c r="CC33" s="30" t="s">
        <v>253</v>
      </c>
      <c r="CD33" s="66">
        <f t="shared" si="86"/>
        <v>0.17016109447097871</v>
      </c>
      <c r="CE33" s="66">
        <f t="shared" si="87"/>
        <v>0.16258024595869749</v>
      </c>
      <c r="CF33" s="66">
        <f t="shared" si="88"/>
        <v>0.15275052685124627</v>
      </c>
      <c r="CG33" s="66">
        <f t="shared" si="89"/>
        <v>0.14477581100626766</v>
      </c>
      <c r="CH33" s="66">
        <f t="shared" si="90"/>
        <v>0.14139180640009827</v>
      </c>
      <c r="CI33" s="66">
        <f t="shared" si="91"/>
        <v>0.13997202797202798</v>
      </c>
      <c r="CJ33" s="66">
        <f t="shared" si="92"/>
        <v>0.19109069323284986</v>
      </c>
      <c r="CK33" s="66">
        <f t="shared" si="93"/>
        <v>0.19109069323284986</v>
      </c>
      <c r="CL33" s="66">
        <f t="shared" si="94"/>
        <v>0.19109069323284986</v>
      </c>
      <c r="CM33" s="66">
        <f t="shared" si="95"/>
        <v>0.19109069323284986</v>
      </c>
      <c r="CO33" s="2" t="s">
        <v>288</v>
      </c>
      <c r="CP33" s="30" t="s">
        <v>253</v>
      </c>
      <c r="CQ33" s="67">
        <f>F33</f>
        <v>2102</v>
      </c>
      <c r="CR33" s="67">
        <f>SUM(T33:V33)</f>
        <v>400</v>
      </c>
      <c r="CS33" s="66">
        <f>CR33/CQ33</f>
        <v>0.19029495718363462</v>
      </c>
      <c r="CT33" s="66">
        <f>(I33/F33)^(1/3)-1</f>
        <v>5.978604830541312E-2</v>
      </c>
    </row>
    <row r="34" spans="2:98">
      <c r="B34" s="2" t="s">
        <v>374</v>
      </c>
      <c r="C34" s="30" t="s">
        <v>377</v>
      </c>
      <c r="D34" s="67">
        <f>SUMIFS(Ships!$P:$P,Ships!$H:$H,'Ship Table'!$B34,Ships!$I:$I,"&lt;2017")</f>
        <v>960</v>
      </c>
      <c r="E34" s="67">
        <f>SUMIFS(Ships!$P:$P,Ships!$H:$H,'Ship Table'!$B34,Ships!$I:$I,"&lt;2018")</f>
        <v>960</v>
      </c>
      <c r="F34" s="67">
        <f>SUMIFS(Ships!$P:$P,Ships!$H:$H,'Ship Table'!$B34,Ships!$I:$I,"&lt;2019")</f>
        <v>1320</v>
      </c>
      <c r="G34" s="67">
        <f>SUMIFS(Ships!$P:$P,Ships!$H:$H,'Ship Table'!$B34,Ships!$I:$I,"&lt;2020")</f>
        <v>1680</v>
      </c>
      <c r="H34" s="67">
        <f>SUMIFS(Ships!$P:$P,Ships!$H:$H,'Ship Table'!$B34,Ships!$I:$I,"&lt;2021")</f>
        <v>2040</v>
      </c>
      <c r="I34" s="67">
        <f>SUMIFS(Ships!$P:$P,Ships!$H:$H,'Ship Table'!$B34,Ships!$I:$I,"&lt;2022")</f>
        <v>2310</v>
      </c>
      <c r="J34" s="67">
        <f>SUMIFS(Ships!$P:$P,Ships!$H:$H,'Ship Table'!$B34,Ships!$I:$I,"&lt;2023")</f>
        <v>2310</v>
      </c>
      <c r="K34" s="67">
        <f>SUMIFS(Ships!$P:$P,Ships!$H:$H,'Ship Table'!$B34,Ships!$I:$I,"&lt;2024")</f>
        <v>2310</v>
      </c>
      <c r="L34" s="67">
        <f>SUMIFS(Ships!$P:$P,Ships!$H:$H,'Ship Table'!$B34,Ships!$I:$I,"&lt;2025")</f>
        <v>2310</v>
      </c>
      <c r="M34" s="67">
        <f>SUMIFS(Ships!$P:$P,Ships!$H:$H,'Ship Table'!$B34,Ships!$I:$I,"&lt;2026")</f>
        <v>2310</v>
      </c>
      <c r="O34" s="2" t="s">
        <v>374</v>
      </c>
      <c r="P34" s="30" t="s">
        <v>377</v>
      </c>
      <c r="Q34" s="67"/>
      <c r="R34" s="67">
        <f t="shared" si="40"/>
        <v>0</v>
      </c>
      <c r="S34" s="67">
        <f t="shared" si="41"/>
        <v>360</v>
      </c>
      <c r="T34" s="67">
        <f t="shared" si="42"/>
        <v>360</v>
      </c>
      <c r="U34" s="67">
        <f t="shared" si="43"/>
        <v>360</v>
      </c>
      <c r="V34" s="67">
        <f t="shared" si="44"/>
        <v>270</v>
      </c>
      <c r="W34" s="67">
        <f t="shared" si="45"/>
        <v>0</v>
      </c>
      <c r="X34" s="67">
        <f t="shared" si="46"/>
        <v>0</v>
      </c>
      <c r="Y34" s="67">
        <f t="shared" si="47"/>
        <v>0</v>
      </c>
      <c r="Z34" s="67">
        <f t="shared" si="48"/>
        <v>0</v>
      </c>
      <c r="AB34" s="2" t="s">
        <v>374</v>
      </c>
      <c r="AC34" s="30" t="s">
        <v>377</v>
      </c>
      <c r="AD34" s="66"/>
      <c r="AE34" s="66">
        <f t="shared" si="75"/>
        <v>0</v>
      </c>
      <c r="AF34" s="66">
        <f t="shared" si="76"/>
        <v>0.375</v>
      </c>
      <c r="AG34" s="66">
        <f t="shared" si="77"/>
        <v>0.27272727272727271</v>
      </c>
      <c r="AH34" s="66">
        <f t="shared" si="78"/>
        <v>0.21428571428571427</v>
      </c>
      <c r="AI34" s="66">
        <f t="shared" si="79"/>
        <v>0.13235294117647059</v>
      </c>
      <c r="AJ34" s="66">
        <f t="shared" si="80"/>
        <v>0</v>
      </c>
      <c r="AK34" s="66">
        <f t="shared" si="81"/>
        <v>0</v>
      </c>
      <c r="AL34" s="66">
        <f t="shared" si="82"/>
        <v>0</v>
      </c>
      <c r="AM34" s="66">
        <f t="shared" si="83"/>
        <v>0</v>
      </c>
      <c r="AO34" s="2" t="s">
        <v>374</v>
      </c>
      <c r="AP34" s="30" t="s">
        <v>377</v>
      </c>
      <c r="AQ34" s="66"/>
      <c r="AR34" s="66">
        <f t="shared" si="2"/>
        <v>0</v>
      </c>
      <c r="AS34" s="66">
        <f t="shared" si="3"/>
        <v>6.823454487558568E-4</v>
      </c>
      <c r="AT34" s="66">
        <f t="shared" si="4"/>
        <v>6.4123344816161931E-4</v>
      </c>
      <c r="AU34" s="66">
        <f t="shared" si="5"/>
        <v>5.961232120443383E-4</v>
      </c>
      <c r="AV34" s="66">
        <f t="shared" si="6"/>
        <v>4.1841652590308233E-4</v>
      </c>
      <c r="AW34" s="66">
        <f t="shared" si="7"/>
        <v>0</v>
      </c>
      <c r="AX34" s="66">
        <f t="shared" si="8"/>
        <v>0</v>
      </c>
      <c r="AY34" s="66">
        <f t="shared" si="9"/>
        <v>0</v>
      </c>
      <c r="AZ34" s="66">
        <f t="shared" si="10"/>
        <v>0</v>
      </c>
      <c r="BB34" s="2" t="s">
        <v>374</v>
      </c>
      <c r="BC34" s="30" t="s">
        <v>377</v>
      </c>
      <c r="BD34" s="66"/>
      <c r="BE34" s="66">
        <f t="shared" si="11"/>
        <v>0</v>
      </c>
      <c r="BF34" s="66">
        <f t="shared" si="12"/>
        <v>9.5859916708383481E-4</v>
      </c>
      <c r="BG34" s="66">
        <f t="shared" si="13"/>
        <v>8.9699059654857949E-4</v>
      </c>
      <c r="BH34" s="66">
        <f t="shared" si="14"/>
        <v>8.2674615677862952E-4</v>
      </c>
      <c r="BI34" s="66">
        <f t="shared" si="15"/>
        <v>5.8841220236149428E-4</v>
      </c>
      <c r="BJ34" s="66">
        <f t="shared" si="16"/>
        <v>0</v>
      </c>
      <c r="BK34" s="66">
        <f t="shared" si="17"/>
        <v>0</v>
      </c>
      <c r="BL34" s="66">
        <f t="shared" si="18"/>
        <v>0</v>
      </c>
      <c r="BM34" s="66">
        <f t="shared" si="19"/>
        <v>0</v>
      </c>
      <c r="BO34" s="2" t="s">
        <v>374</v>
      </c>
      <c r="BP34" s="30" t="s">
        <v>377</v>
      </c>
      <c r="BQ34" s="66">
        <f t="shared" si="20"/>
        <v>1.9218295817618372E-3</v>
      </c>
      <c r="BR34" s="66">
        <f t="shared" si="21"/>
        <v>1.8195878633489515E-3</v>
      </c>
      <c r="BS34" s="66">
        <f t="shared" si="22"/>
        <v>2.3511893099259374E-3</v>
      </c>
      <c r="BT34" s="66">
        <f t="shared" si="23"/>
        <v>2.781908322873579E-3</v>
      </c>
      <c r="BU34" s="66">
        <f t="shared" si="24"/>
        <v>3.1613693068232888E-3</v>
      </c>
      <c r="BV34" s="66">
        <f t="shared" si="25"/>
        <v>3.3736220725430976E-3</v>
      </c>
      <c r="BW34" s="66">
        <f t="shared" si="26"/>
        <v>3.1769521064155177E-3</v>
      </c>
      <c r="BX34" s="66">
        <f t="shared" si="27"/>
        <v>3.053172788432308E-3</v>
      </c>
      <c r="BY34" s="66">
        <f t="shared" si="28"/>
        <v>2.9759604235912499E-3</v>
      </c>
      <c r="BZ34" s="66">
        <f t="shared" si="29"/>
        <v>2.9360176923663539E-3</v>
      </c>
      <c r="CB34" s="2" t="s">
        <v>374</v>
      </c>
      <c r="CC34" s="30" t="s">
        <v>377</v>
      </c>
      <c r="CD34" s="66">
        <f t="shared" si="86"/>
        <v>7.7713915648020729E-2</v>
      </c>
      <c r="CE34" s="66">
        <f t="shared" si="87"/>
        <v>7.4251682264676308E-2</v>
      </c>
      <c r="CF34" s="66">
        <f t="shared" si="88"/>
        <v>9.5923261390887291E-2</v>
      </c>
      <c r="CG34" s="66">
        <f t="shared" si="89"/>
        <v>0.11571044837798747</v>
      </c>
      <c r="CH34" s="66">
        <f t="shared" si="90"/>
        <v>0.12529942878201586</v>
      </c>
      <c r="CI34" s="66">
        <f t="shared" si="91"/>
        <v>0.12923076923076923</v>
      </c>
      <c r="CJ34" s="66">
        <f t="shared" si="92"/>
        <v>0.11923811490218345</v>
      </c>
      <c r="CK34" s="66">
        <f t="shared" si="93"/>
        <v>0.11923811490218345</v>
      </c>
      <c r="CL34" s="66">
        <f t="shared" si="94"/>
        <v>0.11923811490218345</v>
      </c>
      <c r="CM34" s="66">
        <f t="shared" si="95"/>
        <v>0.11923811490218345</v>
      </c>
      <c r="CO34" s="2" t="s">
        <v>374</v>
      </c>
      <c r="CP34" s="30" t="s">
        <v>377</v>
      </c>
      <c r="CQ34" s="67">
        <f t="shared" si="58"/>
        <v>1320</v>
      </c>
      <c r="CR34" s="67">
        <f t="shared" si="59"/>
        <v>990</v>
      </c>
      <c r="CS34" s="66">
        <f t="shared" si="60"/>
        <v>0.75</v>
      </c>
      <c r="CT34" s="66">
        <f t="shared" si="61"/>
        <v>0.20507113208761507</v>
      </c>
    </row>
    <row r="35" spans="2:98">
      <c r="B35" s="2" t="s">
        <v>354</v>
      </c>
      <c r="C35" s="30" t="s">
        <v>199</v>
      </c>
      <c r="D35" s="67">
        <f>SUMIFS(Ships!$P:$P,Ships!$H:$H,'Ship Table'!$B35,Ships!$I:$I,"&lt;2017")</f>
        <v>1231</v>
      </c>
      <c r="E35" s="67">
        <f>SUMIFS(Ships!$P:$P,Ships!$H:$H,'Ship Table'!$B35,Ships!$I:$I,"&lt;2018")</f>
        <v>1231</v>
      </c>
      <c r="F35" s="67">
        <f>SUMIFS(Ships!$P:$P,Ships!$H:$H,'Ship Table'!$B35,Ships!$I:$I,"&lt;2019")</f>
        <v>1231</v>
      </c>
      <c r="G35" s="67">
        <f>SUMIFS(Ships!$P:$P,Ships!$H:$H,'Ship Table'!$B35,Ships!$I:$I,"&lt;2020")</f>
        <v>1691</v>
      </c>
      <c r="H35" s="67">
        <f>SUMIFS(Ships!$P:$P,Ships!$H:$H,'Ship Table'!$B35,Ships!$I:$I,"&lt;2021")</f>
        <v>1691</v>
      </c>
      <c r="I35" s="67">
        <f>SUMIFS(Ships!$P:$P,Ships!$H:$H,'Ship Table'!$B35,Ships!$I:$I,"&lt;2022")</f>
        <v>1921</v>
      </c>
      <c r="J35" s="67">
        <f>SUMIFS(Ships!$P:$P,Ships!$H:$H,'Ship Table'!$B35,Ships!$I:$I,"&lt;2023")</f>
        <v>1921</v>
      </c>
      <c r="K35" s="67">
        <f>SUMIFS(Ships!$P:$P,Ships!$H:$H,'Ship Table'!$B35,Ships!$I:$I,"&lt;2024")</f>
        <v>1921</v>
      </c>
      <c r="L35" s="67">
        <f>SUMIFS(Ships!$P:$P,Ships!$H:$H,'Ship Table'!$B35,Ships!$I:$I,"&lt;2025")</f>
        <v>1921</v>
      </c>
      <c r="M35" s="67">
        <f>SUMIFS(Ships!$P:$P,Ships!$H:$H,'Ship Table'!$B35,Ships!$I:$I,"&lt;2026")</f>
        <v>1921</v>
      </c>
      <c r="O35" s="2" t="s">
        <v>354</v>
      </c>
      <c r="P35" s="30" t="s">
        <v>199</v>
      </c>
      <c r="Q35" s="67"/>
      <c r="R35" s="67">
        <f t="shared" si="40"/>
        <v>0</v>
      </c>
      <c r="S35" s="67">
        <f t="shared" si="41"/>
        <v>0</v>
      </c>
      <c r="T35" s="67">
        <f t="shared" si="42"/>
        <v>460</v>
      </c>
      <c r="U35" s="67">
        <f t="shared" si="43"/>
        <v>0</v>
      </c>
      <c r="V35" s="67">
        <f t="shared" si="44"/>
        <v>230</v>
      </c>
      <c r="W35" s="67">
        <f t="shared" si="45"/>
        <v>0</v>
      </c>
      <c r="X35" s="67">
        <f t="shared" si="46"/>
        <v>0</v>
      </c>
      <c r="Y35" s="67">
        <f t="shared" si="47"/>
        <v>0</v>
      </c>
      <c r="Z35" s="67">
        <f t="shared" si="48"/>
        <v>0</v>
      </c>
      <c r="AB35" s="2" t="s">
        <v>354</v>
      </c>
      <c r="AC35" s="30" t="s">
        <v>199</v>
      </c>
      <c r="AD35" s="66"/>
      <c r="AE35" s="66">
        <f t="shared" si="75"/>
        <v>0</v>
      </c>
      <c r="AF35" s="66">
        <f t="shared" si="76"/>
        <v>0</v>
      </c>
      <c r="AG35" s="66">
        <f t="shared" si="77"/>
        <v>0.37367993501218522</v>
      </c>
      <c r="AH35" s="66">
        <f t="shared" si="78"/>
        <v>0</v>
      </c>
      <c r="AI35" s="66">
        <f t="shared" si="79"/>
        <v>0.13601419278533411</v>
      </c>
      <c r="AJ35" s="66">
        <f t="shared" si="80"/>
        <v>0</v>
      </c>
      <c r="AK35" s="66">
        <f t="shared" si="81"/>
        <v>0</v>
      </c>
      <c r="AL35" s="66">
        <f t="shared" si="82"/>
        <v>0</v>
      </c>
      <c r="AM35" s="66">
        <f t="shared" si="83"/>
        <v>0</v>
      </c>
      <c r="AO35" s="2" t="s">
        <v>354</v>
      </c>
      <c r="AP35" s="30" t="s">
        <v>199</v>
      </c>
      <c r="AQ35" s="66"/>
      <c r="AR35" s="66">
        <f t="shared" si="2"/>
        <v>0</v>
      </c>
      <c r="AS35" s="66">
        <f t="shared" si="3"/>
        <v>0</v>
      </c>
      <c r="AT35" s="66">
        <f t="shared" si="4"/>
        <v>8.1935385042873577E-4</v>
      </c>
      <c r="AU35" s="66">
        <f t="shared" si="5"/>
        <v>0</v>
      </c>
      <c r="AV35" s="66">
        <f t="shared" si="6"/>
        <v>3.56428892435959E-4</v>
      </c>
      <c r="AW35" s="66">
        <f t="shared" si="7"/>
        <v>0</v>
      </c>
      <c r="AX35" s="66">
        <f t="shared" si="8"/>
        <v>0</v>
      </c>
      <c r="AY35" s="66">
        <f t="shared" si="9"/>
        <v>0</v>
      </c>
      <c r="AZ35" s="66">
        <f t="shared" si="10"/>
        <v>0</v>
      </c>
      <c r="BB35" s="2" t="s">
        <v>354</v>
      </c>
      <c r="BC35" s="30" t="s">
        <v>199</v>
      </c>
      <c r="BD35" s="66"/>
      <c r="BE35" s="66">
        <f t="shared" si="11"/>
        <v>0</v>
      </c>
      <c r="BF35" s="66">
        <f t="shared" si="12"/>
        <v>0</v>
      </c>
      <c r="BG35" s="66">
        <f t="shared" si="13"/>
        <v>1.1461546511454073E-3</v>
      </c>
      <c r="BH35" s="66">
        <f t="shared" si="14"/>
        <v>0</v>
      </c>
      <c r="BI35" s="66">
        <f t="shared" si="15"/>
        <v>5.0124002423386548E-4</v>
      </c>
      <c r="BJ35" s="66">
        <f t="shared" si="16"/>
        <v>0</v>
      </c>
      <c r="BK35" s="66">
        <f t="shared" si="17"/>
        <v>0</v>
      </c>
      <c r="BL35" s="66">
        <f t="shared" si="18"/>
        <v>0</v>
      </c>
      <c r="BM35" s="66">
        <f t="shared" si="19"/>
        <v>0</v>
      </c>
      <c r="BO35" s="2" t="s">
        <v>354</v>
      </c>
      <c r="BP35" s="30" t="s">
        <v>199</v>
      </c>
      <c r="BQ35" s="66">
        <f t="shared" si="20"/>
        <v>2.4643460574466894E-3</v>
      </c>
      <c r="BR35" s="66">
        <f t="shared" si="21"/>
        <v>2.3332423539401659E-3</v>
      </c>
      <c r="BS35" s="66">
        <f t="shared" si="22"/>
        <v>2.1926621519082041E-3</v>
      </c>
      <c r="BT35" s="66">
        <f t="shared" si="23"/>
        <v>2.8001231987971557E-3</v>
      </c>
      <c r="BU35" s="66">
        <f t="shared" si="24"/>
        <v>2.6205272048226377E-3</v>
      </c>
      <c r="BV35" s="66">
        <f t="shared" si="25"/>
        <v>2.8055099572966624E-3</v>
      </c>
      <c r="BW35" s="66">
        <f t="shared" si="26"/>
        <v>2.6419588729109135E-3</v>
      </c>
      <c r="BX35" s="66">
        <f t="shared" si="27"/>
        <v>2.5390237777395946E-3</v>
      </c>
      <c r="BY35" s="66">
        <f t="shared" si="28"/>
        <v>2.4748138414367061E-3</v>
      </c>
      <c r="BZ35" s="66">
        <f t="shared" si="29"/>
        <v>2.4415973969851802E-3</v>
      </c>
      <c r="CB35" s="2" t="s">
        <v>354</v>
      </c>
      <c r="CC35" s="30" t="s">
        <v>199</v>
      </c>
      <c r="CD35" s="66">
        <f t="shared" si="86"/>
        <v>9.9651906419493244E-2</v>
      </c>
      <c r="CE35" s="66">
        <f t="shared" si="87"/>
        <v>9.5212313403975554E-2</v>
      </c>
      <c r="CF35" s="66">
        <f t="shared" si="88"/>
        <v>8.9455708160744135E-2</v>
      </c>
      <c r="CG35" s="66">
        <f t="shared" si="89"/>
        <v>0.11646807631379572</v>
      </c>
      <c r="CH35" s="66">
        <f t="shared" si="90"/>
        <v>0.10386339905411215</v>
      </c>
      <c r="CI35" s="66">
        <f t="shared" si="91"/>
        <v>0.10746853146853147</v>
      </c>
      <c r="CJ35" s="66">
        <f t="shared" si="92"/>
        <v>9.9158622825581993E-2</v>
      </c>
      <c r="CK35" s="66">
        <f t="shared" si="93"/>
        <v>9.9158622825581993E-2</v>
      </c>
      <c r="CL35" s="66">
        <f t="shared" si="94"/>
        <v>9.9158622825581993E-2</v>
      </c>
      <c r="CM35" s="66">
        <f t="shared" si="95"/>
        <v>9.9158622825581993E-2</v>
      </c>
      <c r="CO35" s="2" t="s">
        <v>354</v>
      </c>
      <c r="CP35" s="30" t="s">
        <v>199</v>
      </c>
      <c r="CQ35" s="67">
        <f t="shared" si="58"/>
        <v>1231</v>
      </c>
      <c r="CR35" s="67">
        <f t="shared" si="59"/>
        <v>690</v>
      </c>
      <c r="CS35" s="66">
        <f t="shared" si="60"/>
        <v>0.56051990251827777</v>
      </c>
      <c r="CT35" s="66">
        <f t="shared" si="61"/>
        <v>0.15990682528422773</v>
      </c>
    </row>
    <row r="36" spans="2:98">
      <c r="B36" s="2" t="s">
        <v>454</v>
      </c>
      <c r="C36" s="30" t="s">
        <v>454</v>
      </c>
      <c r="D36" s="67">
        <f>SUMIFS(Ships!$P:$P,Ships!$H:$H,'Ship Table'!$B36,Ships!$I:$I,"&lt;2017")</f>
        <v>1244</v>
      </c>
      <c r="E36" s="67">
        <f>SUMIFS(Ships!$P:$P,Ships!$H:$H,'Ship Table'!$B36,Ships!$I:$I,"&lt;2018")</f>
        <v>1244</v>
      </c>
      <c r="F36" s="67">
        <f>SUMIFS(Ships!$P:$P,Ships!$H:$H,'Ship Table'!$B36,Ships!$I:$I,"&lt;2019")</f>
        <v>1244</v>
      </c>
      <c r="G36" s="67">
        <f>SUMIFS(Ships!$P:$P,Ships!$H:$H,'Ship Table'!$B36,Ships!$I:$I,"&lt;2020")</f>
        <v>1244</v>
      </c>
      <c r="H36" s="67">
        <f>SUMIFS(Ships!$P:$P,Ships!$H:$H,'Ship Table'!$B36,Ships!$I:$I,"&lt;2021")</f>
        <v>1244</v>
      </c>
      <c r="I36" s="67">
        <f>SUMIFS(Ships!$P:$P,Ships!$H:$H,'Ship Table'!$B36,Ships!$I:$I,"&lt;2022")</f>
        <v>1244</v>
      </c>
      <c r="J36" s="67">
        <f>SUMIFS(Ships!$P:$P,Ships!$H:$H,'Ship Table'!$B36,Ships!$I:$I,"&lt;2023")</f>
        <v>1244</v>
      </c>
      <c r="K36" s="67">
        <f>SUMIFS(Ships!$P:$P,Ships!$H:$H,'Ship Table'!$B36,Ships!$I:$I,"&lt;2024")</f>
        <v>1244</v>
      </c>
      <c r="L36" s="67">
        <f>SUMIFS(Ships!$P:$P,Ships!$H:$H,'Ship Table'!$B36,Ships!$I:$I,"&lt;2025")</f>
        <v>1244</v>
      </c>
      <c r="M36" s="67">
        <f>SUMIFS(Ships!$P:$P,Ships!$H:$H,'Ship Table'!$B36,Ships!$I:$I,"&lt;2026")</f>
        <v>1244</v>
      </c>
      <c r="O36" s="2" t="s">
        <v>454</v>
      </c>
      <c r="P36" s="30" t="s">
        <v>454</v>
      </c>
      <c r="Q36" s="67"/>
      <c r="R36" s="67">
        <f t="shared" si="40"/>
        <v>0</v>
      </c>
      <c r="S36" s="67">
        <f t="shared" si="41"/>
        <v>0</v>
      </c>
      <c r="T36" s="67">
        <f t="shared" si="42"/>
        <v>0</v>
      </c>
      <c r="U36" s="67">
        <f t="shared" si="43"/>
        <v>0</v>
      </c>
      <c r="V36" s="67">
        <f t="shared" si="44"/>
        <v>0</v>
      </c>
      <c r="W36" s="67">
        <f t="shared" si="45"/>
        <v>0</v>
      </c>
      <c r="X36" s="67">
        <f t="shared" si="46"/>
        <v>0</v>
      </c>
      <c r="Y36" s="67">
        <f t="shared" si="47"/>
        <v>0</v>
      </c>
      <c r="Z36" s="67">
        <f t="shared" si="48"/>
        <v>0</v>
      </c>
      <c r="AB36" s="2" t="s">
        <v>454</v>
      </c>
      <c r="AC36" s="30" t="s">
        <v>454</v>
      </c>
      <c r="AD36" s="66"/>
      <c r="AE36" s="66">
        <f t="shared" si="75"/>
        <v>0</v>
      </c>
      <c r="AF36" s="66">
        <f t="shared" si="76"/>
        <v>0</v>
      </c>
      <c r="AG36" s="66">
        <f t="shared" si="77"/>
        <v>0</v>
      </c>
      <c r="AH36" s="66">
        <f t="shared" si="78"/>
        <v>0</v>
      </c>
      <c r="AI36" s="66">
        <f t="shared" si="79"/>
        <v>0</v>
      </c>
      <c r="AJ36" s="66">
        <f t="shared" si="80"/>
        <v>0</v>
      </c>
      <c r="AK36" s="66">
        <f t="shared" si="81"/>
        <v>0</v>
      </c>
      <c r="AL36" s="66">
        <f t="shared" si="82"/>
        <v>0</v>
      </c>
      <c r="AM36" s="66">
        <f t="shared" si="83"/>
        <v>0</v>
      </c>
      <c r="AO36" s="2" t="s">
        <v>454</v>
      </c>
      <c r="AP36" s="30" t="s">
        <v>454</v>
      </c>
      <c r="AQ36" s="66"/>
      <c r="AR36" s="66">
        <f t="shared" ref="AR36:AR52" si="98">R36/D$52</f>
        <v>0</v>
      </c>
      <c r="AS36" s="66">
        <f t="shared" ref="AS36:AS52" si="99">S36/E$52</f>
        <v>0</v>
      </c>
      <c r="AT36" s="66">
        <f t="shared" ref="AT36:AT52" si="100">T36/F$52</f>
        <v>0</v>
      </c>
      <c r="AU36" s="66">
        <f t="shared" ref="AU36:AU52" si="101">U36/G$52</f>
        <v>0</v>
      </c>
      <c r="AV36" s="66">
        <f t="shared" ref="AV36:AV52" si="102">V36/H$52</f>
        <v>0</v>
      </c>
      <c r="AW36" s="66">
        <f t="shared" ref="AW36:AW52" si="103">W36/I$52</f>
        <v>0</v>
      </c>
      <c r="AX36" s="66">
        <f t="shared" ref="AX36:AX52" si="104">X36/J$52</f>
        <v>0</v>
      </c>
      <c r="AY36" s="66">
        <f t="shared" ref="AY36:AY52" si="105">Y36/K$52</f>
        <v>0</v>
      </c>
      <c r="AZ36" s="66">
        <f t="shared" ref="AZ36:AZ52" si="106">Z36/L$52</f>
        <v>0</v>
      </c>
      <c r="BB36" s="2" t="s">
        <v>454</v>
      </c>
      <c r="BC36" s="30" t="s">
        <v>454</v>
      </c>
      <c r="BD36" s="66"/>
      <c r="BE36" s="66">
        <f t="shared" ref="BE36:BE52" si="107">R36/D$17</f>
        <v>0</v>
      </c>
      <c r="BF36" s="66">
        <f t="shared" ref="BF36:BF52" si="108">S36/E$17</f>
        <v>0</v>
      </c>
      <c r="BG36" s="66">
        <f t="shared" ref="BG36:BG52" si="109">T36/F$17</f>
        <v>0</v>
      </c>
      <c r="BH36" s="66">
        <f t="shared" ref="BH36:BH52" si="110">U36/G$17</f>
        <v>0</v>
      </c>
      <c r="BI36" s="66">
        <f t="shared" ref="BI36:BI52" si="111">V36/H$17</f>
        <v>0</v>
      </c>
      <c r="BJ36" s="66">
        <f t="shared" ref="BJ36:BJ52" si="112">W36/I$17</f>
        <v>0</v>
      </c>
      <c r="BK36" s="66">
        <f t="shared" ref="BK36:BK52" si="113">X36/J$17</f>
        <v>0</v>
      </c>
      <c r="BL36" s="66">
        <f t="shared" ref="BL36:BL52" si="114">Y36/K$17</f>
        <v>0</v>
      </c>
      <c r="BM36" s="66">
        <f t="shared" ref="BM36:BM52" si="115">Z36/L$17</f>
        <v>0</v>
      </c>
      <c r="BO36" s="2" t="s">
        <v>454</v>
      </c>
      <c r="BP36" s="30" t="s">
        <v>454</v>
      </c>
      <c r="BQ36" s="66">
        <f t="shared" ref="BQ36:BQ52" si="116">D36/D$52</f>
        <v>2.4903708330330475E-3</v>
      </c>
      <c r="BR36" s="66">
        <f t="shared" ref="BR36:BR52" si="117">E36/E$52</f>
        <v>2.3578826062563498E-3</v>
      </c>
      <c r="BS36" s="66">
        <f t="shared" ref="BS36:BS52" si="118">F36/F$52</f>
        <v>2.2158178042029292E-3</v>
      </c>
      <c r="BT36" s="66">
        <f t="shared" ref="BT36:BT52" si="119">G36/G$52</f>
        <v>2.0599368771754356E-3</v>
      </c>
      <c r="BU36" s="66">
        <f t="shared" ref="BU36:BU52" si="120">H36/H$52</f>
        <v>1.9278154008275348E-3</v>
      </c>
      <c r="BV36" s="66">
        <f t="shared" ref="BV36:BV52" si="121">I36/I$52</f>
        <v>1.816790414824075E-3</v>
      </c>
      <c r="BW36" s="66">
        <f t="shared" ref="BW36:BW52" si="122">J36/J$52</f>
        <v>1.7108781040609975E-3</v>
      </c>
      <c r="BX36" s="66">
        <f t="shared" ref="BX36:BX52" si="123">K36/K$52</f>
        <v>1.6442194583592171E-3</v>
      </c>
      <c r="BY36" s="66">
        <f t="shared" ref="BY36:BY52" si="124">L36/L$52</f>
        <v>1.6026384272500064E-3</v>
      </c>
      <c r="BZ36" s="66">
        <f t="shared" ref="BZ36:BZ52" si="125">M36/M$52</f>
        <v>1.5811281425557335E-3</v>
      </c>
      <c r="CB36" s="2" t="s">
        <v>454</v>
      </c>
      <c r="CC36" s="30" t="s">
        <v>454</v>
      </c>
      <c r="CD36" s="66">
        <f t="shared" si="86"/>
        <v>0.10070428236056019</v>
      </c>
      <c r="CE36" s="66">
        <f t="shared" si="87"/>
        <v>9.6217804934643048E-2</v>
      </c>
      <c r="CF36" s="66">
        <f t="shared" si="88"/>
        <v>9.040040694716954E-2</v>
      </c>
      <c r="CG36" s="66">
        <f t="shared" si="89"/>
        <v>8.5680832013224045E-2</v>
      </c>
      <c r="CH36" s="66">
        <f t="shared" si="90"/>
        <v>7.6408083041582212E-2</v>
      </c>
      <c r="CI36" s="66">
        <f t="shared" si="91"/>
        <v>6.9594405594405592E-2</v>
      </c>
      <c r="CJ36" s="66">
        <f t="shared" si="92"/>
        <v>6.4213080059877151E-2</v>
      </c>
      <c r="CK36" s="66">
        <f t="shared" si="93"/>
        <v>6.4213080059877151E-2</v>
      </c>
      <c r="CL36" s="66">
        <f t="shared" si="94"/>
        <v>6.4213080059877151E-2</v>
      </c>
      <c r="CM36" s="66">
        <f t="shared" si="95"/>
        <v>6.4213080059877151E-2</v>
      </c>
      <c r="CO36" s="2" t="s">
        <v>454</v>
      </c>
      <c r="CP36" s="30" t="s">
        <v>454</v>
      </c>
      <c r="CQ36" s="67">
        <f t="shared" si="58"/>
        <v>1244</v>
      </c>
      <c r="CR36" s="67">
        <f t="shared" si="59"/>
        <v>0</v>
      </c>
      <c r="CS36" s="66">
        <f t="shared" si="60"/>
        <v>0</v>
      </c>
      <c r="CT36" s="66">
        <f t="shared" si="61"/>
        <v>0</v>
      </c>
    </row>
    <row r="37" spans="2:98">
      <c r="B37" s="2" t="s">
        <v>921</v>
      </c>
      <c r="C37" s="30" t="s">
        <v>1027</v>
      </c>
      <c r="D37" s="67">
        <f>SUMIFS(Ships!$P:$P,Ships!$H:$H,'Ship Table'!$B37,Ships!$I:$I,"&lt;2017")</f>
        <v>0</v>
      </c>
      <c r="E37" s="67">
        <f>SUMIFS(Ships!$P:$P,Ships!$H:$H,'Ship Table'!$B37,Ships!$I:$I,"&lt;2018")</f>
        <v>0</v>
      </c>
      <c r="F37" s="67">
        <f>SUMIFS(Ships!$P:$P,Ships!$H:$H,'Ship Table'!$B37,Ships!$I:$I,"&lt;2019")</f>
        <v>0</v>
      </c>
      <c r="G37" s="67">
        <f>SUMIFS(Ships!$P:$P,Ships!$H:$H,'Ship Table'!$B37,Ships!$I:$I,"&lt;2020")</f>
        <v>298</v>
      </c>
      <c r="H37" s="67">
        <f>SUMIFS(Ships!$P:$P,Ships!$H:$H,'Ship Table'!$B37,Ships!$I:$I,"&lt;2021")</f>
        <v>298</v>
      </c>
      <c r="I37" s="67">
        <f>SUMIFS(Ships!$P:$P,Ships!$H:$H,'Ship Table'!$B37,Ships!$I:$I,"&lt;2022")</f>
        <v>596</v>
      </c>
      <c r="J37" s="67">
        <f>SUMIFS(Ships!$P:$P,Ships!$H:$H,'Ship Table'!$B37,Ships!$I:$I,"&lt;2023")</f>
        <v>894</v>
      </c>
      <c r="K37" s="67">
        <f>SUMIFS(Ships!$P:$P,Ships!$H:$H,'Ship Table'!$B37,Ships!$I:$I,"&lt;2024")</f>
        <v>894</v>
      </c>
      <c r="L37" s="67">
        <f>SUMIFS(Ships!$P:$P,Ships!$H:$H,'Ship Table'!$B37,Ships!$I:$I,"&lt;2025")</f>
        <v>894</v>
      </c>
      <c r="M37" s="67">
        <f>SUMIFS(Ships!$P:$P,Ships!$H:$H,'Ship Table'!$B37,Ships!$I:$I,"&lt;2026")</f>
        <v>894</v>
      </c>
      <c r="O37" s="2" t="s">
        <v>921</v>
      </c>
      <c r="P37" s="30" t="s">
        <v>1027</v>
      </c>
      <c r="Q37" s="67"/>
      <c r="R37" s="67">
        <f t="shared" si="40"/>
        <v>0</v>
      </c>
      <c r="S37" s="67">
        <f t="shared" si="41"/>
        <v>0</v>
      </c>
      <c r="T37" s="67">
        <f t="shared" si="42"/>
        <v>298</v>
      </c>
      <c r="U37" s="67">
        <f t="shared" si="43"/>
        <v>0</v>
      </c>
      <c r="V37" s="67">
        <f t="shared" si="44"/>
        <v>298</v>
      </c>
      <c r="W37" s="67">
        <f t="shared" si="45"/>
        <v>298</v>
      </c>
      <c r="X37" s="67">
        <f t="shared" si="46"/>
        <v>0</v>
      </c>
      <c r="Y37" s="67">
        <f t="shared" si="47"/>
        <v>0</v>
      </c>
      <c r="Z37" s="67">
        <f t="shared" si="48"/>
        <v>0</v>
      </c>
      <c r="AB37" s="2" t="s">
        <v>921</v>
      </c>
      <c r="AC37" s="30" t="s">
        <v>1027</v>
      </c>
      <c r="AD37" s="66"/>
      <c r="AE37" s="66"/>
      <c r="AF37" s="66"/>
      <c r="AG37" s="66"/>
      <c r="AH37" s="66">
        <f t="shared" si="78"/>
        <v>0</v>
      </c>
      <c r="AI37" s="66">
        <f t="shared" si="79"/>
        <v>1</v>
      </c>
      <c r="AJ37" s="66">
        <f t="shared" si="80"/>
        <v>0.5</v>
      </c>
      <c r="AK37" s="66">
        <f t="shared" si="81"/>
        <v>0</v>
      </c>
      <c r="AL37" s="66">
        <f t="shared" si="82"/>
        <v>0</v>
      </c>
      <c r="AM37" s="66">
        <f t="shared" si="83"/>
        <v>0</v>
      </c>
      <c r="AO37" s="2" t="s">
        <v>921</v>
      </c>
      <c r="AP37" s="30" t="s">
        <v>1027</v>
      </c>
      <c r="AQ37" s="66"/>
      <c r="AR37" s="66">
        <f t="shared" si="98"/>
        <v>0</v>
      </c>
      <c r="AS37" s="66">
        <f t="shared" si="99"/>
        <v>0</v>
      </c>
      <c r="AT37" s="66">
        <f t="shared" si="100"/>
        <v>5.3079879875600716E-4</v>
      </c>
      <c r="AU37" s="66">
        <f t="shared" si="101"/>
        <v>0</v>
      </c>
      <c r="AV37" s="66">
        <f t="shared" si="102"/>
        <v>4.6180786933006866E-4</v>
      </c>
      <c r="AW37" s="66">
        <f t="shared" si="103"/>
        <v>4.3521185178261608E-4</v>
      </c>
      <c r="AX37" s="66">
        <f t="shared" si="104"/>
        <v>0</v>
      </c>
      <c r="AY37" s="66">
        <f t="shared" si="105"/>
        <v>0</v>
      </c>
      <c r="AZ37" s="66">
        <f t="shared" si="106"/>
        <v>0</v>
      </c>
      <c r="BB37" s="2" t="s">
        <v>921</v>
      </c>
      <c r="BC37" s="30" t="s">
        <v>1027</v>
      </c>
      <c r="BD37" s="66"/>
      <c r="BE37" s="66">
        <f t="shared" si="107"/>
        <v>0</v>
      </c>
      <c r="BF37" s="66">
        <f t="shared" si="108"/>
        <v>0</v>
      </c>
      <c r="BG37" s="66">
        <f t="shared" si="109"/>
        <v>7.4250888269854643E-4</v>
      </c>
      <c r="BH37" s="66">
        <f t="shared" si="110"/>
        <v>0</v>
      </c>
      <c r="BI37" s="66">
        <f t="shared" si="111"/>
        <v>6.4943272705083449E-4</v>
      </c>
      <c r="BJ37" s="66">
        <f t="shared" si="112"/>
        <v>6.2184123433398303E-4</v>
      </c>
      <c r="BK37" s="66">
        <f t="shared" si="113"/>
        <v>0</v>
      </c>
      <c r="BL37" s="66">
        <f t="shared" si="114"/>
        <v>0</v>
      </c>
      <c r="BM37" s="66">
        <f t="shared" si="115"/>
        <v>0</v>
      </c>
      <c r="BO37" s="2" t="s">
        <v>921</v>
      </c>
      <c r="BP37" s="30" t="s">
        <v>1027</v>
      </c>
      <c r="BQ37" s="66">
        <f t="shared" si="116"/>
        <v>0</v>
      </c>
      <c r="BR37" s="66">
        <f t="shared" si="117"/>
        <v>0</v>
      </c>
      <c r="BS37" s="66">
        <f t="shared" si="118"/>
        <v>0</v>
      </c>
      <c r="BT37" s="66">
        <f t="shared" si="119"/>
        <v>4.9345754774781335E-4</v>
      </c>
      <c r="BU37" s="66">
        <f t="shared" si="120"/>
        <v>4.6180786933006866E-4</v>
      </c>
      <c r="BV37" s="66">
        <f t="shared" si="121"/>
        <v>8.7042370356523217E-4</v>
      </c>
      <c r="BW37" s="66">
        <f t="shared" si="122"/>
        <v>1.2295217243010706E-3</v>
      </c>
      <c r="BX37" s="66">
        <f t="shared" si="123"/>
        <v>1.1816175207179582E-3</v>
      </c>
      <c r="BY37" s="66">
        <f t="shared" si="124"/>
        <v>1.1517353327664837E-3</v>
      </c>
      <c r="BZ37" s="66">
        <f t="shared" si="125"/>
        <v>1.1362769770456799E-3</v>
      </c>
      <c r="CB37" s="2" t="s">
        <v>921</v>
      </c>
      <c r="CC37" s="30" t="s">
        <v>1027</v>
      </c>
      <c r="CD37" s="66">
        <f t="shared" si="86"/>
        <v>0</v>
      </c>
      <c r="CE37" s="66">
        <f t="shared" si="87"/>
        <v>0</v>
      </c>
      <c r="CF37" s="66">
        <f t="shared" si="88"/>
        <v>0</v>
      </c>
      <c r="CG37" s="66">
        <f t="shared" si="89"/>
        <v>2.0524829533714442E-2</v>
      </c>
      <c r="CH37" s="66">
        <f t="shared" si="90"/>
        <v>1.8303544008353295E-2</v>
      </c>
      <c r="CI37" s="66">
        <f t="shared" si="91"/>
        <v>3.3342657342657345E-2</v>
      </c>
      <c r="CJ37" s="66">
        <f t="shared" si="92"/>
        <v>4.6146699014091776E-2</v>
      </c>
      <c r="CK37" s="66">
        <f t="shared" si="93"/>
        <v>4.6146699014091776E-2</v>
      </c>
      <c r="CL37" s="66">
        <f t="shared" si="94"/>
        <v>4.6146699014091776E-2</v>
      </c>
      <c r="CM37" s="66">
        <f t="shared" si="95"/>
        <v>4.6146699014091776E-2</v>
      </c>
      <c r="CO37" s="2" t="s">
        <v>921</v>
      </c>
      <c r="CP37" s="30" t="s">
        <v>1027</v>
      </c>
      <c r="CQ37" s="67">
        <f t="shared" si="58"/>
        <v>0</v>
      </c>
      <c r="CR37" s="67">
        <f t="shared" si="59"/>
        <v>596</v>
      </c>
      <c r="CS37" s="66"/>
      <c r="CT37" s="66"/>
    </row>
    <row r="38" spans="2:98">
      <c r="B38" s="2" t="s">
        <v>438</v>
      </c>
      <c r="C38" s="30" t="s">
        <v>277</v>
      </c>
      <c r="D38" s="67">
        <f>SUMIFS(Ships!$P:$P,Ships!$H:$H,'Ship Table'!$B38,Ships!$I:$I,"&lt;2017")</f>
        <v>0</v>
      </c>
      <c r="E38" s="67">
        <f>SUMIFS(Ships!$P:$P,Ships!$H:$H,'Ship Table'!$B38,Ships!$I:$I,"&lt;2018")</f>
        <v>0</v>
      </c>
      <c r="F38" s="67">
        <f>SUMIFS(Ships!$P:$P,Ships!$H:$H,'Ship Table'!$B38,Ships!$I:$I,"&lt;2019")</f>
        <v>228</v>
      </c>
      <c r="G38" s="67">
        <f>SUMIFS(Ships!$P:$P,Ships!$H:$H,'Ship Table'!$B38,Ships!$I:$I,"&lt;2020")</f>
        <v>228</v>
      </c>
      <c r="H38" s="67">
        <f>SUMIFS(Ships!$P:$P,Ships!$H:$H,'Ship Table'!$B38,Ships!$I:$I,"&lt;2021")</f>
        <v>456</v>
      </c>
      <c r="I38" s="67">
        <f>SUMIFS(Ships!$P:$P,Ships!$H:$H,'Ship Table'!$B38,Ships!$I:$I,"&lt;2022")</f>
        <v>456</v>
      </c>
      <c r="J38" s="67">
        <f>SUMIFS(Ships!$P:$P,Ships!$H:$H,'Ship Table'!$B38,Ships!$I:$I,"&lt;2023")</f>
        <v>456</v>
      </c>
      <c r="K38" s="67">
        <f>SUMIFS(Ships!$P:$P,Ships!$H:$H,'Ship Table'!$B38,Ships!$I:$I,"&lt;2024")</f>
        <v>456</v>
      </c>
      <c r="L38" s="67">
        <f>SUMIFS(Ships!$P:$P,Ships!$H:$H,'Ship Table'!$B38,Ships!$I:$I,"&lt;2025")</f>
        <v>456</v>
      </c>
      <c r="M38" s="67">
        <f>SUMIFS(Ships!$P:$P,Ships!$H:$H,'Ship Table'!$B38,Ships!$I:$I,"&lt;2026")</f>
        <v>456</v>
      </c>
      <c r="O38" s="2" t="s">
        <v>438</v>
      </c>
      <c r="P38" s="30" t="s">
        <v>277</v>
      </c>
      <c r="Q38" s="67"/>
      <c r="R38" s="67">
        <f t="shared" si="40"/>
        <v>0</v>
      </c>
      <c r="S38" s="67">
        <f t="shared" si="41"/>
        <v>228</v>
      </c>
      <c r="T38" s="67">
        <f t="shared" si="42"/>
        <v>0</v>
      </c>
      <c r="U38" s="67">
        <f t="shared" si="43"/>
        <v>228</v>
      </c>
      <c r="V38" s="67">
        <f t="shared" si="44"/>
        <v>0</v>
      </c>
      <c r="W38" s="67">
        <f t="shared" si="45"/>
        <v>0</v>
      </c>
      <c r="X38" s="67">
        <f t="shared" si="46"/>
        <v>0</v>
      </c>
      <c r="Y38" s="67">
        <f t="shared" si="47"/>
        <v>0</v>
      </c>
      <c r="Z38" s="67">
        <f t="shared" si="48"/>
        <v>0</v>
      </c>
      <c r="AB38" s="2" t="s">
        <v>438</v>
      </c>
      <c r="AC38" s="30" t="s">
        <v>277</v>
      </c>
      <c r="AD38" s="66"/>
      <c r="AE38" s="66"/>
      <c r="AF38" s="66"/>
      <c r="AG38" s="66"/>
      <c r="AH38" s="66">
        <f t="shared" si="78"/>
        <v>1</v>
      </c>
      <c r="AI38" s="66">
        <f t="shared" si="79"/>
        <v>0</v>
      </c>
      <c r="AJ38" s="66">
        <f t="shared" si="80"/>
        <v>0</v>
      </c>
      <c r="AK38" s="66">
        <f t="shared" si="81"/>
        <v>0</v>
      </c>
      <c r="AL38" s="66">
        <f t="shared" si="82"/>
        <v>0</v>
      </c>
      <c r="AM38" s="66">
        <f t="shared" si="83"/>
        <v>0</v>
      </c>
      <c r="AO38" s="2" t="s">
        <v>438</v>
      </c>
      <c r="AP38" s="30" t="s">
        <v>277</v>
      </c>
      <c r="AQ38" s="66"/>
      <c r="AR38" s="66">
        <f t="shared" si="98"/>
        <v>0</v>
      </c>
      <c r="AS38" s="66">
        <f t="shared" si="99"/>
        <v>4.3215211754537599E-4</v>
      </c>
      <c r="AT38" s="66">
        <f t="shared" si="100"/>
        <v>0</v>
      </c>
      <c r="AU38" s="66">
        <f t="shared" si="101"/>
        <v>3.7754470096141429E-4</v>
      </c>
      <c r="AV38" s="66">
        <f t="shared" si="102"/>
        <v>0</v>
      </c>
      <c r="AW38" s="66">
        <f t="shared" si="103"/>
        <v>0</v>
      </c>
      <c r="AX38" s="66">
        <f t="shared" si="104"/>
        <v>0</v>
      </c>
      <c r="AY38" s="66">
        <f t="shared" si="105"/>
        <v>0</v>
      </c>
      <c r="AZ38" s="66">
        <f t="shared" si="106"/>
        <v>0</v>
      </c>
      <c r="BB38" s="2" t="s">
        <v>438</v>
      </c>
      <c r="BC38" s="30" t="s">
        <v>277</v>
      </c>
      <c r="BD38" s="66"/>
      <c r="BE38" s="66">
        <f t="shared" si="107"/>
        <v>0</v>
      </c>
      <c r="BF38" s="66">
        <f t="shared" si="108"/>
        <v>6.0711280581976208E-4</v>
      </c>
      <c r="BG38" s="66">
        <f t="shared" si="109"/>
        <v>0</v>
      </c>
      <c r="BH38" s="66">
        <f t="shared" si="110"/>
        <v>5.2360589929313205E-4</v>
      </c>
      <c r="BI38" s="66">
        <f t="shared" si="111"/>
        <v>0</v>
      </c>
      <c r="BJ38" s="66">
        <f t="shared" si="112"/>
        <v>0</v>
      </c>
      <c r="BK38" s="66">
        <f t="shared" si="113"/>
        <v>0</v>
      </c>
      <c r="BL38" s="66">
        <f t="shared" si="114"/>
        <v>0</v>
      </c>
      <c r="BM38" s="66">
        <f t="shared" si="115"/>
        <v>0</v>
      </c>
      <c r="BO38" s="2" t="s">
        <v>438</v>
      </c>
      <c r="BP38" s="30" t="s">
        <v>277</v>
      </c>
      <c r="BQ38" s="66">
        <f t="shared" si="116"/>
        <v>0</v>
      </c>
      <c r="BR38" s="66">
        <f t="shared" si="117"/>
        <v>0</v>
      </c>
      <c r="BS38" s="66">
        <f t="shared" si="118"/>
        <v>4.0611451716902555E-4</v>
      </c>
      <c r="BT38" s="66">
        <f t="shared" si="119"/>
        <v>3.7754470096141429E-4</v>
      </c>
      <c r="BU38" s="66">
        <f t="shared" si="120"/>
        <v>7.0665902152520577E-4</v>
      </c>
      <c r="BV38" s="66">
        <f t="shared" si="121"/>
        <v>6.6596175977474135E-4</v>
      </c>
      <c r="BW38" s="66">
        <f t="shared" si="122"/>
        <v>6.2713859763007624E-4</v>
      </c>
      <c r="BX38" s="66">
        <f t="shared" si="123"/>
        <v>6.0270423875546865E-4</v>
      </c>
      <c r="BY38" s="66">
        <f t="shared" si="124"/>
        <v>5.8746231738424678E-4</v>
      </c>
      <c r="BZ38" s="66">
        <f t="shared" si="125"/>
        <v>5.7957751849309846E-4</v>
      </c>
      <c r="CB38" s="2" t="s">
        <v>438</v>
      </c>
      <c r="CC38" s="30" t="s">
        <v>277</v>
      </c>
      <c r="CD38" s="66">
        <f t="shared" si="86"/>
        <v>0</v>
      </c>
      <c r="CE38" s="66">
        <f t="shared" si="87"/>
        <v>0</v>
      </c>
      <c r="CF38" s="66">
        <f t="shared" si="88"/>
        <v>1.6568563331153259E-2</v>
      </c>
      <c r="CG38" s="66">
        <f t="shared" si="89"/>
        <v>1.5703560851298298E-2</v>
      </c>
      <c r="CH38" s="66">
        <f t="shared" si="90"/>
        <v>2.8008107610097661E-2</v>
      </c>
      <c r="CI38" s="66">
        <f t="shared" si="91"/>
        <v>2.5510489510489509E-2</v>
      </c>
      <c r="CJ38" s="66">
        <f t="shared" si="92"/>
        <v>2.3537913591080369E-2</v>
      </c>
      <c r="CK38" s="66">
        <f t="shared" si="93"/>
        <v>2.3537913591080369E-2</v>
      </c>
      <c r="CL38" s="66">
        <f t="shared" si="94"/>
        <v>2.3537913591080369E-2</v>
      </c>
      <c r="CM38" s="66">
        <f t="shared" si="95"/>
        <v>2.3537913591080369E-2</v>
      </c>
      <c r="CO38" s="2" t="s">
        <v>438</v>
      </c>
      <c r="CP38" s="30" t="s">
        <v>277</v>
      </c>
      <c r="CQ38" s="67">
        <f t="shared" si="58"/>
        <v>228</v>
      </c>
      <c r="CR38" s="67">
        <f t="shared" si="59"/>
        <v>228</v>
      </c>
      <c r="CS38" s="66">
        <f t="shared" si="60"/>
        <v>1</v>
      </c>
      <c r="CT38" s="66">
        <f t="shared" si="61"/>
        <v>0.25992104989487319</v>
      </c>
    </row>
    <row r="39" spans="2:98">
      <c r="B39" s="2" t="s">
        <v>430</v>
      </c>
      <c r="C39" s="30" t="s">
        <v>430</v>
      </c>
      <c r="D39" s="67">
        <f>SUMIFS(Ships!$P:$P,Ships!$H:$H,'Ship Table'!$B39,Ships!$I:$I,"&lt;2017")</f>
        <v>188</v>
      </c>
      <c r="E39" s="67">
        <f>SUMIFS(Ships!$P:$P,Ships!$H:$H,'Ship Table'!$B39,Ships!$I:$I,"&lt;2018")</f>
        <v>188</v>
      </c>
      <c r="F39" s="67">
        <f>SUMIFS(Ships!$P:$P,Ships!$H:$H,'Ship Table'!$B39,Ships!$I:$I,"&lt;2019")</f>
        <v>188</v>
      </c>
      <c r="G39" s="67">
        <f>SUMIFS(Ships!$P:$P,Ships!$H:$H,'Ship Table'!$B39,Ships!$I:$I,"&lt;2020")</f>
        <v>188</v>
      </c>
      <c r="H39" s="67">
        <f>SUMIFS(Ships!$P:$P,Ships!$H:$H,'Ship Table'!$B39,Ships!$I:$I,"&lt;2021")</f>
        <v>188</v>
      </c>
      <c r="I39" s="67">
        <f>SUMIFS(Ships!$P:$P,Ships!$H:$H,'Ship Table'!$B39,Ships!$I:$I,"&lt;2022")</f>
        <v>188</v>
      </c>
      <c r="J39" s="67">
        <f>SUMIFS(Ships!$P:$P,Ships!$H:$H,'Ship Table'!$B39,Ships!$I:$I,"&lt;2023")</f>
        <v>188</v>
      </c>
      <c r="K39" s="67">
        <f>SUMIFS(Ships!$P:$P,Ships!$H:$H,'Ship Table'!$B39,Ships!$I:$I,"&lt;2024")</f>
        <v>188</v>
      </c>
      <c r="L39" s="67">
        <f>SUMIFS(Ships!$P:$P,Ships!$H:$H,'Ship Table'!$B39,Ships!$I:$I,"&lt;2025")</f>
        <v>188</v>
      </c>
      <c r="M39" s="67">
        <f>SUMIFS(Ships!$P:$P,Ships!$H:$H,'Ship Table'!$B39,Ships!$I:$I,"&lt;2026")</f>
        <v>188</v>
      </c>
      <c r="O39" s="2" t="s">
        <v>430</v>
      </c>
      <c r="P39" s="30" t="s">
        <v>430</v>
      </c>
      <c r="Q39" s="67"/>
      <c r="R39" s="67">
        <f t="shared" si="40"/>
        <v>0</v>
      </c>
      <c r="S39" s="67">
        <f t="shared" si="41"/>
        <v>0</v>
      </c>
      <c r="T39" s="67">
        <f t="shared" si="42"/>
        <v>0</v>
      </c>
      <c r="U39" s="67">
        <f t="shared" si="43"/>
        <v>0</v>
      </c>
      <c r="V39" s="67">
        <f t="shared" si="44"/>
        <v>0</v>
      </c>
      <c r="W39" s="67">
        <f t="shared" si="45"/>
        <v>0</v>
      </c>
      <c r="X39" s="67">
        <f t="shared" si="46"/>
        <v>0</v>
      </c>
      <c r="Y39" s="67">
        <f t="shared" si="47"/>
        <v>0</v>
      </c>
      <c r="Z39" s="67">
        <f t="shared" si="48"/>
        <v>0</v>
      </c>
      <c r="AB39" s="2" t="s">
        <v>430</v>
      </c>
      <c r="AC39" s="30" t="s">
        <v>430</v>
      </c>
      <c r="AD39" s="66"/>
      <c r="AE39" s="66">
        <f t="shared" si="75"/>
        <v>0</v>
      </c>
      <c r="AF39" s="66">
        <f t="shared" si="76"/>
        <v>0</v>
      </c>
      <c r="AG39" s="66">
        <f t="shared" si="77"/>
        <v>0</v>
      </c>
      <c r="AH39" s="66">
        <f t="shared" si="78"/>
        <v>0</v>
      </c>
      <c r="AI39" s="66">
        <f t="shared" si="79"/>
        <v>0</v>
      </c>
      <c r="AJ39" s="66">
        <f t="shared" si="80"/>
        <v>0</v>
      </c>
      <c r="AK39" s="66">
        <f t="shared" si="81"/>
        <v>0</v>
      </c>
      <c r="AL39" s="66">
        <f t="shared" si="82"/>
        <v>0</v>
      </c>
      <c r="AM39" s="66">
        <f t="shared" si="83"/>
        <v>0</v>
      </c>
      <c r="AO39" s="2" t="s">
        <v>430</v>
      </c>
      <c r="AP39" s="30" t="s">
        <v>430</v>
      </c>
      <c r="AQ39" s="66"/>
      <c r="AR39" s="66">
        <f t="shared" si="98"/>
        <v>0</v>
      </c>
      <c r="AS39" s="66">
        <f t="shared" si="99"/>
        <v>0</v>
      </c>
      <c r="AT39" s="66">
        <f t="shared" si="100"/>
        <v>0</v>
      </c>
      <c r="AU39" s="66">
        <f t="shared" si="101"/>
        <v>0</v>
      </c>
      <c r="AV39" s="66">
        <f t="shared" si="102"/>
        <v>0</v>
      </c>
      <c r="AW39" s="66">
        <f t="shared" si="103"/>
        <v>0</v>
      </c>
      <c r="AX39" s="66">
        <f t="shared" si="104"/>
        <v>0</v>
      </c>
      <c r="AY39" s="66">
        <f t="shared" si="105"/>
        <v>0</v>
      </c>
      <c r="AZ39" s="66">
        <f t="shared" si="106"/>
        <v>0</v>
      </c>
      <c r="BB39" s="2" t="s">
        <v>430</v>
      </c>
      <c r="BC39" s="30" t="s">
        <v>430</v>
      </c>
      <c r="BD39" s="66"/>
      <c r="BE39" s="66">
        <f t="shared" si="107"/>
        <v>0</v>
      </c>
      <c r="BF39" s="66">
        <f t="shared" si="108"/>
        <v>0</v>
      </c>
      <c r="BG39" s="66">
        <f t="shared" si="109"/>
        <v>0</v>
      </c>
      <c r="BH39" s="66">
        <f t="shared" si="110"/>
        <v>0</v>
      </c>
      <c r="BI39" s="66">
        <f t="shared" si="111"/>
        <v>0</v>
      </c>
      <c r="BJ39" s="66">
        <f t="shared" si="112"/>
        <v>0</v>
      </c>
      <c r="BK39" s="66">
        <f t="shared" si="113"/>
        <v>0</v>
      </c>
      <c r="BL39" s="66">
        <f t="shared" si="114"/>
        <v>0</v>
      </c>
      <c r="BM39" s="66">
        <f t="shared" si="115"/>
        <v>0</v>
      </c>
      <c r="BO39" s="2" t="s">
        <v>430</v>
      </c>
      <c r="BP39" s="30" t="s">
        <v>430</v>
      </c>
      <c r="BQ39" s="66">
        <f t="shared" si="116"/>
        <v>3.7635829309502647E-4</v>
      </c>
      <c r="BR39" s="66">
        <f t="shared" si="117"/>
        <v>3.5633595657250301E-4</v>
      </c>
      <c r="BS39" s="66">
        <f t="shared" si="118"/>
        <v>3.3486635626217901E-4</v>
      </c>
      <c r="BT39" s="66">
        <f t="shared" si="119"/>
        <v>3.1130878851204336E-4</v>
      </c>
      <c r="BU39" s="66">
        <f t="shared" si="120"/>
        <v>2.9134187729547956E-4</v>
      </c>
      <c r="BV39" s="66">
        <f t="shared" si="121"/>
        <v>2.745631816615162E-4</v>
      </c>
      <c r="BW39" s="66">
        <f t="shared" si="122"/>
        <v>2.5855714112818935E-4</v>
      </c>
      <c r="BX39" s="66">
        <f t="shared" si="123"/>
        <v>2.4848332650444758E-4</v>
      </c>
      <c r="BY39" s="66">
        <f t="shared" si="124"/>
        <v>2.4219937646543507E-4</v>
      </c>
      <c r="BZ39" s="66">
        <f t="shared" si="125"/>
        <v>2.3894862604540023E-4</v>
      </c>
      <c r="CB39" s="2" t="s">
        <v>430</v>
      </c>
      <c r="CC39" s="30" t="s">
        <v>430</v>
      </c>
      <c r="CD39" s="66">
        <f t="shared" si="86"/>
        <v>1.5218975147737391E-2</v>
      </c>
      <c r="CE39" s="66">
        <f t="shared" si="87"/>
        <v>1.4540954443499111E-2</v>
      </c>
      <c r="CF39" s="66">
        <f t="shared" si="88"/>
        <v>1.3661797834459704E-2</v>
      </c>
      <c r="CG39" s="66">
        <f t="shared" si="89"/>
        <v>1.2948550175631931E-2</v>
      </c>
      <c r="CH39" s="66">
        <f t="shared" si="90"/>
        <v>1.1547202260303421E-2</v>
      </c>
      <c r="CI39" s="66">
        <f t="shared" si="91"/>
        <v>1.0517482517482517E-2</v>
      </c>
      <c r="CJ39" s="66">
        <f t="shared" si="92"/>
        <v>9.7042275331647131E-3</v>
      </c>
      <c r="CK39" s="66">
        <f t="shared" si="93"/>
        <v>9.7042275331647131E-3</v>
      </c>
      <c r="CL39" s="66">
        <f t="shared" si="94"/>
        <v>9.7042275331647131E-3</v>
      </c>
      <c r="CM39" s="66">
        <f t="shared" si="95"/>
        <v>9.7042275331647131E-3</v>
      </c>
      <c r="CO39" s="2" t="s">
        <v>430</v>
      </c>
      <c r="CP39" s="30" t="s">
        <v>430</v>
      </c>
      <c r="CQ39" s="67">
        <f t="shared" si="58"/>
        <v>188</v>
      </c>
      <c r="CR39" s="67">
        <f t="shared" si="59"/>
        <v>0</v>
      </c>
      <c r="CS39" s="66">
        <f t="shared" si="60"/>
        <v>0</v>
      </c>
      <c r="CT39" s="66">
        <f t="shared" si="61"/>
        <v>0</v>
      </c>
    </row>
    <row r="40" spans="2:98">
      <c r="B40" s="65" t="s">
        <v>202</v>
      </c>
      <c r="C40" s="177"/>
      <c r="D40" s="175">
        <f>SUMIFS(Ships!$P:$P,Ships!$G:$G,'Ship Table'!$B40,Ships!$I:$I,"&lt;2017")</f>
        <v>12353</v>
      </c>
      <c r="E40" s="175">
        <f>SUMIFS(Ships!$P:$P,Ships!$G:$G,'Ship Table'!$B40,Ships!$I:$I,"&lt;2018")</f>
        <v>12929</v>
      </c>
      <c r="F40" s="175">
        <f>SUMIFS(Ships!$P:$P,Ships!$G:$G,'Ship Table'!$B40,Ships!$I:$I,"&lt;2019")</f>
        <v>13761</v>
      </c>
      <c r="G40" s="175">
        <f>SUMIFS(Ships!$P:$P,Ships!$G:$G,'Ship Table'!$B40,Ships!$I:$I,"&lt;2020")</f>
        <v>14519</v>
      </c>
      <c r="H40" s="175">
        <f>SUMIFS(Ships!$P:$P,Ships!$G:$G,'Ship Table'!$B40,Ships!$I:$I,"&lt;2021")</f>
        <v>16281</v>
      </c>
      <c r="I40" s="175">
        <f>SUMIFS(Ships!$P:$P,Ships!$G:$G,'Ship Table'!$B40,Ships!$I:$I,"&lt;2022")</f>
        <v>17875</v>
      </c>
      <c r="J40" s="175">
        <f>SUMIFS(Ships!$P:$P,Ships!$G:$G,'Ship Table'!$B40,Ships!$I:$I,"&lt;2023")</f>
        <v>19373</v>
      </c>
      <c r="K40" s="175">
        <f>SUMIFS(Ships!$P:$P,Ships!$G:$G,'Ship Table'!$B40,Ships!$I:$I,"&lt;2024")</f>
        <v>19373</v>
      </c>
      <c r="L40" s="175">
        <f>SUMIFS(Ships!$P:$P,Ships!$G:$G,'Ship Table'!$B40,Ships!$I:$I,"&lt;2025")</f>
        <v>19373</v>
      </c>
      <c r="M40" s="175">
        <f>SUMIFS(Ships!$P:$P,Ships!$G:$G,'Ship Table'!$B40,Ships!$I:$I,"&lt;2026")</f>
        <v>19373</v>
      </c>
      <c r="O40" s="65" t="s">
        <v>202</v>
      </c>
      <c r="P40" s="177"/>
      <c r="Q40" s="175"/>
      <c r="R40" s="175">
        <f t="shared" si="40"/>
        <v>576</v>
      </c>
      <c r="S40" s="175">
        <f t="shared" si="41"/>
        <v>832</v>
      </c>
      <c r="T40" s="175">
        <f t="shared" si="42"/>
        <v>758</v>
      </c>
      <c r="U40" s="175">
        <f t="shared" si="43"/>
        <v>1762</v>
      </c>
      <c r="V40" s="175">
        <f t="shared" si="44"/>
        <v>1594</v>
      </c>
      <c r="W40" s="175">
        <f t="shared" si="45"/>
        <v>1498</v>
      </c>
      <c r="X40" s="175">
        <f t="shared" si="46"/>
        <v>0</v>
      </c>
      <c r="Y40" s="175">
        <f t="shared" si="47"/>
        <v>0</v>
      </c>
      <c r="Z40" s="175">
        <f t="shared" si="48"/>
        <v>0</v>
      </c>
      <c r="AB40" s="65" t="s">
        <v>202</v>
      </c>
      <c r="AC40" s="177"/>
      <c r="AD40" s="271"/>
      <c r="AE40" s="271">
        <f t="shared" si="75"/>
        <v>4.6628349388812433E-2</v>
      </c>
      <c r="AF40" s="271">
        <f t="shared" si="76"/>
        <v>6.4351457962719474E-2</v>
      </c>
      <c r="AG40" s="271">
        <f t="shared" si="77"/>
        <v>5.508320616234285E-2</v>
      </c>
      <c r="AH40" s="271">
        <f t="shared" si="78"/>
        <v>0.12135822026310351</v>
      </c>
      <c r="AI40" s="271">
        <f t="shared" si="79"/>
        <v>9.7905534058104537E-2</v>
      </c>
      <c r="AJ40" s="271">
        <f t="shared" si="80"/>
        <v>8.3804195804195805E-2</v>
      </c>
      <c r="AK40" s="271">
        <f t="shared" si="81"/>
        <v>0</v>
      </c>
      <c r="AL40" s="271">
        <f t="shared" si="82"/>
        <v>0</v>
      </c>
      <c r="AM40" s="271">
        <f t="shared" si="83"/>
        <v>0</v>
      </c>
      <c r="AO40" s="65" t="s">
        <v>202</v>
      </c>
      <c r="AP40" s="177"/>
      <c r="AQ40" s="271"/>
      <c r="AR40" s="271">
        <f t="shared" si="98"/>
        <v>1.1530977490571024E-3</v>
      </c>
      <c r="AS40" s="271">
        <f t="shared" si="99"/>
        <v>1.576976148235758E-3</v>
      </c>
      <c r="AT40" s="271">
        <f t="shared" si="100"/>
        <v>1.3501526491847429E-3</v>
      </c>
      <c r="AU40" s="271">
        <f t="shared" si="101"/>
        <v>2.9176919433947894E-3</v>
      </c>
      <c r="AV40" s="271">
        <f t="shared" si="102"/>
        <v>2.470207193664864E-3</v>
      </c>
      <c r="AW40" s="271">
        <f t="shared" si="103"/>
        <v>2.1877427985582511E-3</v>
      </c>
      <c r="AX40" s="271">
        <f t="shared" si="104"/>
        <v>0</v>
      </c>
      <c r="AY40" s="271">
        <f t="shared" si="105"/>
        <v>0</v>
      </c>
      <c r="AZ40" s="271">
        <f t="shared" si="106"/>
        <v>0</v>
      </c>
      <c r="BB40" s="65" t="s">
        <v>202</v>
      </c>
      <c r="BC40" s="177"/>
      <c r="BD40" s="271"/>
      <c r="BE40" s="271">
        <f t="shared" si="107"/>
        <v>1.6139607605790084E-3</v>
      </c>
      <c r="BF40" s="271">
        <f t="shared" si="108"/>
        <v>2.215429186149307E-3</v>
      </c>
      <c r="BG40" s="271">
        <f t="shared" si="109"/>
        <v>1.8886635338439535E-3</v>
      </c>
      <c r="BH40" s="271">
        <f t="shared" si="110"/>
        <v>4.0464631340109587E-3</v>
      </c>
      <c r="BI40" s="271">
        <f t="shared" si="111"/>
        <v>3.4738112983860071E-3</v>
      </c>
      <c r="BJ40" s="271">
        <f t="shared" si="112"/>
        <v>3.1258998960815654E-3</v>
      </c>
      <c r="BK40" s="271">
        <f t="shared" si="113"/>
        <v>0</v>
      </c>
      <c r="BL40" s="271">
        <f t="shared" si="114"/>
        <v>0</v>
      </c>
      <c r="BM40" s="271">
        <f t="shared" si="115"/>
        <v>0</v>
      </c>
      <c r="BO40" s="65" t="s">
        <v>202</v>
      </c>
      <c r="BP40" s="177"/>
      <c r="BQ40" s="271">
        <f t="shared" si="116"/>
        <v>2.4729542524483308E-2</v>
      </c>
      <c r="BR40" s="271">
        <f t="shared" si="117"/>
        <v>2.4505678630456867E-2</v>
      </c>
      <c r="BS40" s="271">
        <f t="shared" si="118"/>
        <v>2.4511148555977899E-2</v>
      </c>
      <c r="BT40" s="271">
        <f t="shared" si="119"/>
        <v>2.404198032131041E-2</v>
      </c>
      <c r="BU40" s="271">
        <f t="shared" si="120"/>
        <v>2.5230516511955865E-2</v>
      </c>
      <c r="BV40" s="271">
        <f t="shared" si="121"/>
        <v>2.610540889467873E-2</v>
      </c>
      <c r="BW40" s="271">
        <f t="shared" si="122"/>
        <v>2.6643763271683042E-2</v>
      </c>
      <c r="BX40" s="271">
        <f t="shared" si="123"/>
        <v>2.5605678108354592E-2</v>
      </c>
      <c r="BY40" s="271">
        <f t="shared" si="124"/>
        <v>2.4958130426940815E-2</v>
      </c>
      <c r="BZ40" s="271">
        <f t="shared" si="125"/>
        <v>2.4623147512646482E-2</v>
      </c>
      <c r="CB40" s="65" t="s">
        <v>202</v>
      </c>
      <c r="CC40" s="177"/>
      <c r="CD40" s="271">
        <f t="shared" si="86"/>
        <v>1</v>
      </c>
      <c r="CE40" s="271">
        <f t="shared" si="87"/>
        <v>1</v>
      </c>
      <c r="CF40" s="271">
        <f t="shared" si="88"/>
        <v>1</v>
      </c>
      <c r="CG40" s="271">
        <f t="shared" si="89"/>
        <v>1</v>
      </c>
      <c r="CH40" s="271">
        <f t="shared" si="90"/>
        <v>1</v>
      </c>
      <c r="CI40" s="271">
        <f t="shared" si="91"/>
        <v>1</v>
      </c>
      <c r="CJ40" s="271">
        <f t="shared" si="92"/>
        <v>1</v>
      </c>
      <c r="CK40" s="271">
        <f t="shared" si="93"/>
        <v>1</v>
      </c>
      <c r="CL40" s="271">
        <f t="shared" si="94"/>
        <v>1</v>
      </c>
      <c r="CM40" s="271">
        <f t="shared" si="95"/>
        <v>1</v>
      </c>
      <c r="CO40" s="65" t="s">
        <v>202</v>
      </c>
      <c r="CP40" s="177"/>
      <c r="CQ40" s="175">
        <f t="shared" si="58"/>
        <v>13761</v>
      </c>
      <c r="CR40" s="175">
        <f t="shared" si="59"/>
        <v>4114</v>
      </c>
      <c r="CS40" s="271">
        <f t="shared" si="60"/>
        <v>0.29896083133493206</v>
      </c>
      <c r="CT40" s="271">
        <f t="shared" si="61"/>
        <v>9.1102000082760259E-2</v>
      </c>
    </row>
    <row r="41" spans="2:98">
      <c r="B41" s="2" t="s">
        <v>332</v>
      </c>
      <c r="C41" s="30" t="s">
        <v>786</v>
      </c>
      <c r="D41" s="67">
        <f>SUMIFS(Ships!$P:$P,Ships!$H:$H,'Ship Table'!$B41,Ships!$I:$I,"&lt;2017")</f>
        <v>8331</v>
      </c>
      <c r="E41" s="67">
        <f>SUMIFS(Ships!$P:$P,Ships!$H:$H,'Ship Table'!$B41,Ships!$I:$I,"&lt;2018")</f>
        <v>8331</v>
      </c>
      <c r="F41" s="67">
        <f>SUMIFS(Ships!$P:$P,Ships!$H:$H,'Ship Table'!$B41,Ships!$I:$I,"&lt;2019")</f>
        <v>8331</v>
      </c>
      <c r="G41" s="67">
        <f>SUMIFS(Ships!$P:$P,Ships!$H:$H,'Ship Table'!$B41,Ships!$I:$I,"&lt;2020")</f>
        <v>9391</v>
      </c>
      <c r="H41" s="67">
        <f>SUMIFS(Ships!$P:$P,Ships!$H:$H,'Ship Table'!$B41,Ships!$I:$I,"&lt;2021")</f>
        <v>9391</v>
      </c>
      <c r="I41" s="67">
        <f>SUMIFS(Ships!$P:$P,Ships!$H:$H,'Ship Table'!$B41,Ships!$I:$I,"&lt;2022")</f>
        <v>9391</v>
      </c>
      <c r="J41" s="67">
        <f>SUMIFS(Ships!$P:$P,Ships!$H:$H,'Ship Table'!$B41,Ships!$I:$I,"&lt;2023")</f>
        <v>9391</v>
      </c>
      <c r="K41" s="67">
        <f>SUMIFS(Ships!$P:$P,Ships!$H:$H,'Ship Table'!$B41,Ships!$I:$I,"&lt;2024")</f>
        <v>9391</v>
      </c>
      <c r="L41" s="67">
        <f>SUMIFS(Ships!$P:$P,Ships!$H:$H,'Ship Table'!$B41,Ships!$I:$I,"&lt;2025")</f>
        <v>9391</v>
      </c>
      <c r="M41" s="67">
        <f>SUMIFS(Ships!$P:$P,Ships!$H:$H,'Ship Table'!$B41,Ships!$I:$I,"&lt;2026")</f>
        <v>9391</v>
      </c>
      <c r="O41" s="2" t="s">
        <v>332</v>
      </c>
      <c r="P41" s="30" t="s">
        <v>786</v>
      </c>
      <c r="Q41" s="67"/>
      <c r="R41" s="67">
        <f t="shared" si="40"/>
        <v>0</v>
      </c>
      <c r="S41" s="67">
        <f t="shared" si="41"/>
        <v>0</v>
      </c>
      <c r="T41" s="67">
        <f t="shared" si="42"/>
        <v>1060</v>
      </c>
      <c r="U41" s="67">
        <f t="shared" si="43"/>
        <v>0</v>
      </c>
      <c r="V41" s="67">
        <f t="shared" si="44"/>
        <v>0</v>
      </c>
      <c r="W41" s="67">
        <f t="shared" si="45"/>
        <v>0</v>
      </c>
      <c r="X41" s="67">
        <f t="shared" si="46"/>
        <v>0</v>
      </c>
      <c r="Y41" s="67">
        <f t="shared" si="47"/>
        <v>0</v>
      </c>
      <c r="Z41" s="67">
        <f t="shared" si="48"/>
        <v>0</v>
      </c>
      <c r="AB41" s="2" t="s">
        <v>332</v>
      </c>
      <c r="AC41" s="30" t="s">
        <v>786</v>
      </c>
      <c r="AD41" s="66"/>
      <c r="AE41" s="66">
        <f t="shared" si="75"/>
        <v>0</v>
      </c>
      <c r="AF41" s="66">
        <f t="shared" si="76"/>
        <v>0</v>
      </c>
      <c r="AG41" s="66">
        <f t="shared" si="77"/>
        <v>0.12723562597527308</v>
      </c>
      <c r="AH41" s="66">
        <f t="shared" si="78"/>
        <v>0</v>
      </c>
      <c r="AI41" s="66">
        <f t="shared" si="79"/>
        <v>0</v>
      </c>
      <c r="AJ41" s="66">
        <f t="shared" si="80"/>
        <v>0</v>
      </c>
      <c r="AK41" s="66">
        <f t="shared" si="81"/>
        <v>0</v>
      </c>
      <c r="AL41" s="66">
        <f t="shared" si="82"/>
        <v>0</v>
      </c>
      <c r="AM41" s="66">
        <f t="shared" si="83"/>
        <v>0</v>
      </c>
      <c r="AO41" s="2" t="s">
        <v>332</v>
      </c>
      <c r="AP41" s="30" t="s">
        <v>786</v>
      </c>
      <c r="AQ41" s="66"/>
      <c r="AR41" s="66">
        <f t="shared" si="98"/>
        <v>0</v>
      </c>
      <c r="AS41" s="66">
        <f t="shared" si="99"/>
        <v>0</v>
      </c>
      <c r="AT41" s="66">
        <f t="shared" si="100"/>
        <v>1.8880762640314348E-3</v>
      </c>
      <c r="AU41" s="66">
        <f t="shared" si="101"/>
        <v>0</v>
      </c>
      <c r="AV41" s="66">
        <f t="shared" si="102"/>
        <v>0</v>
      </c>
      <c r="AW41" s="66">
        <f t="shared" si="103"/>
        <v>0</v>
      </c>
      <c r="AX41" s="66">
        <f t="shared" si="104"/>
        <v>0</v>
      </c>
      <c r="AY41" s="66">
        <f t="shared" si="105"/>
        <v>0</v>
      </c>
      <c r="AZ41" s="66">
        <f t="shared" si="106"/>
        <v>0</v>
      </c>
      <c r="BB41" s="2" t="s">
        <v>332</v>
      </c>
      <c r="BC41" s="30" t="s">
        <v>786</v>
      </c>
      <c r="BD41" s="66"/>
      <c r="BE41" s="66">
        <f t="shared" si="107"/>
        <v>0</v>
      </c>
      <c r="BF41" s="66">
        <f t="shared" si="108"/>
        <v>0</v>
      </c>
      <c r="BG41" s="66">
        <f t="shared" si="109"/>
        <v>2.6411389787263729E-3</v>
      </c>
      <c r="BH41" s="66">
        <f t="shared" si="110"/>
        <v>0</v>
      </c>
      <c r="BI41" s="66">
        <f t="shared" si="111"/>
        <v>0</v>
      </c>
      <c r="BJ41" s="66">
        <f t="shared" si="112"/>
        <v>0</v>
      </c>
      <c r="BK41" s="66">
        <f t="shared" si="113"/>
        <v>0</v>
      </c>
      <c r="BL41" s="66">
        <f t="shared" si="114"/>
        <v>0</v>
      </c>
      <c r="BM41" s="66">
        <f t="shared" si="115"/>
        <v>0</v>
      </c>
      <c r="BO41" s="2" t="s">
        <v>332</v>
      </c>
      <c r="BP41" s="30" t="s">
        <v>786</v>
      </c>
      <c r="BQ41" s="66">
        <f t="shared" si="116"/>
        <v>1.6677877339226942E-2</v>
      </c>
      <c r="BR41" s="66">
        <f t="shared" si="117"/>
        <v>1.579061092662512E-2</v>
      </c>
      <c r="BS41" s="66">
        <f t="shared" si="118"/>
        <v>1.4839210712873474E-2</v>
      </c>
      <c r="BT41" s="66">
        <f t="shared" si="119"/>
        <v>1.5550536345301059E-2</v>
      </c>
      <c r="BU41" s="66">
        <f t="shared" si="120"/>
        <v>1.4553146647243874E-2</v>
      </c>
      <c r="BV41" s="66">
        <f t="shared" si="121"/>
        <v>1.3715015100974991E-2</v>
      </c>
      <c r="BW41" s="66">
        <f t="shared" si="122"/>
        <v>1.2915479320929926E-2</v>
      </c>
      <c r="BX41" s="66">
        <f t="shared" si="123"/>
        <v>1.241227084682589E-2</v>
      </c>
      <c r="BY41" s="66">
        <f t="shared" si="124"/>
        <v>1.2098374172270748E-2</v>
      </c>
      <c r="BZ41" s="66">
        <f t="shared" si="125"/>
        <v>1.1935992272299753E-2</v>
      </c>
      <c r="CB41" s="2" t="s">
        <v>332</v>
      </c>
      <c r="CC41" s="30" t="s">
        <v>786</v>
      </c>
      <c r="CD41" s="66">
        <f>D41/D$45</f>
        <v>0.76656238498343765</v>
      </c>
      <c r="CE41" s="66">
        <f t="shared" ref="CE41:CM41" si="126">E41/E$45</f>
        <v>0.76305184099651946</v>
      </c>
      <c r="CF41" s="66">
        <f t="shared" si="126"/>
        <v>0.73543432203389836</v>
      </c>
      <c r="CG41" s="66">
        <f t="shared" si="126"/>
        <v>0.69956793802145412</v>
      </c>
      <c r="CH41" s="66">
        <f t="shared" si="126"/>
        <v>0.65809390329362294</v>
      </c>
      <c r="CI41" s="66">
        <f t="shared" si="126"/>
        <v>0.63026845637583895</v>
      </c>
      <c r="CJ41" s="66">
        <f t="shared" si="126"/>
        <v>0.61905075807514831</v>
      </c>
      <c r="CK41" s="66">
        <f t="shared" si="126"/>
        <v>0.61905075807514831</v>
      </c>
      <c r="CL41" s="66">
        <f t="shared" si="126"/>
        <v>0.61905075807514831</v>
      </c>
      <c r="CM41" s="66">
        <f t="shared" si="126"/>
        <v>0.61905075807514831</v>
      </c>
      <c r="CO41" s="2" t="s">
        <v>332</v>
      </c>
      <c r="CP41" s="30" t="s">
        <v>786</v>
      </c>
      <c r="CQ41" s="67">
        <f t="shared" si="58"/>
        <v>8331</v>
      </c>
      <c r="CR41" s="67">
        <f t="shared" si="59"/>
        <v>1060</v>
      </c>
      <c r="CS41" s="66">
        <f t="shared" si="60"/>
        <v>0.12723562597527308</v>
      </c>
      <c r="CT41" s="66">
        <f t="shared" si="61"/>
        <v>4.0730387442150962E-2</v>
      </c>
    </row>
    <row r="42" spans="2:98">
      <c r="B42" s="2" t="s">
        <v>944</v>
      </c>
      <c r="C42" s="30" t="s">
        <v>1020</v>
      </c>
      <c r="D42" s="67">
        <f>SUMIFS(Ships!$P:$P,Ships!$H:$H,'Ship Table'!$B42,Ships!$I:$I,"&lt;2017")</f>
        <v>845</v>
      </c>
      <c r="E42" s="67">
        <f>SUMIFS(Ships!$P:$P,Ships!$H:$H,'Ship Table'!$B42,Ships!$I:$I,"&lt;2018")</f>
        <v>845</v>
      </c>
      <c r="F42" s="67">
        <f>SUMIFS(Ships!$P:$P,Ships!$H:$H,'Ship Table'!$B42,Ships!$I:$I,"&lt;2019")</f>
        <v>845</v>
      </c>
      <c r="G42" s="67">
        <f>SUMIFS(Ships!$P:$P,Ships!$H:$H,'Ship Table'!$B42,Ships!$I:$I,"&lt;2020")</f>
        <v>845</v>
      </c>
      <c r="H42" s="67">
        <f>SUMIFS(Ships!$P:$P,Ships!$H:$H,'Ship Table'!$B42,Ships!$I:$I,"&lt;2021")</f>
        <v>1045</v>
      </c>
      <c r="I42" s="67">
        <f>SUMIFS(Ships!$P:$P,Ships!$H:$H,'Ship Table'!$B42,Ships!$I:$I,"&lt;2022")</f>
        <v>1045</v>
      </c>
      <c r="J42" s="67">
        <f>SUMIFS(Ships!$P:$P,Ships!$H:$H,'Ship Table'!$B42,Ships!$I:$I,"&lt;2023")</f>
        <v>1045</v>
      </c>
      <c r="K42" s="67">
        <f>SUMIFS(Ships!$P:$P,Ships!$H:$H,'Ship Table'!$B42,Ships!$I:$I,"&lt;2024")</f>
        <v>1045</v>
      </c>
      <c r="L42" s="67">
        <f>SUMIFS(Ships!$P:$P,Ships!$H:$H,'Ship Table'!$B42,Ships!$I:$I,"&lt;2025")</f>
        <v>1045</v>
      </c>
      <c r="M42" s="67">
        <f>SUMIFS(Ships!$P:$P,Ships!$H:$H,'Ship Table'!$B42,Ships!$I:$I,"&lt;2026")</f>
        <v>1045</v>
      </c>
      <c r="O42" s="2" t="s">
        <v>944</v>
      </c>
      <c r="P42" s="30" t="s">
        <v>1020</v>
      </c>
      <c r="Q42" s="67"/>
      <c r="R42" s="67">
        <f t="shared" si="40"/>
        <v>0</v>
      </c>
      <c r="S42" s="67">
        <f t="shared" si="41"/>
        <v>0</v>
      </c>
      <c r="T42" s="67">
        <f t="shared" si="42"/>
        <v>0</v>
      </c>
      <c r="U42" s="67">
        <f t="shared" si="43"/>
        <v>200</v>
      </c>
      <c r="V42" s="67">
        <f t="shared" si="44"/>
        <v>0</v>
      </c>
      <c r="W42" s="67">
        <f t="shared" si="45"/>
        <v>0</v>
      </c>
      <c r="X42" s="67">
        <f t="shared" si="46"/>
        <v>0</v>
      </c>
      <c r="Y42" s="67">
        <f t="shared" si="47"/>
        <v>0</v>
      </c>
      <c r="Z42" s="67">
        <f t="shared" si="48"/>
        <v>0</v>
      </c>
      <c r="AB42" s="2" t="s">
        <v>944</v>
      </c>
      <c r="AC42" s="30" t="s">
        <v>1020</v>
      </c>
      <c r="AD42" s="66"/>
      <c r="AE42" s="66">
        <f t="shared" si="75"/>
        <v>0</v>
      </c>
      <c r="AF42" s="66">
        <f t="shared" si="76"/>
        <v>0</v>
      </c>
      <c r="AG42" s="66">
        <f t="shared" si="77"/>
        <v>0</v>
      </c>
      <c r="AH42" s="66">
        <f t="shared" si="78"/>
        <v>0.23668639053254437</v>
      </c>
      <c r="AI42" s="66">
        <f t="shared" si="79"/>
        <v>0</v>
      </c>
      <c r="AJ42" s="66">
        <f t="shared" si="80"/>
        <v>0</v>
      </c>
      <c r="AK42" s="66">
        <f t="shared" si="81"/>
        <v>0</v>
      </c>
      <c r="AL42" s="66">
        <f t="shared" si="82"/>
        <v>0</v>
      </c>
      <c r="AM42" s="66">
        <f t="shared" si="83"/>
        <v>0</v>
      </c>
      <c r="AO42" s="2" t="s">
        <v>944</v>
      </c>
      <c r="AP42" s="30" t="s">
        <v>1020</v>
      </c>
      <c r="AQ42" s="66"/>
      <c r="AR42" s="66">
        <f t="shared" si="98"/>
        <v>0</v>
      </c>
      <c r="AS42" s="66">
        <f t="shared" si="99"/>
        <v>0</v>
      </c>
      <c r="AT42" s="66">
        <f t="shared" si="100"/>
        <v>0</v>
      </c>
      <c r="AU42" s="66">
        <f t="shared" si="101"/>
        <v>3.3117956224685462E-4</v>
      </c>
      <c r="AV42" s="66">
        <f t="shared" si="102"/>
        <v>0</v>
      </c>
      <c r="AW42" s="66">
        <f t="shared" si="103"/>
        <v>0</v>
      </c>
      <c r="AX42" s="66">
        <f t="shared" si="104"/>
        <v>0</v>
      </c>
      <c r="AY42" s="66">
        <f t="shared" si="105"/>
        <v>0</v>
      </c>
      <c r="AZ42" s="66">
        <f t="shared" si="106"/>
        <v>0</v>
      </c>
      <c r="BB42" s="2" t="s">
        <v>944</v>
      </c>
      <c r="BC42" s="30" t="s">
        <v>1020</v>
      </c>
      <c r="BD42" s="66"/>
      <c r="BE42" s="66">
        <f t="shared" si="107"/>
        <v>0</v>
      </c>
      <c r="BF42" s="66">
        <f t="shared" si="108"/>
        <v>0</v>
      </c>
      <c r="BG42" s="66">
        <f t="shared" si="109"/>
        <v>0</v>
      </c>
      <c r="BH42" s="66">
        <f t="shared" si="110"/>
        <v>4.5930342043257194E-4</v>
      </c>
      <c r="BI42" s="66">
        <f t="shared" si="111"/>
        <v>0</v>
      </c>
      <c r="BJ42" s="66">
        <f t="shared" si="112"/>
        <v>0</v>
      </c>
      <c r="BK42" s="66">
        <f t="shared" si="113"/>
        <v>0</v>
      </c>
      <c r="BL42" s="66">
        <f t="shared" si="114"/>
        <v>0</v>
      </c>
      <c r="BM42" s="66">
        <f t="shared" si="115"/>
        <v>0</v>
      </c>
      <c r="BO42" s="2" t="s">
        <v>944</v>
      </c>
      <c r="BP42" s="30" t="s">
        <v>1020</v>
      </c>
      <c r="BQ42" s="66">
        <f t="shared" si="116"/>
        <v>1.6916104131132839E-3</v>
      </c>
      <c r="BR42" s="66">
        <f t="shared" si="117"/>
        <v>1.6016164005519416E-3</v>
      </c>
      <c r="BS42" s="66">
        <f t="shared" si="118"/>
        <v>1.5051173991571343E-3</v>
      </c>
      <c r="BT42" s="66">
        <f t="shared" si="119"/>
        <v>1.3992336504929609E-3</v>
      </c>
      <c r="BU42" s="66">
        <f t="shared" si="120"/>
        <v>1.6194269243285965E-3</v>
      </c>
      <c r="BV42" s="66">
        <f t="shared" si="121"/>
        <v>1.5261623661504489E-3</v>
      </c>
      <c r="BW42" s="66">
        <f t="shared" si="122"/>
        <v>1.4371926195689247E-3</v>
      </c>
      <c r="BX42" s="66">
        <f t="shared" si="123"/>
        <v>1.3811972138146156E-3</v>
      </c>
      <c r="BY42" s="66">
        <f t="shared" si="124"/>
        <v>1.3462678106722322E-3</v>
      </c>
      <c r="BZ42" s="66">
        <f t="shared" si="125"/>
        <v>1.3281984798800173E-3</v>
      </c>
      <c r="CB42" s="2" t="s">
        <v>944</v>
      </c>
      <c r="CC42" s="30" t="s">
        <v>1020</v>
      </c>
      <c r="CD42" s="66">
        <f t="shared" ref="CD42:CD45" si="127">D42/D$45</f>
        <v>7.7751196172248807E-2</v>
      </c>
      <c r="CE42" s="66">
        <f t="shared" ref="CE42:CE45" si="128">E42/E$45</f>
        <v>7.7395127312694628E-2</v>
      </c>
      <c r="CF42" s="66">
        <f t="shared" ref="CF42:CF45" si="129">F42/F$45</f>
        <v>7.4593926553672321E-2</v>
      </c>
      <c r="CG42" s="66">
        <f t="shared" ref="CG42:CG45" si="130">G42/G$45</f>
        <v>6.2946960667461263E-2</v>
      </c>
      <c r="CH42" s="66">
        <f t="shared" ref="CH42:CH45" si="131">H42/H$45</f>
        <v>7.3230553608969864E-2</v>
      </c>
      <c r="CI42" s="66">
        <f t="shared" ref="CI42:CI45" si="132">I42/I$45</f>
        <v>7.0134228187919465E-2</v>
      </c>
      <c r="CJ42" s="66">
        <f t="shared" ref="CJ42:CJ45" si="133">J42/J$45</f>
        <v>6.8885959129861563E-2</v>
      </c>
      <c r="CK42" s="66">
        <f t="shared" ref="CK42:CK45" si="134">K42/K$45</f>
        <v>6.8885959129861563E-2</v>
      </c>
      <c r="CL42" s="66">
        <f t="shared" ref="CL42:CL45" si="135">L42/L$45</f>
        <v>6.8885959129861563E-2</v>
      </c>
      <c r="CM42" s="66">
        <f t="shared" ref="CM42:CM45" si="136">M42/M$45</f>
        <v>6.8885959129861563E-2</v>
      </c>
      <c r="CO42" s="2" t="s">
        <v>944</v>
      </c>
      <c r="CP42" s="30" t="s">
        <v>1020</v>
      </c>
      <c r="CQ42" s="67">
        <f t="shared" si="58"/>
        <v>845</v>
      </c>
      <c r="CR42" s="67">
        <f t="shared" si="59"/>
        <v>200</v>
      </c>
      <c r="CS42" s="66">
        <f t="shared" si="60"/>
        <v>0.23668639053254437</v>
      </c>
      <c r="CT42" s="66">
        <f t="shared" si="61"/>
        <v>7.3379245925756287E-2</v>
      </c>
    </row>
    <row r="43" spans="2:98">
      <c r="B43" s="2" t="s">
        <v>370</v>
      </c>
      <c r="C43" s="30" t="s">
        <v>798</v>
      </c>
      <c r="D43" s="67">
        <f>SUMIFS(Ships!$P:$P,Ships!$H:$H,'Ship Table'!$B43,Ships!$I:$I,"&lt;2017")</f>
        <v>726</v>
      </c>
      <c r="E43" s="67">
        <f>SUMIFS(Ships!$P:$P,Ships!$H:$H,'Ship Table'!$B43,Ships!$I:$I,"&lt;2018")</f>
        <v>776</v>
      </c>
      <c r="F43" s="67">
        <f>SUMIFS(Ships!$P:$P,Ships!$H:$H,'Ship Table'!$B43,Ships!$I:$I,"&lt;2019")</f>
        <v>826</v>
      </c>
      <c r="G43" s="67">
        <f>SUMIFS(Ships!$P:$P,Ships!$H:$H,'Ship Table'!$B43,Ships!$I:$I,"&lt;2020")</f>
        <v>826</v>
      </c>
      <c r="H43" s="67">
        <f>SUMIFS(Ships!$P:$P,Ships!$H:$H,'Ship Table'!$B43,Ships!$I:$I,"&lt;2021")</f>
        <v>952</v>
      </c>
      <c r="I43" s="67">
        <f>SUMIFS(Ships!$P:$P,Ships!$H:$H,'Ship Table'!$B43,Ships!$I:$I,"&lt;2022")</f>
        <v>952</v>
      </c>
      <c r="J43" s="67">
        <f>SUMIFS(Ships!$P:$P,Ships!$H:$H,'Ship Table'!$B43,Ships!$I:$I,"&lt;2023")</f>
        <v>952</v>
      </c>
      <c r="K43" s="67">
        <f>SUMIFS(Ships!$P:$P,Ships!$H:$H,'Ship Table'!$B43,Ships!$I:$I,"&lt;2024")</f>
        <v>952</v>
      </c>
      <c r="L43" s="67">
        <f>SUMIFS(Ships!$P:$P,Ships!$H:$H,'Ship Table'!$B43,Ships!$I:$I,"&lt;2025")</f>
        <v>952</v>
      </c>
      <c r="M43" s="67">
        <f>SUMIFS(Ships!$P:$P,Ships!$H:$H,'Ship Table'!$B43,Ships!$I:$I,"&lt;2026")</f>
        <v>952</v>
      </c>
      <c r="O43" s="2" t="s">
        <v>370</v>
      </c>
      <c r="P43" s="30" t="s">
        <v>798</v>
      </c>
      <c r="Q43" s="67"/>
      <c r="R43" s="67">
        <f t="shared" si="40"/>
        <v>50</v>
      </c>
      <c r="S43" s="67">
        <f t="shared" si="41"/>
        <v>50</v>
      </c>
      <c r="T43" s="67">
        <f t="shared" si="42"/>
        <v>0</v>
      </c>
      <c r="U43" s="67">
        <f t="shared" si="43"/>
        <v>126</v>
      </c>
      <c r="V43" s="67">
        <f t="shared" si="44"/>
        <v>0</v>
      </c>
      <c r="W43" s="67">
        <f t="shared" si="45"/>
        <v>0</v>
      </c>
      <c r="X43" s="67">
        <f t="shared" si="46"/>
        <v>0</v>
      </c>
      <c r="Y43" s="67">
        <f t="shared" si="47"/>
        <v>0</v>
      </c>
      <c r="Z43" s="67">
        <f t="shared" si="48"/>
        <v>0</v>
      </c>
      <c r="AB43" s="2" t="s">
        <v>370</v>
      </c>
      <c r="AC43" s="30" t="s">
        <v>798</v>
      </c>
      <c r="AD43" s="66"/>
      <c r="AE43" s="66">
        <f t="shared" si="75"/>
        <v>6.8870523415977963E-2</v>
      </c>
      <c r="AF43" s="66">
        <f t="shared" si="76"/>
        <v>6.4432989690721643E-2</v>
      </c>
      <c r="AG43" s="66">
        <f t="shared" si="77"/>
        <v>0</v>
      </c>
      <c r="AH43" s="66">
        <f t="shared" si="78"/>
        <v>0.15254237288135594</v>
      </c>
      <c r="AI43" s="66">
        <f t="shared" si="79"/>
        <v>0</v>
      </c>
      <c r="AJ43" s="66">
        <f t="shared" si="80"/>
        <v>0</v>
      </c>
      <c r="AK43" s="66">
        <f t="shared" si="81"/>
        <v>0</v>
      </c>
      <c r="AL43" s="66">
        <f t="shared" si="82"/>
        <v>0</v>
      </c>
      <c r="AM43" s="66">
        <f t="shared" si="83"/>
        <v>0</v>
      </c>
      <c r="AO43" s="2" t="s">
        <v>370</v>
      </c>
      <c r="AP43" s="30" t="s">
        <v>798</v>
      </c>
      <c r="AQ43" s="66"/>
      <c r="AR43" s="66">
        <f t="shared" si="98"/>
        <v>1.0009529071676236E-4</v>
      </c>
      <c r="AS43" s="66">
        <f t="shared" si="99"/>
        <v>9.4770201216091222E-5</v>
      </c>
      <c r="AT43" s="66">
        <f t="shared" si="100"/>
        <v>0</v>
      </c>
      <c r="AU43" s="66">
        <f t="shared" si="101"/>
        <v>2.0864312421551841E-4</v>
      </c>
      <c r="AV43" s="66">
        <f t="shared" si="102"/>
        <v>0</v>
      </c>
      <c r="AW43" s="66">
        <f t="shared" si="103"/>
        <v>0</v>
      </c>
      <c r="AX43" s="66">
        <f t="shared" si="104"/>
        <v>0</v>
      </c>
      <c r="AY43" s="66">
        <f t="shared" si="105"/>
        <v>0</v>
      </c>
      <c r="AZ43" s="66">
        <f t="shared" si="106"/>
        <v>0</v>
      </c>
      <c r="BB43" s="2" t="s">
        <v>370</v>
      </c>
      <c r="BC43" s="30" t="s">
        <v>798</v>
      </c>
      <c r="BD43" s="66"/>
      <c r="BE43" s="66">
        <f t="shared" si="107"/>
        <v>1.4010076046692781E-4</v>
      </c>
      <c r="BF43" s="66">
        <f t="shared" si="108"/>
        <v>1.3313877320608817E-4</v>
      </c>
      <c r="BG43" s="66">
        <f t="shared" si="109"/>
        <v>0</v>
      </c>
      <c r="BH43" s="66">
        <f t="shared" si="110"/>
        <v>2.8936115487252032E-4</v>
      </c>
      <c r="BI43" s="66">
        <f t="shared" si="111"/>
        <v>0</v>
      </c>
      <c r="BJ43" s="66">
        <f t="shared" si="112"/>
        <v>0</v>
      </c>
      <c r="BK43" s="66">
        <f t="shared" si="113"/>
        <v>0</v>
      </c>
      <c r="BL43" s="66">
        <f t="shared" si="114"/>
        <v>0</v>
      </c>
      <c r="BM43" s="66">
        <f t="shared" si="115"/>
        <v>0</v>
      </c>
      <c r="BO43" s="2" t="s">
        <v>370</v>
      </c>
      <c r="BP43" s="30" t="s">
        <v>798</v>
      </c>
      <c r="BQ43" s="66">
        <f t="shared" si="116"/>
        <v>1.4533836212073895E-3</v>
      </c>
      <c r="BR43" s="66">
        <f t="shared" si="117"/>
        <v>1.4708335228737358E-3</v>
      </c>
      <c r="BS43" s="66">
        <f t="shared" si="118"/>
        <v>1.4712745227263822E-3</v>
      </c>
      <c r="BT43" s="66">
        <f t="shared" si="119"/>
        <v>1.3677715920795096E-3</v>
      </c>
      <c r="BU43" s="66">
        <f t="shared" si="120"/>
        <v>1.4753056765175348E-3</v>
      </c>
      <c r="BV43" s="66">
        <f t="shared" si="121"/>
        <v>1.3903412177753373E-3</v>
      </c>
      <c r="BW43" s="66">
        <f t="shared" si="122"/>
        <v>1.3092893529470012E-3</v>
      </c>
      <c r="BX43" s="66">
        <f t="shared" si="123"/>
        <v>1.258277270384224E-3</v>
      </c>
      <c r="BY43" s="66">
        <f t="shared" si="124"/>
        <v>1.2264564169951818E-3</v>
      </c>
      <c r="BZ43" s="66">
        <f t="shared" si="125"/>
        <v>1.2099951701873459E-3</v>
      </c>
      <c r="CB43" s="2" t="s">
        <v>370</v>
      </c>
      <c r="CC43" s="30" t="s">
        <v>798</v>
      </c>
      <c r="CD43" s="66">
        <f t="shared" si="127"/>
        <v>6.6801619433198386E-2</v>
      </c>
      <c r="CE43" s="66">
        <f t="shared" si="128"/>
        <v>7.1075288514379928E-2</v>
      </c>
      <c r="CF43" s="66">
        <f t="shared" si="129"/>
        <v>7.2916666666666671E-2</v>
      </c>
      <c r="CG43" s="66">
        <f t="shared" si="130"/>
        <v>6.1531585220500597E-2</v>
      </c>
      <c r="CH43" s="66">
        <f t="shared" si="131"/>
        <v>6.6713384723195518E-2</v>
      </c>
      <c r="CI43" s="66">
        <f t="shared" si="132"/>
        <v>6.3892617449664429E-2</v>
      </c>
      <c r="CJ43" s="66">
        <f t="shared" si="133"/>
        <v>6.2755438365194469E-2</v>
      </c>
      <c r="CK43" s="66">
        <f t="shared" si="134"/>
        <v>6.2755438365194469E-2</v>
      </c>
      <c r="CL43" s="66">
        <f t="shared" si="135"/>
        <v>6.2755438365194469E-2</v>
      </c>
      <c r="CM43" s="66">
        <f t="shared" si="136"/>
        <v>6.2755438365194469E-2</v>
      </c>
      <c r="CO43" s="2" t="s">
        <v>370</v>
      </c>
      <c r="CP43" s="30" t="s">
        <v>798</v>
      </c>
      <c r="CQ43" s="67">
        <f t="shared" si="58"/>
        <v>826</v>
      </c>
      <c r="CR43" s="67">
        <f t="shared" si="59"/>
        <v>126</v>
      </c>
      <c r="CS43" s="66">
        <f t="shared" si="60"/>
        <v>0.15254237288135594</v>
      </c>
      <c r="CT43" s="66">
        <f t="shared" si="61"/>
        <v>4.8461047966767312E-2</v>
      </c>
    </row>
    <row r="44" spans="2:98">
      <c r="B44" s="2" t="s">
        <v>852</v>
      </c>
      <c r="C44" s="30" t="s">
        <v>852</v>
      </c>
      <c r="D44" s="67">
        <f>SUMIFS(Ships!$P:$P,Ships!$H:$H,'Ship Table'!$B44,Ships!$I:$I,"&lt;2017")</f>
        <v>0</v>
      </c>
      <c r="E44" s="67">
        <f>SUMIFS(Ships!$P:$P,Ships!$H:$H,'Ship Table'!$B44,Ships!$I:$I,"&lt;2018")</f>
        <v>0</v>
      </c>
      <c r="F44" s="67">
        <f>SUMIFS(Ships!$P:$P,Ships!$H:$H,'Ship Table'!$B44,Ships!$I:$I,"&lt;2019")</f>
        <v>0</v>
      </c>
      <c r="G44" s="67">
        <f>SUMIFS(Ships!$P:$P,Ships!$H:$H,'Ship Table'!$B44,Ships!$I:$I,"&lt;2020")</f>
        <v>160</v>
      </c>
      <c r="H44" s="67">
        <f>SUMIFS(Ships!$P:$P,Ships!$H:$H,'Ship Table'!$B44,Ships!$I:$I,"&lt;2021")</f>
        <v>320</v>
      </c>
      <c r="I44" s="67">
        <f>SUMIFS(Ships!$P:$P,Ships!$H:$H,'Ship Table'!$B44,Ships!$I:$I,"&lt;2022")</f>
        <v>680</v>
      </c>
      <c r="J44" s="67">
        <f>SUMIFS(Ships!$P:$P,Ships!$H:$H,'Ship Table'!$B44,Ships!$I:$I,"&lt;2023")</f>
        <v>680</v>
      </c>
      <c r="K44" s="67">
        <f>SUMIFS(Ships!$P:$P,Ships!$H:$H,'Ship Table'!$B44,Ships!$I:$I,"&lt;2024")</f>
        <v>680</v>
      </c>
      <c r="L44" s="67">
        <f>SUMIFS(Ships!$P:$P,Ships!$H:$H,'Ship Table'!$B44,Ships!$I:$I,"&lt;2025")</f>
        <v>680</v>
      </c>
      <c r="M44" s="67">
        <f>SUMIFS(Ships!$P:$P,Ships!$H:$H,'Ship Table'!$B44,Ships!$I:$I,"&lt;2026")</f>
        <v>680</v>
      </c>
      <c r="O44" s="2" t="s">
        <v>852</v>
      </c>
      <c r="P44" s="30" t="s">
        <v>852</v>
      </c>
      <c r="Q44" s="67"/>
      <c r="R44" s="67">
        <f t="shared" si="40"/>
        <v>0</v>
      </c>
      <c r="S44" s="67">
        <f t="shared" si="41"/>
        <v>0</v>
      </c>
      <c r="T44" s="67">
        <f t="shared" si="42"/>
        <v>160</v>
      </c>
      <c r="U44" s="67">
        <f t="shared" si="43"/>
        <v>160</v>
      </c>
      <c r="V44" s="67">
        <f t="shared" si="44"/>
        <v>360</v>
      </c>
      <c r="W44" s="67">
        <f t="shared" si="45"/>
        <v>0</v>
      </c>
      <c r="X44" s="67">
        <f t="shared" si="46"/>
        <v>0</v>
      </c>
      <c r="Y44" s="67">
        <f t="shared" si="47"/>
        <v>0</v>
      </c>
      <c r="Z44" s="67">
        <f t="shared" si="48"/>
        <v>0</v>
      </c>
      <c r="AB44" s="2" t="s">
        <v>852</v>
      </c>
      <c r="AC44" s="30" t="s">
        <v>852</v>
      </c>
      <c r="AD44" s="66"/>
      <c r="AE44" s="66"/>
      <c r="AF44" s="66"/>
      <c r="AG44" s="66"/>
      <c r="AH44" s="66">
        <f t="shared" si="78"/>
        <v>1</v>
      </c>
      <c r="AI44" s="66">
        <f t="shared" si="79"/>
        <v>1.125</v>
      </c>
      <c r="AJ44" s="66">
        <f t="shared" si="80"/>
        <v>0</v>
      </c>
      <c r="AK44" s="66">
        <f t="shared" si="81"/>
        <v>0</v>
      </c>
      <c r="AL44" s="66">
        <f t="shared" si="82"/>
        <v>0</v>
      </c>
      <c r="AM44" s="66">
        <f t="shared" si="83"/>
        <v>0</v>
      </c>
      <c r="AO44" s="2" t="s">
        <v>852</v>
      </c>
      <c r="AP44" s="30" t="s">
        <v>852</v>
      </c>
      <c r="AQ44" s="66"/>
      <c r="AR44" s="66">
        <f t="shared" si="98"/>
        <v>0</v>
      </c>
      <c r="AS44" s="66">
        <f t="shared" si="99"/>
        <v>0</v>
      </c>
      <c r="AT44" s="66">
        <f t="shared" si="100"/>
        <v>2.8499264362738638E-4</v>
      </c>
      <c r="AU44" s="66">
        <f t="shared" si="101"/>
        <v>2.6494364979748368E-4</v>
      </c>
      <c r="AV44" s="66">
        <f t="shared" si="102"/>
        <v>5.5788870120410973E-4</v>
      </c>
      <c r="AW44" s="66">
        <f t="shared" si="103"/>
        <v>0</v>
      </c>
      <c r="AX44" s="66">
        <f t="shared" si="104"/>
        <v>0</v>
      </c>
      <c r="AY44" s="66">
        <f t="shared" si="105"/>
        <v>0</v>
      </c>
      <c r="AZ44" s="66">
        <f t="shared" si="106"/>
        <v>0</v>
      </c>
      <c r="BB44" s="2" t="s">
        <v>852</v>
      </c>
      <c r="BC44" s="30" t="s">
        <v>852</v>
      </c>
      <c r="BD44" s="66"/>
      <c r="BE44" s="66">
        <f t="shared" si="107"/>
        <v>0</v>
      </c>
      <c r="BF44" s="66">
        <f t="shared" si="108"/>
        <v>0</v>
      </c>
      <c r="BG44" s="66">
        <f t="shared" si="109"/>
        <v>3.9866248735492425E-4</v>
      </c>
      <c r="BH44" s="66">
        <f t="shared" si="110"/>
        <v>3.6744273634605758E-4</v>
      </c>
      <c r="BI44" s="66">
        <f t="shared" si="111"/>
        <v>7.8454960314865911E-4</v>
      </c>
      <c r="BJ44" s="66">
        <f t="shared" si="112"/>
        <v>0</v>
      </c>
      <c r="BK44" s="66">
        <f t="shared" si="113"/>
        <v>0</v>
      </c>
      <c r="BL44" s="66">
        <f t="shared" si="114"/>
        <v>0</v>
      </c>
      <c r="BM44" s="66">
        <f t="shared" si="115"/>
        <v>0</v>
      </c>
      <c r="BO44" s="2" t="s">
        <v>852</v>
      </c>
      <c r="BP44" s="30" t="s">
        <v>852</v>
      </c>
      <c r="BQ44" s="66">
        <f t="shared" si="116"/>
        <v>0</v>
      </c>
      <c r="BR44" s="66">
        <f t="shared" si="117"/>
        <v>0</v>
      </c>
      <c r="BS44" s="66">
        <f t="shared" si="118"/>
        <v>0</v>
      </c>
      <c r="BT44" s="66">
        <f t="shared" si="119"/>
        <v>2.6494364979748368E-4</v>
      </c>
      <c r="BU44" s="66">
        <f t="shared" si="120"/>
        <v>4.9590106773698646E-4</v>
      </c>
      <c r="BV44" s="66">
        <f t="shared" si="121"/>
        <v>9.9310086983952659E-4</v>
      </c>
      <c r="BW44" s="66">
        <f t="shared" si="122"/>
        <v>9.3520668067642945E-4</v>
      </c>
      <c r="BX44" s="66">
        <f t="shared" si="123"/>
        <v>8.987694788458743E-4</v>
      </c>
      <c r="BY44" s="66">
        <f t="shared" si="124"/>
        <v>8.7604029785370125E-4</v>
      </c>
      <c r="BZ44" s="66">
        <f t="shared" si="125"/>
        <v>8.6428226441953278E-4</v>
      </c>
      <c r="CB44" s="2" t="s">
        <v>852</v>
      </c>
      <c r="CC44" s="30" t="s">
        <v>852</v>
      </c>
      <c r="CD44" s="66">
        <f t="shared" si="127"/>
        <v>0</v>
      </c>
      <c r="CE44" s="66">
        <f t="shared" si="128"/>
        <v>0</v>
      </c>
      <c r="CF44" s="66">
        <f t="shared" si="129"/>
        <v>0</v>
      </c>
      <c r="CG44" s="66">
        <f t="shared" si="130"/>
        <v>1.1918951132300357E-2</v>
      </c>
      <c r="CH44" s="66">
        <f t="shared" si="131"/>
        <v>2.2424667133847231E-2</v>
      </c>
      <c r="CI44" s="66">
        <f t="shared" si="132"/>
        <v>4.5637583892617448E-2</v>
      </c>
      <c r="CJ44" s="66">
        <f t="shared" si="133"/>
        <v>4.4825313117996042E-2</v>
      </c>
      <c r="CK44" s="66">
        <f t="shared" si="134"/>
        <v>4.4825313117996042E-2</v>
      </c>
      <c r="CL44" s="66">
        <f t="shared" si="135"/>
        <v>4.4825313117996042E-2</v>
      </c>
      <c r="CM44" s="66">
        <f t="shared" si="136"/>
        <v>4.4825313117996042E-2</v>
      </c>
      <c r="CO44" s="2" t="s">
        <v>852</v>
      </c>
      <c r="CP44" s="30" t="s">
        <v>852</v>
      </c>
      <c r="CQ44" s="67">
        <f t="shared" si="58"/>
        <v>0</v>
      </c>
      <c r="CR44" s="67">
        <f t="shared" si="59"/>
        <v>680</v>
      </c>
      <c r="CS44" s="66"/>
      <c r="CT44" s="66"/>
    </row>
    <row r="45" spans="2:98">
      <c r="B45" s="65" t="s">
        <v>794</v>
      </c>
      <c r="C45" s="177"/>
      <c r="D45" s="175">
        <f>SUMIFS(Ships!$P:$P,Ships!$G:$G,'Ship Table'!$B45,Ships!$I:$I,"&lt;2017")</f>
        <v>10868</v>
      </c>
      <c r="E45" s="175">
        <f>SUMIFS(Ships!$P:$P,Ships!$G:$G,'Ship Table'!$B45,Ships!$I:$I,"&lt;2018")</f>
        <v>10918</v>
      </c>
      <c r="F45" s="175">
        <f>SUMIFS(Ships!$P:$P,Ships!$G:$G,'Ship Table'!$B45,Ships!$I:$I,"&lt;2019")</f>
        <v>11328</v>
      </c>
      <c r="G45" s="175">
        <f>SUMIFS(Ships!$P:$P,Ships!$G:$G,'Ship Table'!$B45,Ships!$I:$I,"&lt;2020")</f>
        <v>13424</v>
      </c>
      <c r="H45" s="175">
        <f>SUMIFS(Ships!$P:$P,Ships!$G:$G,'Ship Table'!$B45,Ships!$I:$I,"&lt;2021")</f>
        <v>14270</v>
      </c>
      <c r="I45" s="175">
        <f>SUMIFS(Ships!$P:$P,Ships!$G:$G,'Ship Table'!$B45,Ships!$I:$I,"&lt;2022")</f>
        <v>14900</v>
      </c>
      <c r="J45" s="175">
        <f>SUMIFS(Ships!$P:$P,Ships!$G:$G,'Ship Table'!$B45,Ships!$I:$I,"&lt;2023")</f>
        <v>15170</v>
      </c>
      <c r="K45" s="175">
        <f>SUMIFS(Ships!$P:$P,Ships!$G:$G,'Ship Table'!$B45,Ships!$I:$I,"&lt;2024")</f>
        <v>15170</v>
      </c>
      <c r="L45" s="175">
        <f>SUMIFS(Ships!$P:$P,Ships!$G:$G,'Ship Table'!$B45,Ships!$I:$I,"&lt;2025")</f>
        <v>15170</v>
      </c>
      <c r="M45" s="175">
        <f>SUMIFS(Ships!$P:$P,Ships!$G:$G,'Ship Table'!$B45,Ships!$I:$I,"&lt;2026")</f>
        <v>15170</v>
      </c>
      <c r="O45" s="65" t="s">
        <v>794</v>
      </c>
      <c r="P45" s="177"/>
      <c r="Q45" s="175"/>
      <c r="R45" s="175">
        <f t="shared" si="40"/>
        <v>50</v>
      </c>
      <c r="S45" s="175">
        <f t="shared" si="41"/>
        <v>410</v>
      </c>
      <c r="T45" s="175">
        <f t="shared" si="42"/>
        <v>2096</v>
      </c>
      <c r="U45" s="175">
        <f t="shared" si="43"/>
        <v>846</v>
      </c>
      <c r="V45" s="175">
        <f t="shared" si="44"/>
        <v>630</v>
      </c>
      <c r="W45" s="175">
        <f t="shared" si="45"/>
        <v>270</v>
      </c>
      <c r="X45" s="175">
        <f t="shared" si="46"/>
        <v>0</v>
      </c>
      <c r="Y45" s="175">
        <f t="shared" si="47"/>
        <v>0</v>
      </c>
      <c r="Z45" s="175">
        <f t="shared" si="48"/>
        <v>0</v>
      </c>
      <c r="AB45" s="65" t="s">
        <v>794</v>
      </c>
      <c r="AC45" s="177"/>
      <c r="AD45" s="271"/>
      <c r="AE45" s="271">
        <f t="shared" si="75"/>
        <v>4.6006624953993372E-3</v>
      </c>
      <c r="AF45" s="271">
        <f t="shared" si="76"/>
        <v>3.7552665323319287E-2</v>
      </c>
      <c r="AG45" s="271">
        <f t="shared" si="77"/>
        <v>0.18502824858757061</v>
      </c>
      <c r="AH45" s="271">
        <f t="shared" si="78"/>
        <v>6.3021454112038147E-2</v>
      </c>
      <c r="AI45" s="271">
        <f t="shared" si="79"/>
        <v>4.4148563419761741E-2</v>
      </c>
      <c r="AJ45" s="271">
        <f t="shared" si="80"/>
        <v>1.8120805369127517E-2</v>
      </c>
      <c r="AK45" s="271">
        <f t="shared" si="81"/>
        <v>0</v>
      </c>
      <c r="AL45" s="271">
        <f t="shared" si="82"/>
        <v>0</v>
      </c>
      <c r="AM45" s="271">
        <f t="shared" si="83"/>
        <v>0</v>
      </c>
      <c r="AO45" s="65" t="s">
        <v>794</v>
      </c>
      <c r="AP45" s="177"/>
      <c r="AQ45" s="271"/>
      <c r="AR45" s="271">
        <f t="shared" si="98"/>
        <v>1.0009529071676236E-4</v>
      </c>
      <c r="AS45" s="271">
        <f t="shared" si="99"/>
        <v>7.77115649971948E-4</v>
      </c>
      <c r="AT45" s="271">
        <f t="shared" si="100"/>
        <v>3.7334036315187615E-3</v>
      </c>
      <c r="AU45" s="271">
        <f t="shared" si="101"/>
        <v>1.400889548304195E-3</v>
      </c>
      <c r="AV45" s="271">
        <f t="shared" si="102"/>
        <v>9.7630522710719211E-4</v>
      </c>
      <c r="AW45" s="271">
        <f t="shared" si="103"/>
        <v>3.9431946302451789E-4</v>
      </c>
      <c r="AX45" s="271">
        <f t="shared" si="104"/>
        <v>0</v>
      </c>
      <c r="AY45" s="271">
        <f t="shared" si="105"/>
        <v>0</v>
      </c>
      <c r="AZ45" s="271">
        <f t="shared" si="106"/>
        <v>0</v>
      </c>
      <c r="BB45" s="65" t="s">
        <v>794</v>
      </c>
      <c r="BC45" s="177"/>
      <c r="BD45" s="271"/>
      <c r="BE45" s="271">
        <f t="shared" si="107"/>
        <v>1.4010076046692781E-4</v>
      </c>
      <c r="BF45" s="271">
        <f t="shared" si="108"/>
        <v>1.0917379402899229E-3</v>
      </c>
      <c r="BG45" s="271">
        <f t="shared" si="109"/>
        <v>5.2224785843495072E-3</v>
      </c>
      <c r="BH45" s="271">
        <f t="shared" si="110"/>
        <v>1.9428534684297794E-3</v>
      </c>
      <c r="BI45" s="271">
        <f t="shared" si="111"/>
        <v>1.3729618055101534E-3</v>
      </c>
      <c r="BJ45" s="271">
        <f t="shared" si="112"/>
        <v>5.6341319889320607E-4</v>
      </c>
      <c r="BK45" s="271">
        <f t="shared" si="113"/>
        <v>0</v>
      </c>
      <c r="BL45" s="271">
        <f t="shared" si="114"/>
        <v>0</v>
      </c>
      <c r="BM45" s="271">
        <f t="shared" si="115"/>
        <v>0</v>
      </c>
      <c r="BO45" s="65" t="s">
        <v>794</v>
      </c>
      <c r="BP45" s="177"/>
      <c r="BQ45" s="271">
        <f t="shared" si="116"/>
        <v>2.1756712390195467E-2</v>
      </c>
      <c r="BR45" s="271">
        <f t="shared" si="117"/>
        <v>2.069402113754568E-2</v>
      </c>
      <c r="BS45" s="271">
        <f t="shared" si="118"/>
        <v>2.0177479168818954E-2</v>
      </c>
      <c r="BT45" s="271">
        <f t="shared" si="119"/>
        <v>2.2228772218008883E-2</v>
      </c>
      <c r="BU45" s="271">
        <f t="shared" si="120"/>
        <v>2.2114088239396239E-2</v>
      </c>
      <c r="BV45" s="271">
        <f t="shared" si="121"/>
        <v>2.1760592589130802E-2</v>
      </c>
      <c r="BW45" s="271">
        <f t="shared" si="122"/>
        <v>2.0863360802737405E-2</v>
      </c>
      <c r="BX45" s="271">
        <f t="shared" si="123"/>
        <v>2.0050489697193988E-2</v>
      </c>
      <c r="BY45" s="271">
        <f t="shared" si="124"/>
        <v>1.9543428409471542E-2</v>
      </c>
      <c r="BZ45" s="271">
        <f t="shared" si="125"/>
        <v>1.9281120516535754E-2</v>
      </c>
      <c r="CB45" s="65" t="s">
        <v>794</v>
      </c>
      <c r="CC45" s="177"/>
      <c r="CD45" s="271">
        <f t="shared" si="127"/>
        <v>1</v>
      </c>
      <c r="CE45" s="271">
        <f t="shared" si="128"/>
        <v>1</v>
      </c>
      <c r="CF45" s="271">
        <f t="shared" si="129"/>
        <v>1</v>
      </c>
      <c r="CG45" s="271">
        <f t="shared" si="130"/>
        <v>1</v>
      </c>
      <c r="CH45" s="271">
        <f t="shared" si="131"/>
        <v>1</v>
      </c>
      <c r="CI45" s="271">
        <f t="shared" si="132"/>
        <v>1</v>
      </c>
      <c r="CJ45" s="271">
        <f t="shared" si="133"/>
        <v>1</v>
      </c>
      <c r="CK45" s="271">
        <f t="shared" si="134"/>
        <v>1</v>
      </c>
      <c r="CL45" s="271">
        <f t="shared" si="135"/>
        <v>1</v>
      </c>
      <c r="CM45" s="271">
        <f t="shared" si="136"/>
        <v>1</v>
      </c>
      <c r="CO45" s="65" t="s">
        <v>794</v>
      </c>
      <c r="CP45" s="177"/>
      <c r="CQ45" s="175">
        <f t="shared" si="58"/>
        <v>11328</v>
      </c>
      <c r="CR45" s="175">
        <f t="shared" si="59"/>
        <v>3572</v>
      </c>
      <c r="CS45" s="271">
        <f t="shared" si="60"/>
        <v>0.31532485875706212</v>
      </c>
      <c r="CT45" s="271">
        <f t="shared" si="61"/>
        <v>9.5664715636001318E-2</v>
      </c>
    </row>
    <row r="46" spans="2:98">
      <c r="B46" s="2"/>
      <c r="C46" s="30" t="s">
        <v>93</v>
      </c>
      <c r="D46" s="67">
        <f t="shared" ref="D46:M46" si="137">SUMIFS(D$5:D$45,$C$5:$C$45,$C46)</f>
        <v>222854</v>
      </c>
      <c r="E46" s="67">
        <f t="shared" si="137"/>
        <v>229664</v>
      </c>
      <c r="F46" s="67">
        <f t="shared" si="137"/>
        <v>242082</v>
      </c>
      <c r="G46" s="67">
        <f t="shared" si="137"/>
        <v>259114</v>
      </c>
      <c r="H46" s="67">
        <f t="shared" si="137"/>
        <v>277146</v>
      </c>
      <c r="I46" s="67">
        <f t="shared" si="137"/>
        <v>290206</v>
      </c>
      <c r="J46" s="67">
        <f t="shared" si="137"/>
        <v>307006</v>
      </c>
      <c r="K46" s="67">
        <f t="shared" si="137"/>
        <v>317406</v>
      </c>
      <c r="L46" s="67">
        <f t="shared" si="137"/>
        <v>322406</v>
      </c>
      <c r="M46" s="67">
        <f t="shared" si="137"/>
        <v>322406</v>
      </c>
      <c r="O46" s="2"/>
      <c r="P46" s="30" t="s">
        <v>93</v>
      </c>
      <c r="Q46" s="67"/>
      <c r="R46" s="67">
        <f t="shared" si="40"/>
        <v>6810</v>
      </c>
      <c r="S46" s="67">
        <f t="shared" si="41"/>
        <v>12418</v>
      </c>
      <c r="T46" s="67">
        <f t="shared" si="42"/>
        <v>17032</v>
      </c>
      <c r="U46" s="67">
        <f t="shared" si="43"/>
        <v>18032</v>
      </c>
      <c r="V46" s="67">
        <f t="shared" si="44"/>
        <v>13060</v>
      </c>
      <c r="W46" s="67">
        <f t="shared" si="45"/>
        <v>16800</v>
      </c>
      <c r="X46" s="67">
        <f t="shared" si="46"/>
        <v>10400</v>
      </c>
      <c r="Y46" s="67">
        <f t="shared" si="47"/>
        <v>5000</v>
      </c>
      <c r="Z46" s="67">
        <f t="shared" si="48"/>
        <v>0</v>
      </c>
      <c r="AB46" s="2"/>
      <c r="AC46" s="30" t="s">
        <v>93</v>
      </c>
      <c r="AD46" s="66"/>
      <c r="AE46" s="66">
        <f t="shared" si="75"/>
        <v>3.0558123255584373E-2</v>
      </c>
      <c r="AF46" s="66">
        <f t="shared" si="76"/>
        <v>5.407029399470531E-2</v>
      </c>
      <c r="AG46" s="66">
        <f t="shared" si="77"/>
        <v>7.0356325542584738E-2</v>
      </c>
      <c r="AH46" s="66">
        <f t="shared" si="78"/>
        <v>6.9590990838009528E-2</v>
      </c>
      <c r="AI46" s="66">
        <f t="shared" si="79"/>
        <v>4.7123176953663415E-2</v>
      </c>
      <c r="AJ46" s="66">
        <f t="shared" si="80"/>
        <v>5.7889912682715039E-2</v>
      </c>
      <c r="AK46" s="66">
        <f t="shared" si="81"/>
        <v>3.3875559435320481E-2</v>
      </c>
      <c r="AL46" s="66">
        <f t="shared" si="82"/>
        <v>1.5752695286163462E-2</v>
      </c>
      <c r="AM46" s="66">
        <f t="shared" si="83"/>
        <v>0</v>
      </c>
      <c r="AO46" s="2"/>
      <c r="AP46" s="30" t="s">
        <v>93</v>
      </c>
      <c r="AQ46" s="66"/>
      <c r="AR46" s="66">
        <f t="shared" si="98"/>
        <v>1.3632978595623034E-2</v>
      </c>
      <c r="AS46" s="66">
        <f t="shared" si="99"/>
        <v>2.3537127174028415E-2</v>
      </c>
      <c r="AT46" s="66">
        <f t="shared" si="100"/>
        <v>3.0337466914135278E-2</v>
      </c>
      <c r="AU46" s="66">
        <f t="shared" si="101"/>
        <v>2.9859149332176413E-2</v>
      </c>
      <c r="AV46" s="66">
        <f t="shared" si="102"/>
        <v>2.0238962327015761E-2</v>
      </c>
      <c r="AW46" s="66">
        <f t="shared" si="103"/>
        <v>2.4535433254858893E-2</v>
      </c>
      <c r="AX46" s="66">
        <f t="shared" si="104"/>
        <v>1.4303160998580686E-2</v>
      </c>
      <c r="AY46" s="66">
        <f t="shared" si="105"/>
        <v>6.6085991091608398E-3</v>
      </c>
      <c r="AZ46" s="66">
        <f t="shared" si="106"/>
        <v>0</v>
      </c>
      <c r="BB46" s="2"/>
      <c r="BC46" s="30" t="s">
        <v>93</v>
      </c>
      <c r="BD46" s="66"/>
      <c r="BE46" s="66">
        <f t="shared" si="107"/>
        <v>1.908172357559557E-2</v>
      </c>
      <c r="BF46" s="66">
        <f t="shared" si="108"/>
        <v>3.3066345713464056E-2</v>
      </c>
      <c r="BG46" s="66">
        <f t="shared" si="109"/>
        <v>4.2437621778931685E-2</v>
      </c>
      <c r="BH46" s="66">
        <f t="shared" si="110"/>
        <v>4.1410796386200689E-2</v>
      </c>
      <c r="BI46" s="66">
        <f t="shared" si="111"/>
        <v>2.84617161586708E-2</v>
      </c>
      <c r="BJ46" s="66">
        <f t="shared" si="112"/>
        <v>3.5056821264466152E-2</v>
      </c>
      <c r="BK46" s="66">
        <f t="shared" si="113"/>
        <v>2.0670930708655156E-2</v>
      </c>
      <c r="BL46" s="66">
        <f t="shared" si="114"/>
        <v>9.4487593778936826E-3</v>
      </c>
      <c r="BM46" s="66">
        <f t="shared" si="115"/>
        <v>0</v>
      </c>
      <c r="BO46" s="2"/>
      <c r="BP46" s="30" t="s">
        <v>93</v>
      </c>
      <c r="BQ46" s="66">
        <f t="shared" si="116"/>
        <v>0.44613271834786716</v>
      </c>
      <c r="BR46" s="66">
        <f t="shared" si="117"/>
        <v>0.4353060698418475</v>
      </c>
      <c r="BS46" s="66">
        <f t="shared" si="118"/>
        <v>0.43119743221628093</v>
      </c>
      <c r="BT46" s="66">
        <f t="shared" si="119"/>
        <v>0.42906630546015745</v>
      </c>
      <c r="BU46" s="66">
        <f t="shared" si="120"/>
        <v>0.4294906166219839</v>
      </c>
      <c r="BV46" s="66">
        <f t="shared" si="121"/>
        <v>0.42382916328330833</v>
      </c>
      <c r="BW46" s="66">
        <f t="shared" si="122"/>
        <v>0.42222656207021753</v>
      </c>
      <c r="BX46" s="66">
        <f t="shared" si="123"/>
        <v>0.4195218017684611</v>
      </c>
      <c r="BY46" s="66">
        <f t="shared" si="124"/>
        <v>0.41535389451444177</v>
      </c>
      <c r="BZ46" s="66">
        <f t="shared" si="125"/>
        <v>0.40977909962124098</v>
      </c>
      <c r="CB46" s="2"/>
      <c r="CC46" s="30" t="s">
        <v>93</v>
      </c>
      <c r="CD46" s="66">
        <f>D46/D$52</f>
        <v>0.44613271834786716</v>
      </c>
      <c r="CE46" s="66">
        <f t="shared" ref="CE46:CM46" si="138">E46/E$52</f>
        <v>0.4353060698418475</v>
      </c>
      <c r="CF46" s="66">
        <f t="shared" si="138"/>
        <v>0.43119743221628093</v>
      </c>
      <c r="CG46" s="66">
        <f t="shared" si="138"/>
        <v>0.42906630546015745</v>
      </c>
      <c r="CH46" s="66">
        <f t="shared" si="138"/>
        <v>0.4294906166219839</v>
      </c>
      <c r="CI46" s="66">
        <f t="shared" si="138"/>
        <v>0.42382916328330833</v>
      </c>
      <c r="CJ46" s="66">
        <f t="shared" si="138"/>
        <v>0.42222656207021753</v>
      </c>
      <c r="CK46" s="66">
        <f t="shared" si="138"/>
        <v>0.4195218017684611</v>
      </c>
      <c r="CL46" s="66">
        <f t="shared" si="138"/>
        <v>0.41535389451444177</v>
      </c>
      <c r="CM46" s="66">
        <f t="shared" si="138"/>
        <v>0.40977909962124098</v>
      </c>
      <c r="CO46" s="2"/>
      <c r="CP46" s="30" t="s">
        <v>93</v>
      </c>
      <c r="CQ46" s="67">
        <f t="shared" si="58"/>
        <v>242082</v>
      </c>
      <c r="CR46" s="67">
        <f t="shared" si="59"/>
        <v>48124</v>
      </c>
      <c r="CS46" s="66">
        <f t="shared" si="60"/>
        <v>0.19879214481043614</v>
      </c>
      <c r="CT46" s="66">
        <f t="shared" si="61"/>
        <v>6.2301911250649322E-2</v>
      </c>
    </row>
    <row r="47" spans="2:98">
      <c r="B47" s="2"/>
      <c r="C47" s="30" t="s">
        <v>45</v>
      </c>
      <c r="D47" s="67">
        <f t="shared" ref="D47:M47" si="139">D5+D12*0.5+D14*0.49+D19+D28+0.667*D30</f>
        <v>112682.66200000001</v>
      </c>
      <c r="E47" s="67">
        <f t="shared" si="139"/>
        <v>114333.85400000001</v>
      </c>
      <c r="F47" s="67">
        <f t="shared" si="139"/>
        <v>124083.85400000001</v>
      </c>
      <c r="G47" s="67">
        <f t="shared" si="139"/>
        <v>129813.85400000001</v>
      </c>
      <c r="H47" s="67">
        <f t="shared" si="139"/>
        <v>137211.386</v>
      </c>
      <c r="I47" s="67">
        <f t="shared" si="139"/>
        <v>145908.91800000001</v>
      </c>
      <c r="J47" s="67">
        <f t="shared" si="139"/>
        <v>153808.91800000001</v>
      </c>
      <c r="K47" s="67">
        <f t="shared" si="139"/>
        <v>155258.91800000001</v>
      </c>
      <c r="L47" s="67">
        <f t="shared" si="139"/>
        <v>160258.91800000001</v>
      </c>
      <c r="M47" s="67">
        <f t="shared" si="139"/>
        <v>160258.91800000001</v>
      </c>
      <c r="O47" s="2"/>
      <c r="P47" s="30" t="s">
        <v>45</v>
      </c>
      <c r="Q47" s="67"/>
      <c r="R47" s="67">
        <f t="shared" si="40"/>
        <v>1651.1919999999955</v>
      </c>
      <c r="S47" s="67">
        <f t="shared" si="41"/>
        <v>9750</v>
      </c>
      <c r="T47" s="67">
        <f t="shared" si="42"/>
        <v>5730</v>
      </c>
      <c r="U47" s="67">
        <f t="shared" si="43"/>
        <v>7397.531999999992</v>
      </c>
      <c r="V47" s="67">
        <f t="shared" si="44"/>
        <v>8697.5320000000065</v>
      </c>
      <c r="W47" s="67">
        <f t="shared" si="45"/>
        <v>7900</v>
      </c>
      <c r="X47" s="67">
        <f t="shared" si="46"/>
        <v>1450</v>
      </c>
      <c r="Y47" s="67">
        <f t="shared" si="47"/>
        <v>5000</v>
      </c>
      <c r="Z47" s="67">
        <f t="shared" si="48"/>
        <v>0</v>
      </c>
      <c r="AB47" s="2"/>
      <c r="AC47" s="30" t="s">
        <v>45</v>
      </c>
      <c r="AD47" s="66"/>
      <c r="AE47" s="66">
        <f t="shared" si="75"/>
        <v>1.4653469936661554E-2</v>
      </c>
      <c r="AF47" s="66">
        <f t="shared" si="76"/>
        <v>8.5276579585955345E-2</v>
      </c>
      <c r="AG47" s="66">
        <f t="shared" si="77"/>
        <v>4.6178449615209401E-2</v>
      </c>
      <c r="AH47" s="66">
        <f t="shared" si="78"/>
        <v>5.6985689678391273E-2</v>
      </c>
      <c r="AI47" s="66">
        <f t="shared" si="79"/>
        <v>6.3387829928341424E-2</v>
      </c>
      <c r="AJ47" s="66">
        <f t="shared" si="80"/>
        <v>5.4143366343104536E-2</v>
      </c>
      <c r="AK47" s="66">
        <f t="shared" si="81"/>
        <v>9.4272817132749088E-3</v>
      </c>
      <c r="AL47" s="66">
        <f t="shared" si="82"/>
        <v>3.2204269258143355E-2</v>
      </c>
      <c r="AM47" s="66">
        <f t="shared" si="83"/>
        <v>0</v>
      </c>
      <c r="AO47" s="2"/>
      <c r="AP47" s="30" t="s">
        <v>45</v>
      </c>
      <c r="AQ47" s="66"/>
      <c r="AR47" s="66">
        <f t="shared" si="98"/>
        <v>3.3055308653838363E-3</v>
      </c>
      <c r="AS47" s="66">
        <f t="shared" si="99"/>
        <v>1.848018923713779E-2</v>
      </c>
      <c r="AT47" s="66">
        <f t="shared" si="100"/>
        <v>1.0206299049905774E-2</v>
      </c>
      <c r="AU47" s="66">
        <f t="shared" si="101"/>
        <v>1.2249557047335482E-2</v>
      </c>
      <c r="AV47" s="66">
        <f t="shared" si="102"/>
        <v>1.3478485642114409E-2</v>
      </c>
      <c r="AW47" s="66">
        <f t="shared" si="103"/>
        <v>1.1537495399606265E-2</v>
      </c>
      <c r="AX47" s="66">
        <f t="shared" si="104"/>
        <v>1.9941907161482686E-3</v>
      </c>
      <c r="AY47" s="66">
        <f t="shared" si="105"/>
        <v>6.6085991091608398E-3</v>
      </c>
      <c r="AZ47" s="66">
        <f t="shared" si="106"/>
        <v>0</v>
      </c>
      <c r="BB47" s="2"/>
      <c r="BC47" s="30" t="s">
        <v>45</v>
      </c>
      <c r="BD47" s="66"/>
      <c r="BE47" s="66">
        <f t="shared" si="107"/>
        <v>4.6266650975381367E-3</v>
      </c>
      <c r="BF47" s="66">
        <f t="shared" si="108"/>
        <v>2.5962060775187194E-2</v>
      </c>
      <c r="BG47" s="66">
        <f t="shared" si="109"/>
        <v>1.4277100328398224E-2</v>
      </c>
      <c r="BH47" s="66">
        <f t="shared" si="110"/>
        <v>1.6988558751797007E-2</v>
      </c>
      <c r="BI47" s="66">
        <f t="shared" si="111"/>
        <v>1.8954570219368801E-2</v>
      </c>
      <c r="BJ47" s="66">
        <f t="shared" si="112"/>
        <v>1.6485052856504919E-2</v>
      </c>
      <c r="BK47" s="66">
        <f t="shared" si="113"/>
        <v>2.8820047622644209E-3</v>
      </c>
      <c r="BL47" s="66">
        <f t="shared" si="114"/>
        <v>9.4487593778936826E-3</v>
      </c>
      <c r="BM47" s="66">
        <f t="shared" si="115"/>
        <v>0</v>
      </c>
      <c r="BO47" s="2"/>
      <c r="BP47" s="30" t="s">
        <v>45</v>
      </c>
      <c r="BQ47" s="66">
        <f t="shared" si="116"/>
        <v>0.22558007623257342</v>
      </c>
      <c r="BR47" s="66">
        <f t="shared" si="117"/>
        <v>0.21670884698782394</v>
      </c>
      <c r="BS47" s="66">
        <f t="shared" si="118"/>
        <v>0.22101865989334152</v>
      </c>
      <c r="BT47" s="66">
        <f t="shared" si="119"/>
        <v>0.21495847670648549</v>
      </c>
      <c r="BU47" s="66">
        <f t="shared" si="120"/>
        <v>0.21263522757209938</v>
      </c>
      <c r="BV47" s="66">
        <f t="shared" si="121"/>
        <v>0.21309157850462376</v>
      </c>
      <c r="BW47" s="66">
        <f t="shared" si="122"/>
        <v>0.21153401126648991</v>
      </c>
      <c r="BX47" s="66">
        <f t="shared" si="123"/>
        <v>0.2052087894368152</v>
      </c>
      <c r="BY47" s="66">
        <f t="shared" si="124"/>
        <v>0.2064606915565175</v>
      </c>
      <c r="BZ47" s="66">
        <f t="shared" si="125"/>
        <v>0.20368961844480032</v>
      </c>
      <c r="CB47" s="2"/>
      <c r="CC47" s="30" t="s">
        <v>45</v>
      </c>
      <c r="CD47" s="66">
        <f t="shared" ref="CD47:CD52" si="140">D47/D$52</f>
        <v>0.22558007623257342</v>
      </c>
      <c r="CE47" s="66">
        <f t="shared" ref="CE47:CE52" si="141">E47/E$52</f>
        <v>0.21670884698782394</v>
      </c>
      <c r="CF47" s="66">
        <f t="shared" ref="CF47:CF52" si="142">F47/F$52</f>
        <v>0.22101865989334152</v>
      </c>
      <c r="CG47" s="66">
        <f t="shared" ref="CG47:CG52" si="143">G47/G$52</f>
        <v>0.21495847670648549</v>
      </c>
      <c r="CH47" s="66">
        <f t="shared" ref="CH47:CH52" si="144">H47/H$52</f>
        <v>0.21263522757209938</v>
      </c>
      <c r="CI47" s="66">
        <f t="shared" ref="CI47:CI52" si="145">I47/I$52</f>
        <v>0.21309157850462376</v>
      </c>
      <c r="CJ47" s="66">
        <f t="shared" ref="CJ47:CJ52" si="146">J47/J$52</f>
        <v>0.21153401126648991</v>
      </c>
      <c r="CK47" s="66">
        <f t="shared" ref="CK47:CK52" si="147">K47/K$52</f>
        <v>0.2052087894368152</v>
      </c>
      <c r="CL47" s="66">
        <f t="shared" ref="CL47:CL52" si="148">L47/L$52</f>
        <v>0.2064606915565175</v>
      </c>
      <c r="CM47" s="66">
        <f t="shared" ref="CM47:CM52" si="149">M47/M$52</f>
        <v>0.20368961844480032</v>
      </c>
      <c r="CO47" s="2"/>
      <c r="CP47" s="30" t="s">
        <v>45</v>
      </c>
      <c r="CQ47" s="67">
        <f t="shared" si="58"/>
        <v>124083.85400000001</v>
      </c>
      <c r="CR47" s="67">
        <f t="shared" si="59"/>
        <v>21825.063999999998</v>
      </c>
      <c r="CS47" s="66">
        <f t="shared" si="60"/>
        <v>0.17588963669680988</v>
      </c>
      <c r="CT47" s="66">
        <f t="shared" si="61"/>
        <v>5.5493397448634019E-2</v>
      </c>
    </row>
    <row r="48" spans="2:98">
      <c r="B48" s="2"/>
      <c r="C48" s="30" t="s">
        <v>184</v>
      </c>
      <c r="D48" s="67">
        <f t="shared" ref="D48:M50" si="150">SUMIFS(D$5:D$45,$C$5:$C$45,$C48)</f>
        <v>31722</v>
      </c>
      <c r="E48" s="67">
        <f t="shared" si="150"/>
        <v>40350</v>
      </c>
      <c r="F48" s="67">
        <f t="shared" si="150"/>
        <v>44490</v>
      </c>
      <c r="G48" s="67">
        <f t="shared" si="150"/>
        <v>53878</v>
      </c>
      <c r="H48" s="67">
        <f t="shared" si="150"/>
        <v>58766</v>
      </c>
      <c r="I48" s="67">
        <f t="shared" si="150"/>
        <v>63326</v>
      </c>
      <c r="J48" s="67">
        <f t="shared" si="150"/>
        <v>68726</v>
      </c>
      <c r="K48" s="67">
        <f t="shared" si="150"/>
        <v>78174</v>
      </c>
      <c r="L48" s="67">
        <f t="shared" si="150"/>
        <v>83574</v>
      </c>
      <c r="M48" s="67">
        <f t="shared" si="150"/>
        <v>88974</v>
      </c>
      <c r="O48" s="2"/>
      <c r="P48" s="30" t="s">
        <v>184</v>
      </c>
      <c r="Q48" s="67"/>
      <c r="R48" s="67">
        <f t="shared" si="40"/>
        <v>8628</v>
      </c>
      <c r="S48" s="67">
        <f t="shared" si="41"/>
        <v>4140</v>
      </c>
      <c r="T48" s="67">
        <f t="shared" si="42"/>
        <v>9388</v>
      </c>
      <c r="U48" s="67">
        <f t="shared" si="43"/>
        <v>4888</v>
      </c>
      <c r="V48" s="67">
        <f t="shared" si="44"/>
        <v>4560</v>
      </c>
      <c r="W48" s="67">
        <f t="shared" si="45"/>
        <v>5400</v>
      </c>
      <c r="X48" s="67">
        <f t="shared" si="46"/>
        <v>9448</v>
      </c>
      <c r="Y48" s="67">
        <f t="shared" si="47"/>
        <v>5400</v>
      </c>
      <c r="Z48" s="67">
        <f t="shared" si="48"/>
        <v>5400</v>
      </c>
      <c r="AB48" s="2"/>
      <c r="AC48" s="30" t="s">
        <v>184</v>
      </c>
      <c r="AD48" s="66"/>
      <c r="AE48" s="66">
        <f t="shared" si="75"/>
        <v>0.27198789483639113</v>
      </c>
      <c r="AF48" s="66">
        <f t="shared" si="76"/>
        <v>0.10260223048327137</v>
      </c>
      <c r="AG48" s="66">
        <f t="shared" si="77"/>
        <v>0.21101371094628008</v>
      </c>
      <c r="AH48" s="66">
        <f t="shared" si="78"/>
        <v>9.0723486395189137E-2</v>
      </c>
      <c r="AI48" s="66">
        <f t="shared" si="79"/>
        <v>7.7595888779226088E-2</v>
      </c>
      <c r="AJ48" s="66">
        <f t="shared" si="80"/>
        <v>8.5273031614186909E-2</v>
      </c>
      <c r="AK48" s="66">
        <f t="shared" si="81"/>
        <v>0.13747344527544161</v>
      </c>
      <c r="AL48" s="66">
        <f t="shared" si="82"/>
        <v>6.9076675109371405E-2</v>
      </c>
      <c r="AM48" s="66">
        <f t="shared" si="83"/>
        <v>6.4613396510876595E-2</v>
      </c>
      <c r="AO48" s="2"/>
      <c r="AP48" s="30" t="s">
        <v>184</v>
      </c>
      <c r="AQ48" s="66"/>
      <c r="AR48" s="66">
        <f t="shared" si="98"/>
        <v>1.7272443366084512E-2</v>
      </c>
      <c r="AS48" s="66">
        <f t="shared" si="99"/>
        <v>7.8469726606923539E-3</v>
      </c>
      <c r="AT48" s="66">
        <f t="shared" si="100"/>
        <v>1.6721943364836896E-2</v>
      </c>
      <c r="AU48" s="66">
        <f t="shared" si="101"/>
        <v>8.0940285013131278E-3</v>
      </c>
      <c r="AV48" s="66">
        <f t="shared" si="102"/>
        <v>7.0665902152520568E-3</v>
      </c>
      <c r="AW48" s="66">
        <f t="shared" si="103"/>
        <v>7.8863892604903573E-3</v>
      </c>
      <c r="AX48" s="66">
        <f t="shared" si="104"/>
        <v>1.2993871645633684E-2</v>
      </c>
      <c r="AY48" s="66">
        <f t="shared" si="105"/>
        <v>7.1372870378937072E-3</v>
      </c>
      <c r="AZ48" s="66">
        <f t="shared" si="106"/>
        <v>6.9567906006029216E-3</v>
      </c>
      <c r="BB48" s="2"/>
      <c r="BC48" s="30" t="s">
        <v>184</v>
      </c>
      <c r="BD48" s="66"/>
      <c r="BE48" s="66">
        <f t="shared" si="107"/>
        <v>2.4175787226173064E-2</v>
      </c>
      <c r="BF48" s="66">
        <f t="shared" si="108"/>
        <v>1.1023890421464101E-2</v>
      </c>
      <c r="BG48" s="66">
        <f t="shared" si="109"/>
        <v>2.3391521445550179E-2</v>
      </c>
      <c r="BH48" s="66">
        <f t="shared" si="110"/>
        <v>1.1225375595372058E-2</v>
      </c>
      <c r="BI48" s="66">
        <f t="shared" si="111"/>
        <v>9.9376283065496819E-3</v>
      </c>
      <c r="BJ48" s="66">
        <f t="shared" si="112"/>
        <v>1.1268263977864122E-2</v>
      </c>
      <c r="BK48" s="66">
        <f t="shared" si="113"/>
        <v>1.8778745513016722E-2</v>
      </c>
      <c r="BL48" s="66">
        <f t="shared" si="114"/>
        <v>1.0204660128125178E-2</v>
      </c>
      <c r="BM48" s="66">
        <f t="shared" si="115"/>
        <v>9.8563527844196617E-3</v>
      </c>
      <c r="BO48" s="2"/>
      <c r="BP48" s="30" t="s">
        <v>184</v>
      </c>
      <c r="BQ48" s="66">
        <f t="shared" si="116"/>
        <v>6.3504456242342716E-2</v>
      </c>
      <c r="BR48" s="66">
        <f t="shared" si="117"/>
        <v>7.647955238138561E-2</v>
      </c>
      <c r="BS48" s="66">
        <f t="shared" si="118"/>
        <v>7.9245766968640122E-2</v>
      </c>
      <c r="BT48" s="66">
        <f t="shared" si="119"/>
        <v>8.9216462273680172E-2</v>
      </c>
      <c r="BU48" s="66">
        <f t="shared" si="120"/>
        <v>9.1069131708224213E-2</v>
      </c>
      <c r="BV48" s="66">
        <f t="shared" si="121"/>
        <v>9.2483978946261564E-2</v>
      </c>
      <c r="BW48" s="66">
        <f t="shared" si="122"/>
        <v>9.4519138729659252E-2</v>
      </c>
      <c r="BX48" s="66">
        <f t="shared" si="123"/>
        <v>0.10332412535190791</v>
      </c>
      <c r="BY48" s="66">
        <f t="shared" si="124"/>
        <v>0.10766792919533122</v>
      </c>
      <c r="BZ48" s="66">
        <f t="shared" si="125"/>
        <v>0.11308625028597574</v>
      </c>
      <c r="CB48" s="2"/>
      <c r="CC48" s="30" t="s">
        <v>184</v>
      </c>
      <c r="CD48" s="66">
        <f t="shared" si="140"/>
        <v>6.3504456242342716E-2</v>
      </c>
      <c r="CE48" s="66">
        <f t="shared" si="141"/>
        <v>7.647955238138561E-2</v>
      </c>
      <c r="CF48" s="66">
        <f t="shared" si="142"/>
        <v>7.9245766968640122E-2</v>
      </c>
      <c r="CG48" s="66">
        <f t="shared" si="143"/>
        <v>8.9216462273680172E-2</v>
      </c>
      <c r="CH48" s="66">
        <f t="shared" si="144"/>
        <v>9.1069131708224213E-2</v>
      </c>
      <c r="CI48" s="66">
        <f t="shared" si="145"/>
        <v>9.2483978946261564E-2</v>
      </c>
      <c r="CJ48" s="66">
        <f t="shared" si="146"/>
        <v>9.4519138729659252E-2</v>
      </c>
      <c r="CK48" s="66">
        <f t="shared" si="147"/>
        <v>0.10332412535190791</v>
      </c>
      <c r="CL48" s="66">
        <f t="shared" si="148"/>
        <v>0.10766792919533122</v>
      </c>
      <c r="CM48" s="66">
        <f t="shared" si="149"/>
        <v>0.11308625028597574</v>
      </c>
      <c r="CO48" s="2"/>
      <c r="CP48" s="30" t="s">
        <v>184</v>
      </c>
      <c r="CQ48" s="67">
        <f t="shared" si="58"/>
        <v>44490</v>
      </c>
      <c r="CR48" s="67">
        <f t="shared" si="59"/>
        <v>18836</v>
      </c>
      <c r="CS48" s="66">
        <f t="shared" si="60"/>
        <v>0.42337603955945158</v>
      </c>
      <c r="CT48" s="66">
        <f t="shared" si="61"/>
        <v>0.12488091962552961</v>
      </c>
    </row>
    <row r="49" spans="2:98">
      <c r="B49" s="2"/>
      <c r="C49" s="30" t="s">
        <v>63</v>
      </c>
      <c r="D49" s="67">
        <f t="shared" si="150"/>
        <v>46298</v>
      </c>
      <c r="E49" s="67">
        <f t="shared" si="150"/>
        <v>50548</v>
      </c>
      <c r="F49" s="67">
        <f t="shared" si="150"/>
        <v>54748</v>
      </c>
      <c r="G49" s="67">
        <f t="shared" si="150"/>
        <v>58948</v>
      </c>
      <c r="H49" s="67">
        <f t="shared" si="150"/>
        <v>59686</v>
      </c>
      <c r="I49" s="67">
        <f t="shared" si="150"/>
        <v>59686</v>
      </c>
      <c r="J49" s="67">
        <f t="shared" si="150"/>
        <v>62986</v>
      </c>
      <c r="K49" s="67">
        <f t="shared" si="150"/>
        <v>66286</v>
      </c>
      <c r="L49" s="67">
        <f t="shared" si="150"/>
        <v>69586</v>
      </c>
      <c r="M49" s="67">
        <f t="shared" si="150"/>
        <v>72886</v>
      </c>
      <c r="O49" s="2"/>
      <c r="P49" s="30" t="s">
        <v>63</v>
      </c>
      <c r="Q49" s="67"/>
      <c r="R49" s="67">
        <f t="shared" si="40"/>
        <v>4250</v>
      </c>
      <c r="S49" s="67">
        <f t="shared" si="41"/>
        <v>4200</v>
      </c>
      <c r="T49" s="67">
        <f t="shared" si="42"/>
        <v>4200</v>
      </c>
      <c r="U49" s="67">
        <f t="shared" si="43"/>
        <v>738</v>
      </c>
      <c r="V49" s="67">
        <f t="shared" si="44"/>
        <v>0</v>
      </c>
      <c r="W49" s="67">
        <f t="shared" si="45"/>
        <v>3300</v>
      </c>
      <c r="X49" s="67">
        <f t="shared" si="46"/>
        <v>3300</v>
      </c>
      <c r="Y49" s="67">
        <f t="shared" si="47"/>
        <v>3300</v>
      </c>
      <c r="Z49" s="67">
        <f t="shared" si="48"/>
        <v>3300</v>
      </c>
      <c r="AB49" s="2"/>
      <c r="AC49" s="30" t="s">
        <v>63</v>
      </c>
      <c r="AD49" s="66"/>
      <c r="AE49" s="66">
        <f t="shared" si="75"/>
        <v>9.1796621884314658E-2</v>
      </c>
      <c r="AF49" s="66">
        <f t="shared" si="76"/>
        <v>8.3089340824562791E-2</v>
      </c>
      <c r="AG49" s="66">
        <f t="shared" si="77"/>
        <v>7.6715131146343249E-2</v>
      </c>
      <c r="AH49" s="66">
        <f t="shared" si="78"/>
        <v>1.2519508719549433E-2</v>
      </c>
      <c r="AI49" s="66">
        <f t="shared" si="79"/>
        <v>0</v>
      </c>
      <c r="AJ49" s="66">
        <f t="shared" si="80"/>
        <v>5.5289347585698485E-2</v>
      </c>
      <c r="AK49" s="66">
        <f t="shared" si="81"/>
        <v>5.2392595179881242E-2</v>
      </c>
      <c r="AL49" s="66">
        <f t="shared" si="82"/>
        <v>4.9784268171257882E-2</v>
      </c>
      <c r="AM49" s="66">
        <f t="shared" si="83"/>
        <v>4.7423332279481506E-2</v>
      </c>
      <c r="AO49" s="2"/>
      <c r="AP49" s="30" t="s">
        <v>63</v>
      </c>
      <c r="AQ49" s="66"/>
      <c r="AR49" s="66">
        <f t="shared" si="98"/>
        <v>8.5080997109247998E-3</v>
      </c>
      <c r="AS49" s="66">
        <f t="shared" si="99"/>
        <v>7.9606969021516621E-3</v>
      </c>
      <c r="AT49" s="66">
        <f t="shared" si="100"/>
        <v>7.4810568952188919E-3</v>
      </c>
      <c r="AU49" s="66">
        <f t="shared" si="101"/>
        <v>1.2220525846908935E-3</v>
      </c>
      <c r="AV49" s="66">
        <f t="shared" si="102"/>
        <v>0</v>
      </c>
      <c r="AW49" s="66">
        <f t="shared" si="103"/>
        <v>4.8194601036329965E-3</v>
      </c>
      <c r="AX49" s="66">
        <f t="shared" si="104"/>
        <v>4.5385030091650257E-3</v>
      </c>
      <c r="AY49" s="66">
        <f t="shared" si="105"/>
        <v>4.3616754120461548E-3</v>
      </c>
      <c r="AZ49" s="66">
        <f t="shared" si="106"/>
        <v>4.2513720337017859E-3</v>
      </c>
      <c r="BB49" s="2"/>
      <c r="BC49" s="30" t="s">
        <v>63</v>
      </c>
      <c r="BD49" s="66"/>
      <c r="BE49" s="66">
        <f t="shared" si="107"/>
        <v>1.1908564639688864E-2</v>
      </c>
      <c r="BF49" s="66">
        <f t="shared" si="108"/>
        <v>1.1183656949311406E-2</v>
      </c>
      <c r="BG49" s="66">
        <f t="shared" si="109"/>
        <v>1.0464890293066761E-2</v>
      </c>
      <c r="BH49" s="66">
        <f t="shared" si="110"/>
        <v>1.6948296213961905E-3</v>
      </c>
      <c r="BI49" s="66">
        <f t="shared" si="111"/>
        <v>0</v>
      </c>
      <c r="BJ49" s="66">
        <f t="shared" si="112"/>
        <v>6.886161319805852E-3</v>
      </c>
      <c r="BK49" s="66">
        <f t="shared" si="113"/>
        <v>6.559045321015579E-3</v>
      </c>
      <c r="BL49" s="66">
        <f t="shared" si="114"/>
        <v>6.2361811894098302E-3</v>
      </c>
      <c r="BM49" s="66">
        <f t="shared" si="115"/>
        <v>6.0233267015897931E-3</v>
      </c>
      <c r="BO49" s="2"/>
      <c r="BP49" s="30" t="s">
        <v>63</v>
      </c>
      <c r="BQ49" s="66">
        <f t="shared" si="116"/>
        <v>9.2684235392093278E-2</v>
      </c>
      <c r="BR49" s="66">
        <f t="shared" si="117"/>
        <v>9.580888262141958E-2</v>
      </c>
      <c r="BS49" s="66">
        <f t="shared" si="118"/>
        <v>9.7517357833200924E-2</v>
      </c>
      <c r="BT49" s="66">
        <f t="shared" si="119"/>
        <v>9.7611864176637933E-2</v>
      </c>
      <c r="BU49" s="66">
        <f t="shared" si="120"/>
        <v>9.2494847277968043E-2</v>
      </c>
      <c r="BV49" s="66">
        <f t="shared" si="121"/>
        <v>8.7167968407708796E-2</v>
      </c>
      <c r="BW49" s="66">
        <f t="shared" si="122"/>
        <v>8.6624894101596447E-2</v>
      </c>
      <c r="BX49" s="66">
        <f t="shared" si="123"/>
        <v>8.7611520109967089E-2</v>
      </c>
      <c r="BY49" s="66">
        <f t="shared" si="124"/>
        <v>8.964726495065832E-2</v>
      </c>
      <c r="BZ49" s="66">
        <f t="shared" si="125"/>
        <v>9.2638348712473631E-2</v>
      </c>
      <c r="CB49" s="2"/>
      <c r="CC49" s="30" t="s">
        <v>63</v>
      </c>
      <c r="CD49" s="66">
        <f t="shared" si="140"/>
        <v>9.2684235392093278E-2</v>
      </c>
      <c r="CE49" s="66">
        <f t="shared" si="141"/>
        <v>9.580888262141958E-2</v>
      </c>
      <c r="CF49" s="66">
        <f t="shared" si="142"/>
        <v>9.7517357833200924E-2</v>
      </c>
      <c r="CG49" s="66">
        <f t="shared" si="143"/>
        <v>9.7611864176637933E-2</v>
      </c>
      <c r="CH49" s="66">
        <f t="shared" si="144"/>
        <v>9.2494847277968043E-2</v>
      </c>
      <c r="CI49" s="66">
        <f t="shared" si="145"/>
        <v>8.7167968407708796E-2</v>
      </c>
      <c r="CJ49" s="66">
        <f t="shared" si="146"/>
        <v>8.6624894101596447E-2</v>
      </c>
      <c r="CK49" s="66">
        <f t="shared" si="147"/>
        <v>8.7611520109967089E-2</v>
      </c>
      <c r="CL49" s="66">
        <f t="shared" si="148"/>
        <v>8.964726495065832E-2</v>
      </c>
      <c r="CM49" s="66">
        <f t="shared" si="149"/>
        <v>9.2638348712473631E-2</v>
      </c>
      <c r="CO49" s="2"/>
      <c r="CP49" s="30" t="s">
        <v>63</v>
      </c>
      <c r="CQ49" s="67">
        <f t="shared" si="58"/>
        <v>54748</v>
      </c>
      <c r="CR49" s="67">
        <f t="shared" si="59"/>
        <v>4938</v>
      </c>
      <c r="CS49" s="66">
        <f t="shared" si="60"/>
        <v>9.0195075619200704E-2</v>
      </c>
      <c r="CT49" s="66">
        <f t="shared" si="61"/>
        <v>2.9203857589395588E-2</v>
      </c>
    </row>
    <row r="50" spans="2:98">
      <c r="B50" s="2"/>
      <c r="C50" s="30" t="s">
        <v>253</v>
      </c>
      <c r="D50" s="67">
        <f t="shared" si="150"/>
        <v>13972</v>
      </c>
      <c r="E50" s="67">
        <f t="shared" si="150"/>
        <v>17336</v>
      </c>
      <c r="F50" s="67">
        <f t="shared" si="150"/>
        <v>17336</v>
      </c>
      <c r="G50" s="67">
        <f t="shared" si="150"/>
        <v>17336</v>
      </c>
      <c r="H50" s="67">
        <f t="shared" si="150"/>
        <v>22536</v>
      </c>
      <c r="I50" s="67">
        <f t="shared" si="150"/>
        <v>27736</v>
      </c>
      <c r="J50" s="67">
        <f t="shared" si="150"/>
        <v>28936</v>
      </c>
      <c r="K50" s="67">
        <f t="shared" si="150"/>
        <v>28936</v>
      </c>
      <c r="L50" s="67">
        <f t="shared" si="150"/>
        <v>28936</v>
      </c>
      <c r="M50" s="67">
        <f t="shared" si="150"/>
        <v>28936</v>
      </c>
      <c r="O50" s="2"/>
      <c r="P50" s="30" t="s">
        <v>253</v>
      </c>
      <c r="Q50" s="67"/>
      <c r="R50" s="67">
        <f t="shared" si="40"/>
        <v>3364</v>
      </c>
      <c r="S50" s="67">
        <f t="shared" si="41"/>
        <v>0</v>
      </c>
      <c r="T50" s="67">
        <f t="shared" si="42"/>
        <v>0</v>
      </c>
      <c r="U50" s="67">
        <f t="shared" si="43"/>
        <v>5200</v>
      </c>
      <c r="V50" s="67">
        <f t="shared" si="44"/>
        <v>5200</v>
      </c>
      <c r="W50" s="67">
        <f t="shared" si="45"/>
        <v>1200</v>
      </c>
      <c r="X50" s="67">
        <f t="shared" si="46"/>
        <v>0</v>
      </c>
      <c r="Y50" s="67">
        <f t="shared" si="47"/>
        <v>0</v>
      </c>
      <c r="Z50" s="67">
        <f t="shared" si="48"/>
        <v>0</v>
      </c>
      <c r="AB50" s="2"/>
      <c r="AC50" s="30" t="s">
        <v>253</v>
      </c>
      <c r="AD50" s="66"/>
      <c r="AE50" s="66">
        <f t="shared" si="75"/>
        <v>0.24076724878328085</v>
      </c>
      <c r="AF50" s="66">
        <f t="shared" si="76"/>
        <v>0</v>
      </c>
      <c r="AG50" s="66">
        <f t="shared" si="77"/>
        <v>0</v>
      </c>
      <c r="AH50" s="66">
        <f t="shared" si="78"/>
        <v>0.29995385325334561</v>
      </c>
      <c r="AI50" s="66">
        <f t="shared" si="79"/>
        <v>0.23074192403265886</v>
      </c>
      <c r="AJ50" s="66">
        <f t="shared" si="80"/>
        <v>4.3265070666282088E-2</v>
      </c>
      <c r="AK50" s="66">
        <f t="shared" si="81"/>
        <v>0</v>
      </c>
      <c r="AL50" s="66">
        <f t="shared" si="82"/>
        <v>0</v>
      </c>
      <c r="AM50" s="66">
        <f t="shared" si="83"/>
        <v>0</v>
      </c>
      <c r="AO50" s="2"/>
      <c r="AP50" s="30" t="s">
        <v>253</v>
      </c>
      <c r="AQ50" s="66"/>
      <c r="AR50" s="66">
        <f t="shared" si="98"/>
        <v>6.7344111594237711E-3</v>
      </c>
      <c r="AS50" s="66">
        <f t="shared" si="99"/>
        <v>0</v>
      </c>
      <c r="AT50" s="66">
        <f t="shared" si="100"/>
        <v>0</v>
      </c>
      <c r="AU50" s="66">
        <f t="shared" si="101"/>
        <v>8.6106686184182196E-3</v>
      </c>
      <c r="AV50" s="66">
        <f t="shared" si="102"/>
        <v>8.0583923507260308E-3</v>
      </c>
      <c r="AW50" s="66">
        <f t="shared" si="103"/>
        <v>1.7525309467756351E-3</v>
      </c>
      <c r="AX50" s="66">
        <f t="shared" si="104"/>
        <v>0</v>
      </c>
      <c r="AY50" s="66">
        <f t="shared" si="105"/>
        <v>0</v>
      </c>
      <c r="AZ50" s="66">
        <f t="shared" si="106"/>
        <v>0</v>
      </c>
      <c r="BB50" s="2"/>
      <c r="BC50" s="30" t="s">
        <v>253</v>
      </c>
      <c r="BD50" s="66"/>
      <c r="BE50" s="66">
        <f t="shared" si="107"/>
        <v>9.4259791642149031E-3</v>
      </c>
      <c r="BF50" s="66">
        <f t="shared" si="108"/>
        <v>0</v>
      </c>
      <c r="BG50" s="66">
        <f t="shared" si="109"/>
        <v>0</v>
      </c>
      <c r="BH50" s="66">
        <f t="shared" si="110"/>
        <v>1.1941888931246871E-2</v>
      </c>
      <c r="BI50" s="66">
        <f t="shared" si="111"/>
        <v>1.1332383156591743E-2</v>
      </c>
      <c r="BJ50" s="66">
        <f t="shared" si="112"/>
        <v>2.5040586617475825E-3</v>
      </c>
      <c r="BK50" s="66">
        <f t="shared" si="113"/>
        <v>0</v>
      </c>
      <c r="BL50" s="66">
        <f t="shared" si="114"/>
        <v>0</v>
      </c>
      <c r="BM50" s="66">
        <f t="shared" si="115"/>
        <v>0</v>
      </c>
      <c r="BO50" s="2"/>
      <c r="BP50" s="30" t="s">
        <v>253</v>
      </c>
      <c r="BQ50" s="66">
        <f t="shared" si="116"/>
        <v>2.7970628037892072E-2</v>
      </c>
      <c r="BR50" s="66">
        <f t="shared" si="117"/>
        <v>3.2858724165643151E-2</v>
      </c>
      <c r="BS50" s="66">
        <f t="shared" si="118"/>
        <v>3.0878952937027315E-2</v>
      </c>
      <c r="BT50" s="66">
        <f t="shared" si="119"/>
        <v>2.8706644455557359E-2</v>
      </c>
      <c r="BU50" s="66">
        <f t="shared" si="120"/>
        <v>3.4923832695377272E-2</v>
      </c>
      <c r="BV50" s="66">
        <f t="shared" si="121"/>
        <v>4.0506831949807511E-2</v>
      </c>
      <c r="BW50" s="66">
        <f t="shared" si="122"/>
        <v>3.9795794870666416E-2</v>
      </c>
      <c r="BX50" s="66">
        <f t="shared" si="123"/>
        <v>3.8245284764535613E-2</v>
      </c>
      <c r="BY50" s="66">
        <f t="shared" si="124"/>
        <v>3.7278091262786327E-2</v>
      </c>
      <c r="BZ50" s="66">
        <f t="shared" si="125"/>
        <v>3.6777752357711177E-2</v>
      </c>
      <c r="CB50" s="2"/>
      <c r="CC50" s="30" t="s">
        <v>253</v>
      </c>
      <c r="CD50" s="66">
        <f t="shared" si="140"/>
        <v>2.7970628037892072E-2</v>
      </c>
      <c r="CE50" s="66">
        <f t="shared" si="141"/>
        <v>3.2858724165643151E-2</v>
      </c>
      <c r="CF50" s="66">
        <f t="shared" si="142"/>
        <v>3.0878952937027315E-2</v>
      </c>
      <c r="CG50" s="66">
        <f t="shared" si="143"/>
        <v>2.8706644455557359E-2</v>
      </c>
      <c r="CH50" s="66">
        <f t="shared" si="144"/>
        <v>3.4923832695377272E-2</v>
      </c>
      <c r="CI50" s="66">
        <f t="shared" si="145"/>
        <v>4.0506831949807511E-2</v>
      </c>
      <c r="CJ50" s="66">
        <f t="shared" si="146"/>
        <v>3.9795794870666416E-2</v>
      </c>
      <c r="CK50" s="66">
        <f t="shared" si="147"/>
        <v>3.8245284764535613E-2</v>
      </c>
      <c r="CL50" s="66">
        <f t="shared" si="148"/>
        <v>3.7278091262786327E-2</v>
      </c>
      <c r="CM50" s="66">
        <f t="shared" si="149"/>
        <v>3.6777752357711177E-2</v>
      </c>
      <c r="CO50" s="2"/>
      <c r="CP50" s="30" t="s">
        <v>253</v>
      </c>
      <c r="CQ50" s="67">
        <f t="shared" si="58"/>
        <v>17336</v>
      </c>
      <c r="CR50" s="67">
        <f t="shared" si="59"/>
        <v>10400</v>
      </c>
      <c r="CS50" s="66">
        <f t="shared" si="60"/>
        <v>0.59990770650669123</v>
      </c>
      <c r="CT50" s="66">
        <f t="shared" si="61"/>
        <v>0.16958460586842228</v>
      </c>
    </row>
    <row r="51" spans="2:98">
      <c r="B51" s="2"/>
      <c r="C51" s="30" t="s">
        <v>361</v>
      </c>
      <c r="D51" s="67">
        <f t="shared" ref="D51:M51" si="151">D52-SUM(D46:D50)</f>
        <v>71995.337999999989</v>
      </c>
      <c r="E51" s="67">
        <f t="shared" si="151"/>
        <v>75360.146000000008</v>
      </c>
      <c r="F51" s="67">
        <f t="shared" si="151"/>
        <v>78678.146000000008</v>
      </c>
      <c r="G51" s="67">
        <f t="shared" si="151"/>
        <v>84812.146000000008</v>
      </c>
      <c r="H51" s="67">
        <f t="shared" si="151"/>
        <v>89944.61400000006</v>
      </c>
      <c r="I51" s="67">
        <f t="shared" si="151"/>
        <v>97861.081999999937</v>
      </c>
      <c r="J51" s="67">
        <f t="shared" si="151"/>
        <v>105649.08199999994</v>
      </c>
      <c r="K51" s="67">
        <f t="shared" si="151"/>
        <v>110529.08199999994</v>
      </c>
      <c r="L51" s="67">
        <f t="shared" si="151"/>
        <v>111459.08199999994</v>
      </c>
      <c r="M51" s="67">
        <f t="shared" si="151"/>
        <v>113319.08199999994</v>
      </c>
      <c r="O51" s="2"/>
      <c r="P51" s="30" t="s">
        <v>361</v>
      </c>
      <c r="Q51" s="67"/>
      <c r="R51" s="67">
        <f t="shared" si="40"/>
        <v>3364.8080000000191</v>
      </c>
      <c r="S51" s="67">
        <f t="shared" si="41"/>
        <v>3318</v>
      </c>
      <c r="T51" s="67">
        <f t="shared" si="42"/>
        <v>6134</v>
      </c>
      <c r="U51" s="67">
        <f t="shared" si="43"/>
        <v>5132.4680000000517</v>
      </c>
      <c r="V51" s="67">
        <f t="shared" si="44"/>
        <v>7916.4679999998771</v>
      </c>
      <c r="W51" s="67">
        <f t="shared" si="45"/>
        <v>7788</v>
      </c>
      <c r="X51" s="67">
        <f t="shared" si="46"/>
        <v>4880</v>
      </c>
      <c r="Y51" s="67">
        <f t="shared" si="47"/>
        <v>930</v>
      </c>
      <c r="Z51" s="67">
        <f t="shared" si="48"/>
        <v>1860</v>
      </c>
      <c r="AB51" s="2"/>
      <c r="AC51" s="30" t="s">
        <v>361</v>
      </c>
      <c r="AD51" s="66"/>
      <c r="AE51" s="66">
        <f t="shared" si="75"/>
        <v>4.673647063091807E-2</v>
      </c>
      <c r="AF51" s="66">
        <f t="shared" si="76"/>
        <v>4.4028577120856421E-2</v>
      </c>
      <c r="AG51" s="66">
        <f t="shared" si="77"/>
        <v>7.7963199590391968E-2</v>
      </c>
      <c r="AH51" s="66">
        <f t="shared" si="78"/>
        <v>6.0515719057504469E-2</v>
      </c>
      <c r="AI51" s="66">
        <f t="shared" si="79"/>
        <v>8.8014919937283539E-2</v>
      </c>
      <c r="AJ51" s="66">
        <f t="shared" si="80"/>
        <v>7.9582197956895723E-2</v>
      </c>
      <c r="AK51" s="66">
        <f t="shared" si="81"/>
        <v>4.6190652181909188E-2</v>
      </c>
      <c r="AL51" s="66">
        <f t="shared" si="82"/>
        <v>8.4140751300187267E-3</v>
      </c>
      <c r="AM51" s="66">
        <f t="shared" si="83"/>
        <v>1.6687738375595101E-2</v>
      </c>
      <c r="AO51" s="2"/>
      <c r="AP51" s="30" t="s">
        <v>361</v>
      </c>
      <c r="AQ51" s="66"/>
      <c r="AR51" s="66">
        <f t="shared" si="98"/>
        <v>6.7360286993217921E-3</v>
      </c>
      <c r="AS51" s="66">
        <f t="shared" si="99"/>
        <v>6.2889505526998136E-3</v>
      </c>
      <c r="AT51" s="66">
        <f t="shared" si="100"/>
        <v>1.0925905475064925E-2</v>
      </c>
      <c r="AU51" s="66">
        <f t="shared" si="101"/>
        <v>8.4988425274300332E-3</v>
      </c>
      <c r="AV51" s="66">
        <f t="shared" si="102"/>
        <v>1.2268077918455078E-2</v>
      </c>
      <c r="AW51" s="66">
        <f t="shared" si="103"/>
        <v>1.1373925844573873E-2</v>
      </c>
      <c r="AX51" s="66">
        <f t="shared" si="104"/>
        <v>6.7114832377955531E-3</v>
      </c>
      <c r="AY51" s="66">
        <f t="shared" si="105"/>
        <v>1.2291994343039162E-3</v>
      </c>
      <c r="AZ51" s="66">
        <f t="shared" si="106"/>
        <v>2.3962278735410064E-3</v>
      </c>
      <c r="BB51" s="2"/>
      <c r="BC51" s="30" t="s">
        <v>361</v>
      </c>
      <c r="BD51" s="66"/>
      <c r="BE51" s="66">
        <f t="shared" si="107"/>
        <v>9.4282431925041023E-3</v>
      </c>
      <c r="BF51" s="66">
        <f t="shared" si="108"/>
        <v>8.8350889899560109E-3</v>
      </c>
      <c r="BG51" s="66">
        <f t="shared" si="109"/>
        <v>1.5283723108969407E-2</v>
      </c>
      <c r="BH51" s="66">
        <f t="shared" si="110"/>
        <v>1.1786800538303728E-2</v>
      </c>
      <c r="BI51" s="66">
        <f t="shared" si="111"/>
        <v>1.7252393965941561E-2</v>
      </c>
      <c r="BJ51" s="66">
        <f t="shared" si="112"/>
        <v>1.625134071474181E-2</v>
      </c>
      <c r="BK51" s="66">
        <f t="shared" si="113"/>
        <v>9.6994367171381896E-3</v>
      </c>
      <c r="BL51" s="66">
        <f t="shared" si="114"/>
        <v>1.7574692442882249E-3</v>
      </c>
      <c r="BM51" s="66">
        <f t="shared" si="115"/>
        <v>3.3949659590778833E-3</v>
      </c>
      <c r="BO51" s="2"/>
      <c r="BP51" s="30" t="s">
        <v>361</v>
      </c>
      <c r="BQ51" s="66">
        <f t="shared" si="116"/>
        <v>0.14412788574723134</v>
      </c>
      <c r="BR51" s="66">
        <f t="shared" si="117"/>
        <v>0.14283792400188025</v>
      </c>
      <c r="BS51" s="66">
        <f t="shared" si="118"/>
        <v>0.14014183015150922</v>
      </c>
      <c r="BT51" s="66">
        <f t="shared" si="119"/>
        <v>0.14044024692748164</v>
      </c>
      <c r="BU51" s="66">
        <f t="shared" si="120"/>
        <v>0.13938634412434728</v>
      </c>
      <c r="BV51" s="66">
        <f t="shared" si="121"/>
        <v>0.14292047890828996</v>
      </c>
      <c r="BW51" s="66">
        <f t="shared" si="122"/>
        <v>0.14529959896137037</v>
      </c>
      <c r="BX51" s="66">
        <f t="shared" si="123"/>
        <v>0.146088478568313</v>
      </c>
      <c r="BY51" s="66">
        <f t="shared" si="124"/>
        <v>0.14359212852026479</v>
      </c>
      <c r="BZ51" s="66">
        <f t="shared" si="125"/>
        <v>0.14402893057779803</v>
      </c>
      <c r="CB51" s="2"/>
      <c r="CC51" s="30" t="s">
        <v>361</v>
      </c>
      <c r="CD51" s="66">
        <f t="shared" si="140"/>
        <v>0.14412788574723134</v>
      </c>
      <c r="CE51" s="66">
        <f t="shared" si="141"/>
        <v>0.14283792400188025</v>
      </c>
      <c r="CF51" s="66">
        <f t="shared" si="142"/>
        <v>0.14014183015150922</v>
      </c>
      <c r="CG51" s="66">
        <f t="shared" si="143"/>
        <v>0.14044024692748164</v>
      </c>
      <c r="CH51" s="66">
        <f t="shared" si="144"/>
        <v>0.13938634412434728</v>
      </c>
      <c r="CI51" s="66">
        <f t="shared" si="145"/>
        <v>0.14292047890828996</v>
      </c>
      <c r="CJ51" s="66">
        <f t="shared" si="146"/>
        <v>0.14529959896137037</v>
      </c>
      <c r="CK51" s="66">
        <f t="shared" si="147"/>
        <v>0.146088478568313</v>
      </c>
      <c r="CL51" s="66">
        <f t="shared" si="148"/>
        <v>0.14359212852026479</v>
      </c>
      <c r="CM51" s="66">
        <f t="shared" si="149"/>
        <v>0.14402893057779803</v>
      </c>
      <c r="CO51" s="2"/>
      <c r="CP51" s="30" t="s">
        <v>361</v>
      </c>
      <c r="CQ51" s="67">
        <f t="shared" si="58"/>
        <v>78678.146000000008</v>
      </c>
      <c r="CR51" s="67">
        <f t="shared" si="59"/>
        <v>19182.935999999929</v>
      </c>
      <c r="CS51" s="66">
        <f t="shared" si="60"/>
        <v>0.24381530291778769</v>
      </c>
      <c r="CT51" s="66">
        <f t="shared" si="61"/>
        <v>7.5437803408614057E-2</v>
      </c>
    </row>
    <row r="52" spans="2:98" ht="13.5" thickBot="1">
      <c r="B52" s="2"/>
      <c r="C52" s="33" t="s">
        <v>244</v>
      </c>
      <c r="D52" s="178">
        <f>SUMIFS(Ships!$P:$P,Ships!$I:$I,"&lt;2017")</f>
        <v>499524</v>
      </c>
      <c r="E52" s="178">
        <f>SUMIFS(Ships!$P:$P,Ships!$I:$I,"&lt;2018")</f>
        <v>527592</v>
      </c>
      <c r="F52" s="178">
        <f>SUMIFS(Ships!$P:$P,Ships!$I:$I,"&lt;2019")</f>
        <v>561418</v>
      </c>
      <c r="G52" s="178">
        <f>SUMIFS(Ships!$P:$P,Ships!$I:$I,"&lt;2020")</f>
        <v>603902</v>
      </c>
      <c r="H52" s="178">
        <f>SUMIFS(Ships!$P:$P,Ships!$I:$I,"&lt;2021")</f>
        <v>645290</v>
      </c>
      <c r="I52" s="178">
        <f>SUMIFS(Ships!$P:$P,Ships!$I:$I,"&lt;2022")</f>
        <v>684724</v>
      </c>
      <c r="J52" s="178">
        <f>SUMIFS(Ships!$P:$P,Ships!$I:$I,"&lt;2023")</f>
        <v>727112</v>
      </c>
      <c r="K52" s="178">
        <f>SUMIFS(Ships!$P:$P,Ships!$I:$I,"&lt;2024")</f>
        <v>756590</v>
      </c>
      <c r="L52" s="178">
        <f>SUMIFS(Ships!$P:$P,Ships!$I:$I,"&lt;2025")</f>
        <v>776220</v>
      </c>
      <c r="M52" s="178">
        <f>SUMIFS(Ships!$P:$P,Ships!$I:$I,"&lt;2026")</f>
        <v>786780</v>
      </c>
      <c r="O52" s="2"/>
      <c r="P52" s="33" t="s">
        <v>244</v>
      </c>
      <c r="Q52" s="178"/>
      <c r="R52" s="178">
        <f t="shared" si="40"/>
        <v>28068</v>
      </c>
      <c r="S52" s="178">
        <f t="shared" si="41"/>
        <v>33826</v>
      </c>
      <c r="T52" s="178">
        <f t="shared" si="42"/>
        <v>42484</v>
      </c>
      <c r="U52" s="178">
        <f t="shared" si="43"/>
        <v>41388</v>
      </c>
      <c r="V52" s="178">
        <f t="shared" si="44"/>
        <v>39434</v>
      </c>
      <c r="W52" s="178">
        <f t="shared" si="45"/>
        <v>42388</v>
      </c>
      <c r="X52" s="178">
        <f t="shared" si="46"/>
        <v>29478</v>
      </c>
      <c r="Y52" s="178">
        <f t="shared" si="47"/>
        <v>19630</v>
      </c>
      <c r="Z52" s="178">
        <f t="shared" si="48"/>
        <v>10560</v>
      </c>
      <c r="AB52" s="2"/>
      <c r="AC52" s="33" t="s">
        <v>244</v>
      </c>
      <c r="AD52" s="273"/>
      <c r="AE52" s="273">
        <f t="shared" si="75"/>
        <v>5.6189492396761714E-2</v>
      </c>
      <c r="AF52" s="273">
        <f t="shared" si="76"/>
        <v>6.4113936526710033E-2</v>
      </c>
      <c r="AG52" s="273">
        <f t="shared" si="77"/>
        <v>7.5672671699161767E-2</v>
      </c>
      <c r="AH52" s="273">
        <f t="shared" si="78"/>
        <v>6.8534298611364092E-2</v>
      </c>
      <c r="AI52" s="273">
        <f t="shared" si="79"/>
        <v>6.1110508453563514E-2</v>
      </c>
      <c r="AJ52" s="273">
        <f t="shared" si="80"/>
        <v>6.1905234809938016E-2</v>
      </c>
      <c r="AK52" s="273">
        <f t="shared" si="81"/>
        <v>4.0541209607323221E-2</v>
      </c>
      <c r="AL52" s="273">
        <f t="shared" si="82"/>
        <v>2.5945360102565457E-2</v>
      </c>
      <c r="AM52" s="273">
        <f t="shared" si="83"/>
        <v>1.3604390507845714E-2</v>
      </c>
      <c r="AO52" s="2"/>
      <c r="AP52" s="33" t="s">
        <v>244</v>
      </c>
      <c r="AQ52" s="273"/>
      <c r="AR52" s="273">
        <f t="shared" si="98"/>
        <v>5.6189492396761714E-2</v>
      </c>
      <c r="AS52" s="273">
        <f t="shared" si="99"/>
        <v>6.4113936526710033E-2</v>
      </c>
      <c r="AT52" s="273">
        <f t="shared" si="100"/>
        <v>7.5672671699161767E-2</v>
      </c>
      <c r="AU52" s="273">
        <f t="shared" si="101"/>
        <v>6.8534298611364092E-2</v>
      </c>
      <c r="AV52" s="273">
        <f t="shared" si="102"/>
        <v>6.1110508453563514E-2</v>
      </c>
      <c r="AW52" s="273">
        <f t="shared" si="103"/>
        <v>6.1905234809938016E-2</v>
      </c>
      <c r="AX52" s="273">
        <f t="shared" si="104"/>
        <v>4.0541209607323221E-2</v>
      </c>
      <c r="AY52" s="273">
        <f t="shared" si="105"/>
        <v>2.5945360102565457E-2</v>
      </c>
      <c r="AZ52" s="273">
        <f t="shared" si="106"/>
        <v>1.3604390507845714E-2</v>
      </c>
      <c r="BB52" s="2"/>
      <c r="BC52" s="33" t="s">
        <v>244</v>
      </c>
      <c r="BD52" s="273"/>
      <c r="BE52" s="273">
        <f t="shared" si="107"/>
        <v>7.8646962895714601E-2</v>
      </c>
      <c r="BF52" s="273">
        <f t="shared" si="108"/>
        <v>9.0071042849382763E-2</v>
      </c>
      <c r="BG52" s="273">
        <f t="shared" si="109"/>
        <v>0.10585485695491625</v>
      </c>
      <c r="BH52" s="273">
        <f t="shared" si="110"/>
        <v>9.5048249824316436E-2</v>
      </c>
      <c r="BI52" s="273">
        <f t="shared" si="111"/>
        <v>8.5938691807122838E-2</v>
      </c>
      <c r="BJ52" s="273">
        <f t="shared" si="112"/>
        <v>8.8451698795130443E-2</v>
      </c>
      <c r="BK52" s="273">
        <f t="shared" si="113"/>
        <v>5.8590163022090067E-2</v>
      </c>
      <c r="BL52" s="273">
        <f t="shared" si="114"/>
        <v>3.7095829317610594E-2</v>
      </c>
      <c r="BM52" s="273">
        <f t="shared" si="115"/>
        <v>1.9274645445087338E-2</v>
      </c>
      <c r="BO52" s="2"/>
      <c r="BP52" s="33" t="s">
        <v>244</v>
      </c>
      <c r="BQ52" s="273">
        <f t="shared" si="116"/>
        <v>1</v>
      </c>
      <c r="BR52" s="273">
        <f t="shared" si="117"/>
        <v>1</v>
      </c>
      <c r="BS52" s="273">
        <f t="shared" si="118"/>
        <v>1</v>
      </c>
      <c r="BT52" s="273">
        <f t="shared" si="119"/>
        <v>1</v>
      </c>
      <c r="BU52" s="273">
        <f t="shared" si="120"/>
        <v>1</v>
      </c>
      <c r="BV52" s="273">
        <f t="shared" si="121"/>
        <v>1</v>
      </c>
      <c r="BW52" s="273">
        <f t="shared" si="122"/>
        <v>1</v>
      </c>
      <c r="BX52" s="273">
        <f t="shared" si="123"/>
        <v>1</v>
      </c>
      <c r="BY52" s="273">
        <f t="shared" si="124"/>
        <v>1</v>
      </c>
      <c r="BZ52" s="273">
        <f t="shared" si="125"/>
        <v>1</v>
      </c>
      <c r="CB52" s="2"/>
      <c r="CC52" s="33" t="s">
        <v>244</v>
      </c>
      <c r="CD52" s="273">
        <f t="shared" si="140"/>
        <v>1</v>
      </c>
      <c r="CE52" s="273">
        <f t="shared" si="141"/>
        <v>1</v>
      </c>
      <c r="CF52" s="273">
        <f t="shared" si="142"/>
        <v>1</v>
      </c>
      <c r="CG52" s="273">
        <f t="shared" si="143"/>
        <v>1</v>
      </c>
      <c r="CH52" s="273">
        <f t="shared" si="144"/>
        <v>1</v>
      </c>
      <c r="CI52" s="273">
        <f t="shared" si="145"/>
        <v>1</v>
      </c>
      <c r="CJ52" s="273">
        <f t="shared" si="146"/>
        <v>1</v>
      </c>
      <c r="CK52" s="273">
        <f t="shared" si="147"/>
        <v>1</v>
      </c>
      <c r="CL52" s="273">
        <f t="shared" si="148"/>
        <v>1</v>
      </c>
      <c r="CM52" s="273">
        <f t="shared" si="149"/>
        <v>1</v>
      </c>
      <c r="CO52" s="2"/>
      <c r="CP52" s="33" t="s">
        <v>244</v>
      </c>
      <c r="CQ52" s="178">
        <f t="shared" si="58"/>
        <v>561418</v>
      </c>
      <c r="CR52" s="178">
        <f t="shared" si="59"/>
        <v>123306</v>
      </c>
      <c r="CS52" s="273">
        <f t="shared" si="60"/>
        <v>0.21963314321949065</v>
      </c>
      <c r="CT52" s="273">
        <f t="shared" si="61"/>
        <v>6.842261630331703E-2</v>
      </c>
    </row>
    <row r="53" spans="2:98" s="2" customFormat="1">
      <c r="C53" s="30" t="s">
        <v>1034</v>
      </c>
      <c r="D53" s="67">
        <f>D52*365/1000000</f>
        <v>182.32625999999999</v>
      </c>
      <c r="E53" s="67">
        <f t="shared" ref="E53:M53" si="152">E52*365/1000000</f>
        <v>192.57107999999999</v>
      </c>
      <c r="F53" s="67">
        <f t="shared" si="152"/>
        <v>204.91757000000001</v>
      </c>
      <c r="G53" s="67">
        <f t="shared" si="152"/>
        <v>220.42422999999999</v>
      </c>
      <c r="H53" s="67">
        <f t="shared" si="152"/>
        <v>235.53084999999999</v>
      </c>
      <c r="I53" s="67">
        <f t="shared" si="152"/>
        <v>249.92426</v>
      </c>
      <c r="J53" s="67">
        <f t="shared" si="152"/>
        <v>265.39587999999998</v>
      </c>
      <c r="K53" s="67">
        <f t="shared" si="152"/>
        <v>276.15535</v>
      </c>
      <c r="L53" s="67">
        <f t="shared" si="152"/>
        <v>283.32029999999997</v>
      </c>
      <c r="M53" s="67">
        <f t="shared" si="152"/>
        <v>287.17469999999997</v>
      </c>
      <c r="N53"/>
      <c r="P53" s="30"/>
      <c r="Q53" s="67">
        <f t="shared" ref="Q53" si="153">Q52*365/1000000</f>
        <v>0</v>
      </c>
      <c r="R53" s="67">
        <f t="shared" ref="R53" si="154">R52*365/1000000</f>
        <v>10.244820000000001</v>
      </c>
      <c r="S53" s="67">
        <f t="shared" ref="S53" si="155">S52*365/1000000</f>
        <v>12.346489999999999</v>
      </c>
      <c r="T53" s="67">
        <f t="shared" ref="T53" si="156">T52*365/1000000</f>
        <v>15.50666</v>
      </c>
      <c r="U53" s="67">
        <f t="shared" ref="U53" si="157">U52*365/1000000</f>
        <v>15.106619999999999</v>
      </c>
      <c r="V53" s="67">
        <f t="shared" ref="V53" si="158">V52*365/1000000</f>
        <v>14.393409999999999</v>
      </c>
      <c r="W53" s="67">
        <f t="shared" ref="W53" si="159">W52*365/1000000</f>
        <v>15.47162</v>
      </c>
      <c r="X53" s="67">
        <f t="shared" ref="X53" si="160">X52*365/1000000</f>
        <v>10.75947</v>
      </c>
      <c r="Y53" s="67">
        <f t="shared" ref="Y53" si="161">Y52*365/1000000</f>
        <v>7.1649500000000002</v>
      </c>
      <c r="Z53" s="67">
        <f t="shared" ref="Z53" si="162">Z52*365/1000000</f>
        <v>3.8544</v>
      </c>
      <c r="AA53"/>
      <c r="AC53" s="30"/>
      <c r="AN53"/>
      <c r="AP53" s="30"/>
      <c r="BA53"/>
      <c r="BC53" s="30"/>
      <c r="BN53"/>
      <c r="BP53" s="30"/>
      <c r="CA53"/>
      <c r="CC53" s="30"/>
      <c r="CN53"/>
      <c r="CO53"/>
      <c r="CP53"/>
      <c r="CQ53" s="67"/>
      <c r="CR53" s="67"/>
    </row>
    <row r="54" spans="2:98" s="2" customFormat="1">
      <c r="C54" s="30" t="s">
        <v>1035</v>
      </c>
      <c r="D54" s="67">
        <f>D53*105%</f>
        <v>191.44257300000001</v>
      </c>
      <c r="E54" s="67">
        <f t="shared" ref="E54:M54" si="163">E53*105%</f>
        <v>202.199634</v>
      </c>
      <c r="F54" s="67">
        <f t="shared" si="163"/>
        <v>215.16344850000002</v>
      </c>
      <c r="G54" s="67">
        <f t="shared" si="163"/>
        <v>231.44544150000002</v>
      </c>
      <c r="H54" s="67">
        <f t="shared" si="163"/>
        <v>247.30739249999999</v>
      </c>
      <c r="I54" s="67">
        <f t="shared" si="163"/>
        <v>262.42047300000002</v>
      </c>
      <c r="J54" s="67">
        <f t="shared" si="163"/>
        <v>278.66567399999997</v>
      </c>
      <c r="K54" s="67">
        <f t="shared" si="163"/>
        <v>289.96311750000001</v>
      </c>
      <c r="L54" s="67">
        <f t="shared" si="163"/>
        <v>297.48631499999999</v>
      </c>
      <c r="M54" s="67">
        <f t="shared" si="163"/>
        <v>301.533435</v>
      </c>
      <c r="N54"/>
      <c r="P54" s="30"/>
      <c r="Q54" s="67"/>
      <c r="R54" s="67">
        <f>R53*105%</f>
        <v>10.757061000000002</v>
      </c>
      <c r="S54" s="67">
        <f t="shared" ref="S54" si="164">S53*105%</f>
        <v>12.9638145</v>
      </c>
      <c r="T54" s="67">
        <f t="shared" ref="T54" si="165">T53*105%</f>
        <v>16.281993</v>
      </c>
      <c r="U54" s="67">
        <f t="shared" ref="U54" si="166">U53*105%</f>
        <v>15.861950999999999</v>
      </c>
      <c r="V54" s="67">
        <f t="shared" ref="V54" si="167">V53*105%</f>
        <v>15.113080500000001</v>
      </c>
      <c r="W54" s="67">
        <f t="shared" ref="W54" si="168">W53*105%</f>
        <v>16.245201000000002</v>
      </c>
      <c r="X54" s="67">
        <f t="shared" ref="X54" si="169">X53*105%</f>
        <v>11.2974435</v>
      </c>
      <c r="Y54" s="67">
        <f t="shared" ref="Y54" si="170">Y53*105%</f>
        <v>7.5231975000000002</v>
      </c>
      <c r="Z54" s="67">
        <f t="shared" ref="Z54" si="171">Z53*105%</f>
        <v>4.0471200000000005</v>
      </c>
      <c r="AA54" s="67">
        <f t="shared" ref="AA54" si="172">AA53*105%</f>
        <v>0</v>
      </c>
      <c r="AC54" s="30"/>
      <c r="AN54"/>
      <c r="AP54" s="30"/>
      <c r="BA54"/>
      <c r="BC54" s="30"/>
      <c r="BN54"/>
      <c r="BP54" s="30"/>
      <c r="CA54"/>
      <c r="CC54" s="30"/>
      <c r="CN54"/>
      <c r="CO54"/>
      <c r="CP54"/>
      <c r="CQ54" s="67"/>
      <c r="CR54" s="67"/>
    </row>
    <row r="55" spans="2:98" s="2" customFormat="1">
      <c r="C55" s="30" t="s">
        <v>1036</v>
      </c>
      <c r="D55" s="67">
        <f>D54/7</f>
        <v>27.348939000000001</v>
      </c>
      <c r="E55" s="67">
        <f t="shared" ref="E55:M55" si="173">E54/7</f>
        <v>28.885662</v>
      </c>
      <c r="F55" s="67">
        <f t="shared" si="173"/>
        <v>30.737635500000003</v>
      </c>
      <c r="G55" s="67">
        <f t="shared" si="173"/>
        <v>33.063634499999999</v>
      </c>
      <c r="H55" s="67">
        <f t="shared" si="173"/>
        <v>35.329627500000001</v>
      </c>
      <c r="I55" s="67">
        <f t="shared" si="173"/>
        <v>37.488638999999999</v>
      </c>
      <c r="J55" s="67">
        <f t="shared" si="173"/>
        <v>39.809381999999992</v>
      </c>
      <c r="K55" s="67">
        <f t="shared" si="173"/>
        <v>41.423302499999998</v>
      </c>
      <c r="L55" s="67">
        <f t="shared" si="173"/>
        <v>42.498044999999998</v>
      </c>
      <c r="M55" s="67">
        <f t="shared" si="173"/>
        <v>43.076205000000002</v>
      </c>
      <c r="N55"/>
      <c r="P55" s="30"/>
      <c r="Q55" s="67"/>
      <c r="R55" s="176">
        <f t="shared" ref="R55" si="174">R54/7</f>
        <v>1.5367230000000003</v>
      </c>
      <c r="S55" s="176">
        <f t="shared" ref="S55" si="175">S54/7</f>
        <v>1.8519734999999999</v>
      </c>
      <c r="T55" s="176">
        <f t="shared" ref="T55" si="176">T54/7</f>
        <v>2.3259989999999999</v>
      </c>
      <c r="U55" s="176">
        <f t="shared" ref="U55" si="177">U54/7</f>
        <v>2.2659929999999999</v>
      </c>
      <c r="V55" s="176">
        <f t="shared" ref="V55" si="178">V54/7</f>
        <v>2.1590115000000001</v>
      </c>
      <c r="W55" s="176">
        <f t="shared" ref="W55" si="179">W54/7</f>
        <v>2.3207430000000002</v>
      </c>
      <c r="X55" s="176">
        <f t="shared" ref="X55" si="180">X54/7</f>
        <v>1.6139205000000001</v>
      </c>
      <c r="Y55" s="176">
        <f t="shared" ref="Y55" si="181">Y54/7</f>
        <v>1.0747424999999999</v>
      </c>
      <c r="Z55" s="176">
        <f t="shared" ref="Z55" si="182">Z54/7</f>
        <v>0.57816000000000012</v>
      </c>
      <c r="AA55"/>
      <c r="AC55" s="30"/>
      <c r="AN55"/>
      <c r="AP55" s="30"/>
      <c r="BA55"/>
      <c r="BC55" s="30"/>
      <c r="BN55"/>
      <c r="BP55" s="30"/>
      <c r="CA55"/>
      <c r="CC55" s="30"/>
      <c r="CN55"/>
      <c r="CO55"/>
      <c r="CP55"/>
      <c r="CQ55" s="67"/>
      <c r="CR55" s="67"/>
    </row>
    <row r="56" spans="2:98" s="2" customFormat="1">
      <c r="C56" s="30"/>
      <c r="D56" s="67"/>
      <c r="N56"/>
      <c r="P56" s="30"/>
      <c r="Q56" s="67"/>
      <c r="AA56"/>
      <c r="AC56" s="30"/>
      <c r="AN56"/>
      <c r="AP56" s="30"/>
      <c r="BA56"/>
      <c r="BC56" s="30"/>
      <c r="BN56"/>
      <c r="BP56" s="30"/>
      <c r="CA56"/>
      <c r="CC56" s="30"/>
      <c r="CN56"/>
      <c r="CO56"/>
      <c r="CP56"/>
      <c r="CQ56" s="67"/>
    </row>
    <row r="57" spans="2:98" s="2" customFormat="1">
      <c r="C57" s="30"/>
      <c r="D57" s="67"/>
      <c r="N57"/>
      <c r="P57" s="30"/>
      <c r="Q57" s="67"/>
      <c r="AA57"/>
      <c r="AC57" s="30"/>
      <c r="AN57"/>
      <c r="AP57" s="30"/>
      <c r="BA57"/>
      <c r="BC57" s="30"/>
      <c r="BN57"/>
      <c r="BP57" s="30"/>
      <c r="CA57"/>
      <c r="CC57" s="30"/>
      <c r="CN57"/>
      <c r="CO57"/>
      <c r="CP57"/>
      <c r="CQ57" s="67"/>
    </row>
    <row r="58" spans="2:98" s="2" customFormat="1">
      <c r="C58" s="30" t="s">
        <v>200</v>
      </c>
      <c r="D58" s="67">
        <f>D17</f>
        <v>356886</v>
      </c>
      <c r="E58" s="67">
        <f t="shared" ref="E58:M58" si="183">E17</f>
        <v>375548</v>
      </c>
      <c r="F58" s="67">
        <f t="shared" si="183"/>
        <v>401342</v>
      </c>
      <c r="G58" s="67">
        <f t="shared" si="183"/>
        <v>435442</v>
      </c>
      <c r="H58" s="67">
        <f t="shared" si="183"/>
        <v>458862</v>
      </c>
      <c r="I58" s="67">
        <f t="shared" si="183"/>
        <v>479222</v>
      </c>
      <c r="J58" s="67">
        <f t="shared" si="183"/>
        <v>503122</v>
      </c>
      <c r="K58" s="67">
        <f t="shared" si="183"/>
        <v>529170</v>
      </c>
      <c r="L58" s="67">
        <f t="shared" si="183"/>
        <v>547870</v>
      </c>
      <c r="M58" s="67">
        <f t="shared" si="183"/>
        <v>556570</v>
      </c>
      <c r="N58"/>
      <c r="P58" s="30" t="s">
        <v>200</v>
      </c>
      <c r="Q58" s="67">
        <f>Q17</f>
        <v>0</v>
      </c>
      <c r="R58" s="67">
        <f t="shared" ref="R58:Z58" si="184">R17</f>
        <v>18662</v>
      </c>
      <c r="S58" s="67">
        <f t="shared" si="184"/>
        <v>25794</v>
      </c>
      <c r="T58" s="67">
        <f t="shared" si="184"/>
        <v>34100</v>
      </c>
      <c r="U58" s="67">
        <f t="shared" si="184"/>
        <v>23420</v>
      </c>
      <c r="V58" s="67">
        <f t="shared" si="184"/>
        <v>20360</v>
      </c>
      <c r="W58" s="67">
        <f t="shared" si="184"/>
        <v>23900</v>
      </c>
      <c r="X58" s="67">
        <f t="shared" si="184"/>
        <v>26048</v>
      </c>
      <c r="Y58" s="67">
        <f t="shared" si="184"/>
        <v>18700</v>
      </c>
      <c r="Z58" s="67">
        <f t="shared" si="184"/>
        <v>8700</v>
      </c>
      <c r="AA58"/>
      <c r="AC58" s="30" t="s">
        <v>200</v>
      </c>
      <c r="AE58" s="66">
        <f t="shared" ref="AE58" si="185">R58/D58</f>
        <v>5.2291207836676137E-2</v>
      </c>
      <c r="AF58" s="66">
        <f t="shared" ref="AF58" si="186">S58/E58</f>
        <v>6.8683630321556763E-2</v>
      </c>
      <c r="AG58" s="66">
        <f t="shared" ref="AG58" si="187">T58/F58</f>
        <v>8.4964942617518233E-2</v>
      </c>
      <c r="AH58" s="66">
        <f t="shared" ref="AH58" si="188">U58/G58</f>
        <v>5.3784430532654179E-2</v>
      </c>
      <c r="AI58" s="66">
        <f t="shared" ref="AI58" si="189">V58/H58</f>
        <v>4.4370638666963051E-2</v>
      </c>
      <c r="AJ58" s="66">
        <f t="shared" ref="AJ58" si="190">W58/I58</f>
        <v>4.9872501679806017E-2</v>
      </c>
      <c r="AK58" s="66">
        <f t="shared" ref="AK58" si="191">X58/J58</f>
        <v>5.1772731067216304E-2</v>
      </c>
      <c r="AL58" s="66">
        <f t="shared" ref="AL58" si="192">Y58/K58</f>
        <v>3.5338360073322375E-2</v>
      </c>
      <c r="AM58" s="66">
        <f t="shared" ref="AM58" si="193">Z58/L58</f>
        <v>1.5879679486009456E-2</v>
      </c>
      <c r="AN58"/>
      <c r="AP58" s="30"/>
      <c r="BA58"/>
      <c r="BC58" s="30"/>
      <c r="BN58"/>
      <c r="BP58" s="30"/>
      <c r="CA58"/>
      <c r="CC58" s="30"/>
      <c r="CN58"/>
      <c r="CO58"/>
      <c r="CP58"/>
      <c r="CQ58" s="67"/>
    </row>
    <row r="59" spans="2:98" s="2" customFormat="1">
      <c r="C59" s="30" t="s">
        <v>201</v>
      </c>
      <c r="D59" s="67">
        <f>D29</f>
        <v>119417</v>
      </c>
      <c r="E59" s="67">
        <f t="shared" ref="E59:M59" si="194">E29</f>
        <v>128197</v>
      </c>
      <c r="F59" s="67">
        <f t="shared" si="194"/>
        <v>134987</v>
      </c>
      <c r="G59" s="67">
        <f t="shared" si="194"/>
        <v>140517</v>
      </c>
      <c r="H59" s="67">
        <f t="shared" si="194"/>
        <v>155877</v>
      </c>
      <c r="I59" s="67">
        <f t="shared" si="194"/>
        <v>172727</v>
      </c>
      <c r="J59" s="67">
        <f t="shared" si="194"/>
        <v>189447</v>
      </c>
      <c r="K59" s="67">
        <f t="shared" si="194"/>
        <v>192877</v>
      </c>
      <c r="L59" s="67">
        <f t="shared" si="194"/>
        <v>193807</v>
      </c>
      <c r="M59" s="67">
        <f t="shared" si="194"/>
        <v>195667</v>
      </c>
      <c r="N59"/>
      <c r="P59" s="30" t="s">
        <v>201</v>
      </c>
      <c r="Q59" s="67">
        <f>Q29</f>
        <v>0</v>
      </c>
      <c r="R59" s="67">
        <f t="shared" ref="R59:Z59" si="195">R29</f>
        <v>8780</v>
      </c>
      <c r="S59" s="67">
        <f t="shared" si="195"/>
        <v>6790</v>
      </c>
      <c r="T59" s="67">
        <f t="shared" si="195"/>
        <v>5530</v>
      </c>
      <c r="U59" s="67">
        <f t="shared" si="195"/>
        <v>15360</v>
      </c>
      <c r="V59" s="67">
        <f t="shared" si="195"/>
        <v>16850</v>
      </c>
      <c r="W59" s="67">
        <f t="shared" si="195"/>
        <v>16720</v>
      </c>
      <c r="X59" s="67">
        <f t="shared" si="195"/>
        <v>3430</v>
      </c>
      <c r="Y59" s="67">
        <f t="shared" si="195"/>
        <v>930</v>
      </c>
      <c r="Z59" s="67">
        <f t="shared" si="195"/>
        <v>1860</v>
      </c>
      <c r="AA59"/>
      <c r="AC59" s="30" t="s">
        <v>201</v>
      </c>
      <c r="AE59" s="66">
        <f t="shared" ref="AE59" si="196">R59/D59</f>
        <v>7.3523870135742811E-2</v>
      </c>
      <c r="AF59" s="66">
        <f t="shared" ref="AF59" si="197">S59/E59</f>
        <v>5.2965358003697435E-2</v>
      </c>
      <c r="AG59" s="66">
        <f t="shared" ref="AG59" si="198">T59/F59</f>
        <v>4.0966907924466799E-2</v>
      </c>
      <c r="AH59" s="66">
        <f t="shared" ref="AH59" si="199">U59/G59</f>
        <v>0.10931061722069216</v>
      </c>
      <c r="AI59" s="66">
        <f t="shared" ref="AI59" si="200">V59/H59</f>
        <v>0.10809805166894411</v>
      </c>
      <c r="AJ59" s="66">
        <f t="shared" ref="AJ59" si="201">W59/I59</f>
        <v>9.6800152842346596E-2</v>
      </c>
      <c r="AK59" s="66">
        <f t="shared" ref="AK59" si="202">X59/J59</f>
        <v>1.8105327611416387E-2</v>
      </c>
      <c r="AL59" s="66">
        <f t="shared" ref="AL59" si="203">Y59/K59</f>
        <v>4.821725763051064E-3</v>
      </c>
      <c r="AM59" s="66">
        <f t="shared" ref="AM59" si="204">Z59/L59</f>
        <v>9.5971765725696174E-3</v>
      </c>
      <c r="AN59"/>
      <c r="AP59" s="30"/>
      <c r="BA59"/>
      <c r="BC59" s="30"/>
      <c r="BN59"/>
      <c r="BP59" s="30"/>
      <c r="CA59"/>
      <c r="CC59" s="30"/>
      <c r="CN59"/>
      <c r="CO59"/>
      <c r="CP59"/>
      <c r="CQ59" s="67"/>
    </row>
    <row r="60" spans="2:98" s="2" customFormat="1">
      <c r="C60" s="30" t="s">
        <v>202</v>
      </c>
      <c r="D60" s="67">
        <f>D40+D45</f>
        <v>23221</v>
      </c>
      <c r="E60" s="67">
        <f t="shared" ref="E60:M60" si="205">E40+E45</f>
        <v>23847</v>
      </c>
      <c r="F60" s="67">
        <f t="shared" si="205"/>
        <v>25089</v>
      </c>
      <c r="G60" s="67">
        <f t="shared" si="205"/>
        <v>27943</v>
      </c>
      <c r="H60" s="67">
        <f t="shared" si="205"/>
        <v>30551</v>
      </c>
      <c r="I60" s="67">
        <f t="shared" si="205"/>
        <v>32775</v>
      </c>
      <c r="J60" s="67">
        <f t="shared" si="205"/>
        <v>34543</v>
      </c>
      <c r="K60" s="67">
        <f t="shared" si="205"/>
        <v>34543</v>
      </c>
      <c r="L60" s="67">
        <f t="shared" si="205"/>
        <v>34543</v>
      </c>
      <c r="M60" s="67">
        <f t="shared" si="205"/>
        <v>34543</v>
      </c>
      <c r="N60"/>
      <c r="P60" s="30" t="s">
        <v>1084</v>
      </c>
      <c r="Q60" s="67">
        <f>Q40+Q45</f>
        <v>0</v>
      </c>
      <c r="R60" s="67">
        <f>R40+R45</f>
        <v>626</v>
      </c>
      <c r="S60" s="67">
        <f t="shared" ref="S60:Z60" si="206">S40+S45</f>
        <v>1242</v>
      </c>
      <c r="T60" s="67">
        <f t="shared" si="206"/>
        <v>2854</v>
      </c>
      <c r="U60" s="67">
        <f t="shared" si="206"/>
        <v>2608</v>
      </c>
      <c r="V60" s="67">
        <f t="shared" si="206"/>
        <v>2224</v>
      </c>
      <c r="W60" s="67">
        <f t="shared" si="206"/>
        <v>1768</v>
      </c>
      <c r="X60" s="67">
        <f t="shared" si="206"/>
        <v>0</v>
      </c>
      <c r="Y60" s="67">
        <f t="shared" si="206"/>
        <v>0</v>
      </c>
      <c r="Z60" s="67">
        <f t="shared" si="206"/>
        <v>0</v>
      </c>
      <c r="AA60" s="67"/>
      <c r="AC60" s="30" t="s">
        <v>1084</v>
      </c>
      <c r="AE60" s="66">
        <f t="shared" ref="AE60:AE61" si="207">R60/D60</f>
        <v>2.6958356659919899E-2</v>
      </c>
      <c r="AF60" s="66">
        <f t="shared" ref="AF60:AF61" si="208">S60/E60</f>
        <v>5.2082022895961755E-2</v>
      </c>
      <c r="AG60" s="66">
        <f t="shared" ref="AG60:AG61" si="209">T60/F60</f>
        <v>0.11375503208577464</v>
      </c>
      <c r="AH60" s="66">
        <f t="shared" ref="AH60:AH61" si="210">U60/G60</f>
        <v>9.3332856171491965E-2</v>
      </c>
      <c r="AI60" s="66">
        <f t="shared" ref="AI60:AI61" si="211">V60/H60</f>
        <v>7.2796307813164873E-2</v>
      </c>
      <c r="AJ60" s="66">
        <f t="shared" ref="AJ60:AJ61" si="212">W60/I60</f>
        <v>5.3943554538520212E-2</v>
      </c>
      <c r="AK60" s="66">
        <f t="shared" ref="AK60:AK61" si="213">X60/J60</f>
        <v>0</v>
      </c>
      <c r="AL60" s="66">
        <f t="shared" ref="AL60:AL61" si="214">Y60/K60</f>
        <v>0</v>
      </c>
      <c r="AM60" s="66">
        <f t="shared" ref="AM60:AM61" si="215">Z60/L60</f>
        <v>0</v>
      </c>
      <c r="AN60"/>
      <c r="AP60" s="30"/>
      <c r="BA60"/>
      <c r="BC60" s="30"/>
      <c r="BN60"/>
      <c r="BP60" s="30"/>
      <c r="CA60"/>
      <c r="CC60" s="30"/>
      <c r="CN60"/>
      <c r="CO60"/>
      <c r="CP60"/>
      <c r="CQ60" s="67"/>
    </row>
    <row r="61" spans="2:98" s="2" customFormat="1">
      <c r="C61" s="30" t="s">
        <v>244</v>
      </c>
      <c r="D61" s="67">
        <f>D52</f>
        <v>499524</v>
      </c>
      <c r="E61" s="67">
        <f t="shared" ref="E61:M61" si="216">E52</f>
        <v>527592</v>
      </c>
      <c r="F61" s="67">
        <f t="shared" si="216"/>
        <v>561418</v>
      </c>
      <c r="G61" s="67">
        <f t="shared" si="216"/>
        <v>603902</v>
      </c>
      <c r="H61" s="67">
        <f t="shared" si="216"/>
        <v>645290</v>
      </c>
      <c r="I61" s="67">
        <f t="shared" si="216"/>
        <v>684724</v>
      </c>
      <c r="J61" s="67">
        <f t="shared" si="216"/>
        <v>727112</v>
      </c>
      <c r="K61" s="67">
        <f t="shared" si="216"/>
        <v>756590</v>
      </c>
      <c r="L61" s="67">
        <f t="shared" si="216"/>
        <v>776220</v>
      </c>
      <c r="M61" s="67">
        <f t="shared" si="216"/>
        <v>786780</v>
      </c>
      <c r="N61"/>
      <c r="P61" s="30" t="s">
        <v>244</v>
      </c>
      <c r="Q61" s="67">
        <f>Q52</f>
        <v>0</v>
      </c>
      <c r="R61" s="67">
        <f t="shared" ref="R61:Z61" si="217">R52</f>
        <v>28068</v>
      </c>
      <c r="S61" s="67">
        <f t="shared" si="217"/>
        <v>33826</v>
      </c>
      <c r="T61" s="67">
        <f t="shared" si="217"/>
        <v>42484</v>
      </c>
      <c r="U61" s="67">
        <f t="shared" si="217"/>
        <v>41388</v>
      </c>
      <c r="V61" s="67">
        <f t="shared" si="217"/>
        <v>39434</v>
      </c>
      <c r="W61" s="67">
        <f t="shared" si="217"/>
        <v>42388</v>
      </c>
      <c r="X61" s="67">
        <f t="shared" si="217"/>
        <v>29478</v>
      </c>
      <c r="Y61" s="67">
        <f t="shared" si="217"/>
        <v>19630</v>
      </c>
      <c r="Z61" s="67">
        <f t="shared" si="217"/>
        <v>10560</v>
      </c>
      <c r="AA61"/>
      <c r="AC61" s="30" t="s">
        <v>244</v>
      </c>
      <c r="AE61" s="66">
        <f t="shared" si="207"/>
        <v>5.6189492396761714E-2</v>
      </c>
      <c r="AF61" s="66">
        <f t="shared" si="208"/>
        <v>6.4113936526710033E-2</v>
      </c>
      <c r="AG61" s="66">
        <f t="shared" si="209"/>
        <v>7.5672671699161767E-2</v>
      </c>
      <c r="AH61" s="66">
        <f t="shared" si="210"/>
        <v>6.8534298611364092E-2</v>
      </c>
      <c r="AI61" s="66">
        <f t="shared" si="211"/>
        <v>6.1110508453563514E-2</v>
      </c>
      <c r="AJ61" s="66">
        <f t="shared" si="212"/>
        <v>6.1905234809938016E-2</v>
      </c>
      <c r="AK61" s="66">
        <f t="shared" si="213"/>
        <v>4.0541209607323221E-2</v>
      </c>
      <c r="AL61" s="66">
        <f t="shared" si="214"/>
        <v>2.5945360102565457E-2</v>
      </c>
      <c r="AM61" s="66">
        <f t="shared" si="215"/>
        <v>1.3604390507845714E-2</v>
      </c>
      <c r="AN61"/>
      <c r="AP61" s="30"/>
      <c r="BA61"/>
      <c r="BC61" s="30"/>
      <c r="BN61"/>
      <c r="BP61" s="30"/>
      <c r="CA61"/>
      <c r="CC61" s="30"/>
      <c r="CN61"/>
      <c r="CO61"/>
      <c r="CP61"/>
      <c r="CQ61" s="67"/>
    </row>
    <row r="62" spans="2:98" s="2" customFormat="1">
      <c r="C62" s="30"/>
      <c r="D62" s="67"/>
      <c r="N62"/>
      <c r="P62" s="30"/>
      <c r="Q62" s="67"/>
      <c r="AA62"/>
      <c r="AC62" s="30"/>
      <c r="AN62"/>
      <c r="AP62" s="30"/>
      <c r="BA62"/>
      <c r="BC62" s="30"/>
      <c r="BN62"/>
      <c r="BP62" s="30"/>
      <c r="CA62"/>
      <c r="CC62" s="30"/>
      <c r="CN62"/>
      <c r="CO62"/>
      <c r="CP62"/>
      <c r="CQ62" s="67"/>
    </row>
    <row r="63" spans="2:98" s="2" customFormat="1">
      <c r="C63" s="30"/>
      <c r="D63" s="67"/>
      <c r="N63"/>
      <c r="P63" s="30"/>
      <c r="Q63" s="67"/>
      <c r="AA63"/>
      <c r="AC63" s="30" t="str">
        <f>AC58</f>
        <v>Contemporary</v>
      </c>
      <c r="AE63" s="67">
        <f>R58</f>
        <v>18662</v>
      </c>
      <c r="AF63" s="67">
        <f t="shared" ref="AF63:AI63" si="218">S58</f>
        <v>25794</v>
      </c>
      <c r="AG63" s="67">
        <f t="shared" si="218"/>
        <v>34100</v>
      </c>
      <c r="AH63" s="67">
        <f t="shared" si="218"/>
        <v>23420</v>
      </c>
      <c r="AI63" s="67">
        <f t="shared" si="218"/>
        <v>20360</v>
      </c>
      <c r="AN63"/>
      <c r="AP63" s="30"/>
      <c r="BA63"/>
      <c r="BC63" s="30"/>
      <c r="BN63"/>
      <c r="BP63" s="30"/>
      <c r="CA63"/>
      <c r="CC63" s="30"/>
      <c r="CN63"/>
      <c r="CO63"/>
      <c r="CP63"/>
      <c r="CQ63" s="67"/>
    </row>
    <row r="64" spans="2:98" s="2" customFormat="1">
      <c r="C64" s="30"/>
      <c r="D64" s="67"/>
      <c r="N64"/>
      <c r="P64" s="30"/>
      <c r="Q64" s="67"/>
      <c r="AA64"/>
      <c r="AC64" s="30" t="str">
        <f t="shared" ref="AC64:AC65" si="219">AC59</f>
        <v>Premium</v>
      </c>
      <c r="AE64" s="67">
        <f t="shared" ref="AE64:AE66" si="220">R59</f>
        <v>8780</v>
      </c>
      <c r="AF64" s="67">
        <f t="shared" ref="AF64:AF66" si="221">S59</f>
        <v>6790</v>
      </c>
      <c r="AG64" s="67">
        <f t="shared" ref="AG64:AG66" si="222">T59</f>
        <v>5530</v>
      </c>
      <c r="AH64" s="67">
        <f t="shared" ref="AH64:AH66" si="223">U59</f>
        <v>15360</v>
      </c>
      <c r="AI64" s="67">
        <f t="shared" ref="AI64:AI66" si="224">V59</f>
        <v>16850</v>
      </c>
      <c r="AN64"/>
      <c r="AP64" s="30"/>
      <c r="BA64"/>
      <c r="BC64" s="30"/>
      <c r="BN64"/>
      <c r="BP64" s="30"/>
      <c r="CA64"/>
      <c r="CC64" s="30"/>
      <c r="CN64"/>
      <c r="CO64"/>
      <c r="CP64"/>
      <c r="CQ64" s="67"/>
    </row>
    <row r="65" spans="2:105" s="2" customFormat="1">
      <c r="C65" s="30"/>
      <c r="D65" s="67"/>
      <c r="N65"/>
      <c r="P65" s="30"/>
      <c r="Q65" s="67"/>
      <c r="AA65"/>
      <c r="AC65" s="30" t="str">
        <f t="shared" si="219"/>
        <v>Luxury &amp; Expedition</v>
      </c>
      <c r="AE65" s="67">
        <f t="shared" si="220"/>
        <v>626</v>
      </c>
      <c r="AF65" s="67">
        <f t="shared" si="221"/>
        <v>1242</v>
      </c>
      <c r="AG65" s="67">
        <f t="shared" si="222"/>
        <v>2854</v>
      </c>
      <c r="AH65" s="67">
        <f t="shared" si="223"/>
        <v>2608</v>
      </c>
      <c r="AI65" s="67">
        <f t="shared" si="224"/>
        <v>2224</v>
      </c>
      <c r="AN65"/>
      <c r="AP65" s="30"/>
      <c r="BA65"/>
      <c r="BC65" s="30"/>
      <c r="BN65"/>
      <c r="BP65" s="30"/>
      <c r="CA65"/>
      <c r="CC65" s="30"/>
      <c r="CN65"/>
      <c r="CO65"/>
      <c r="CP65"/>
      <c r="CQ65" s="67"/>
    </row>
    <row r="66" spans="2:105" s="2" customFormat="1">
      <c r="C66" s="30"/>
      <c r="D66" s="67"/>
      <c r="N66"/>
      <c r="P66" s="30"/>
      <c r="Q66" s="67"/>
      <c r="AA66"/>
      <c r="AC66" s="30" t="s">
        <v>244</v>
      </c>
      <c r="AE66" s="67">
        <f t="shared" si="220"/>
        <v>28068</v>
      </c>
      <c r="AF66" s="67">
        <f t="shared" si="221"/>
        <v>33826</v>
      </c>
      <c r="AG66" s="67">
        <f t="shared" si="222"/>
        <v>42484</v>
      </c>
      <c r="AH66" s="67">
        <f t="shared" si="223"/>
        <v>41388</v>
      </c>
      <c r="AI66" s="67">
        <f t="shared" si="224"/>
        <v>39434</v>
      </c>
      <c r="AN66"/>
      <c r="AP66" s="30"/>
      <c r="BA66"/>
      <c r="BC66" s="30"/>
      <c r="BN66"/>
      <c r="BP66" s="30"/>
      <c r="CA66"/>
      <c r="CC66" s="30"/>
      <c r="CN66"/>
      <c r="CO66"/>
      <c r="CP66"/>
      <c r="CQ66" s="67"/>
    </row>
    <row r="67" spans="2:105" ht="13.5" thickBot="1">
      <c r="B67" s="34" t="s">
        <v>800</v>
      </c>
      <c r="C67" s="30"/>
      <c r="D67" s="2"/>
      <c r="E67" s="2"/>
      <c r="F67" s="2"/>
      <c r="G67" s="2"/>
      <c r="H67" s="2"/>
      <c r="I67" s="2"/>
      <c r="J67" s="2"/>
      <c r="K67" s="2"/>
      <c r="L67" s="2"/>
      <c r="M67" s="2"/>
      <c r="O67" s="34"/>
      <c r="P67" s="30"/>
      <c r="Q67" s="2"/>
      <c r="R67" s="2"/>
      <c r="S67" s="2"/>
      <c r="T67" s="2"/>
      <c r="U67" s="2"/>
      <c r="V67" s="2"/>
      <c r="W67" s="2"/>
      <c r="X67" s="2"/>
      <c r="Y67" s="2"/>
      <c r="Z67" s="2"/>
      <c r="AB67" s="34"/>
      <c r="AC67" s="30"/>
      <c r="AD67" s="2"/>
      <c r="AE67" s="67"/>
      <c r="AF67" s="67"/>
      <c r="AG67" s="67"/>
      <c r="AH67" s="67"/>
      <c r="AI67" s="67"/>
      <c r="AJ67" s="2"/>
      <c r="AK67" s="2"/>
      <c r="AL67" s="2"/>
      <c r="AM67" s="2"/>
      <c r="AO67" s="34"/>
      <c r="AP67" s="30"/>
      <c r="AQ67" s="2"/>
      <c r="AR67" s="2"/>
      <c r="AS67" s="2"/>
      <c r="AT67" s="2"/>
      <c r="AU67" s="2"/>
      <c r="AV67" s="2"/>
      <c r="AW67" s="2"/>
      <c r="AX67" s="2"/>
      <c r="AY67" s="2"/>
      <c r="AZ67" s="2"/>
      <c r="BB67" s="34"/>
      <c r="BC67" s="30"/>
      <c r="BD67" s="2"/>
      <c r="BE67" s="2"/>
      <c r="BF67" s="2"/>
      <c r="BG67" s="2"/>
      <c r="BH67" s="2"/>
      <c r="BI67" s="2"/>
      <c r="BJ67" s="2"/>
      <c r="BK67" s="2"/>
      <c r="BL67" s="2"/>
      <c r="BM67" s="2"/>
      <c r="BO67" s="34"/>
      <c r="BP67" s="30"/>
      <c r="BQ67" s="2"/>
      <c r="BR67" s="2"/>
      <c r="BS67" s="2"/>
      <c r="BT67" s="2"/>
      <c r="BU67" s="2"/>
      <c r="BV67" s="2"/>
      <c r="BW67" s="2"/>
      <c r="BX67" s="2"/>
      <c r="BY67" s="2"/>
      <c r="BZ67" s="2"/>
      <c r="CB67" s="34"/>
      <c r="CC67" s="30"/>
      <c r="CD67" s="2"/>
      <c r="CE67" s="2"/>
      <c r="CF67" s="2"/>
      <c r="CG67" s="2"/>
      <c r="CH67" s="2"/>
      <c r="CI67" s="2"/>
      <c r="CJ67" s="2"/>
      <c r="CK67" s="2"/>
      <c r="CL67" s="2"/>
      <c r="CM67" s="2"/>
      <c r="CQ67" s="2"/>
      <c r="CR67" s="2"/>
      <c r="CS67" s="2"/>
      <c r="CT67" s="2"/>
    </row>
    <row r="68" spans="2:105" ht="13.5" thickBot="1">
      <c r="B68" s="2" t="s">
        <v>799</v>
      </c>
      <c r="C68" s="179">
        <v>30</v>
      </c>
      <c r="D68" s="68">
        <f>D52</f>
        <v>499524</v>
      </c>
      <c r="E68" s="68"/>
      <c r="F68" s="68"/>
      <c r="G68" s="68"/>
      <c r="H68" s="68"/>
      <c r="I68" s="68"/>
      <c r="J68" s="2"/>
      <c r="K68" s="2"/>
      <c r="L68" s="2"/>
      <c r="M68" s="2"/>
      <c r="O68" s="2"/>
      <c r="P68" s="179"/>
      <c r="Q68" s="68"/>
      <c r="R68" s="68"/>
      <c r="S68" s="68"/>
      <c r="T68" s="68"/>
      <c r="U68" s="68"/>
      <c r="V68" s="68"/>
      <c r="W68" s="2"/>
      <c r="X68" s="2"/>
      <c r="Y68" s="2"/>
      <c r="Z68" s="2"/>
      <c r="AB68" s="2"/>
      <c r="AC68" s="179"/>
      <c r="AD68" s="68"/>
      <c r="AE68" s="68"/>
      <c r="AF68" s="68"/>
      <c r="AG68" s="68"/>
      <c r="AH68" s="68"/>
      <c r="AI68" s="68"/>
      <c r="AJ68" s="2"/>
      <c r="AK68" s="2"/>
      <c r="AL68" s="2"/>
      <c r="AM68" s="2"/>
      <c r="AO68" s="2"/>
      <c r="AP68" s="179"/>
      <c r="AQ68" s="68"/>
      <c r="AR68" s="68"/>
      <c r="AS68" s="68"/>
      <c r="AT68" s="68"/>
      <c r="AU68" s="68"/>
      <c r="AV68" s="68"/>
      <c r="AW68" s="2"/>
      <c r="AX68" s="2"/>
      <c r="AY68" s="2"/>
      <c r="AZ68" s="2"/>
      <c r="BB68" s="2"/>
      <c r="BC68" s="179"/>
      <c r="BD68" s="68"/>
      <c r="BE68" s="68"/>
      <c r="BF68" s="68"/>
      <c r="BG68" s="68"/>
      <c r="BH68" s="68"/>
      <c r="BI68" s="68"/>
      <c r="BJ68" s="2"/>
      <c r="BK68" s="2"/>
      <c r="BL68" s="2"/>
      <c r="BM68" s="2"/>
      <c r="BO68" s="2"/>
      <c r="BP68" s="179"/>
      <c r="BQ68" s="68"/>
      <c r="BR68" s="68"/>
      <c r="BS68" s="68"/>
      <c r="BT68" s="68"/>
      <c r="BU68" s="68"/>
      <c r="BV68" s="68"/>
      <c r="BW68" s="2"/>
      <c r="BX68" s="2"/>
      <c r="BY68" s="2"/>
      <c r="BZ68" s="2"/>
      <c r="CB68" s="2"/>
      <c r="CC68" s="179"/>
      <c r="CD68" s="68"/>
      <c r="CE68" s="68"/>
      <c r="CF68" s="68"/>
      <c r="CG68" s="68"/>
      <c r="CH68" s="68"/>
      <c r="CI68" s="68"/>
      <c r="CJ68" s="2"/>
      <c r="CK68" s="2"/>
      <c r="CL68" s="2"/>
      <c r="CM68" s="2"/>
      <c r="CQ68" s="68"/>
      <c r="CR68" s="68"/>
      <c r="CS68" s="68"/>
      <c r="CT68" s="68"/>
      <c r="CY68" s="43">
        <f>E46</f>
        <v>229664</v>
      </c>
      <c r="CZ68" s="43">
        <f>G46-E46</f>
        <v>29450</v>
      </c>
      <c r="DA68">
        <f>CZ68/CZ75</f>
        <v>0.3859258288559822</v>
      </c>
    </row>
    <row r="69" spans="2:105">
      <c r="B69" s="2" t="s">
        <v>801</v>
      </c>
      <c r="C69" s="30"/>
      <c r="D69" s="69"/>
      <c r="E69" s="66"/>
      <c r="F69" s="66"/>
      <c r="G69" s="66"/>
      <c r="H69" s="66"/>
      <c r="I69" s="66"/>
      <c r="J69" s="2"/>
      <c r="K69" s="2"/>
      <c r="L69" s="2"/>
      <c r="M69" s="2"/>
      <c r="O69" s="2"/>
      <c r="P69" s="30"/>
      <c r="Q69" s="69"/>
      <c r="R69" s="66"/>
      <c r="S69" s="66"/>
      <c r="T69" s="66"/>
      <c r="U69" s="66"/>
      <c r="V69" s="66"/>
      <c r="W69" s="2"/>
      <c r="X69" s="2"/>
      <c r="Y69" s="2"/>
      <c r="Z69" s="2"/>
      <c r="AB69" s="2"/>
      <c r="AC69" s="30"/>
      <c r="AD69" s="66"/>
      <c r="AE69" s="66"/>
      <c r="AF69" s="66"/>
      <c r="AG69" s="66"/>
      <c r="AH69" s="66"/>
      <c r="AI69" s="66"/>
      <c r="AJ69" s="2"/>
      <c r="AK69" s="2"/>
      <c r="AL69" s="2"/>
      <c r="AM69" s="2"/>
      <c r="AO69" s="2"/>
      <c r="AP69" s="30"/>
      <c r="AQ69" s="66"/>
      <c r="AR69" s="66"/>
      <c r="AS69" s="66"/>
      <c r="AT69" s="66"/>
      <c r="AU69" s="66"/>
      <c r="AV69" s="66"/>
      <c r="AW69" s="2"/>
      <c r="AX69" s="2"/>
      <c r="AY69" s="2"/>
      <c r="AZ69" s="2"/>
      <c r="BB69" s="2"/>
      <c r="BC69" s="30"/>
      <c r="BD69" s="66"/>
      <c r="BE69" s="66"/>
      <c r="BF69" s="66"/>
      <c r="BG69" s="66"/>
      <c r="BH69" s="66"/>
      <c r="BI69" s="66"/>
      <c r="BJ69" s="2"/>
      <c r="BK69" s="2"/>
      <c r="BL69" s="2"/>
      <c r="BM69" s="2"/>
      <c r="BO69" s="2"/>
      <c r="BP69" s="30"/>
      <c r="BQ69" s="66"/>
      <c r="BR69" s="66"/>
      <c r="BS69" s="66"/>
      <c r="BT69" s="66"/>
      <c r="BU69" s="66"/>
      <c r="BV69" s="66"/>
      <c r="BW69" s="2"/>
      <c r="BX69" s="2"/>
      <c r="BY69" s="2"/>
      <c r="BZ69" s="2"/>
      <c r="CB69" s="2"/>
      <c r="CC69" s="30"/>
      <c r="CD69" s="66"/>
      <c r="CE69" s="66"/>
      <c r="CF69" s="66"/>
      <c r="CG69" s="66"/>
      <c r="CH69" s="66"/>
      <c r="CI69" s="66"/>
      <c r="CJ69" s="2"/>
      <c r="CK69" s="2"/>
      <c r="CL69" s="2"/>
      <c r="CM69" s="2"/>
      <c r="CQ69" s="69"/>
      <c r="CR69" s="66"/>
      <c r="CS69" s="66"/>
      <c r="CT69" s="66"/>
      <c r="CY69" s="43">
        <f>E47</f>
        <v>114333.85400000001</v>
      </c>
      <c r="CZ69" s="43">
        <f>G47-E47</f>
        <v>15480</v>
      </c>
    </row>
    <row r="70" spans="2:105">
      <c r="CY70" s="43">
        <f>E49</f>
        <v>50548</v>
      </c>
      <c r="CZ70" s="43">
        <f>G49-E49</f>
        <v>8400</v>
      </c>
    </row>
    <row r="71" spans="2:105">
      <c r="CY71" s="43">
        <f>E48</f>
        <v>40350</v>
      </c>
      <c r="CZ71" s="43">
        <f>G48-E48</f>
        <v>13528</v>
      </c>
    </row>
    <row r="72" spans="2:105">
      <c r="CY72" s="43" t="e">
        <f>#REF!</f>
        <v>#REF!</v>
      </c>
      <c r="CZ72" s="43" t="e">
        <f>#REF!-#REF!</f>
        <v>#REF!</v>
      </c>
    </row>
    <row r="73" spans="2:105">
      <c r="CY73" s="43">
        <f>E50</f>
        <v>17336</v>
      </c>
      <c r="CZ73" s="43">
        <f>G50-E50</f>
        <v>0</v>
      </c>
    </row>
    <row r="74" spans="2:105">
      <c r="CY74" s="43">
        <f>E51</f>
        <v>75360.146000000008</v>
      </c>
      <c r="CZ74" s="43">
        <f>G51-E51</f>
        <v>9452</v>
      </c>
    </row>
    <row r="75" spans="2:105">
      <c r="CY75" s="43">
        <f>E52</f>
        <v>527592</v>
      </c>
      <c r="CZ75" s="43">
        <f>G52-E52</f>
        <v>76310</v>
      </c>
    </row>
    <row r="130" spans="3:98">
      <c r="C130" s="180"/>
      <c r="D130" s="43"/>
      <c r="E130" s="43"/>
      <c r="F130" s="43"/>
      <c r="G130" s="181"/>
      <c r="H130" s="25"/>
      <c r="I130" s="181"/>
      <c r="J130" s="181"/>
      <c r="P130" s="180"/>
      <c r="Q130" s="43"/>
      <c r="R130" s="43"/>
      <c r="S130" s="43"/>
      <c r="T130" s="181"/>
      <c r="U130" s="25"/>
      <c r="V130" s="181"/>
      <c r="W130" s="181"/>
      <c r="AC130" s="180"/>
      <c r="AD130" s="43"/>
      <c r="AE130" s="43"/>
      <c r="AF130" s="43"/>
      <c r="AG130" s="181"/>
      <c r="AH130" s="25"/>
      <c r="AI130" s="181"/>
      <c r="AJ130" s="181"/>
      <c r="AP130" s="180"/>
      <c r="AQ130" s="43"/>
      <c r="AR130" s="43"/>
      <c r="AS130" s="43"/>
      <c r="AT130" s="181"/>
      <c r="AU130" s="25"/>
      <c r="AV130" s="181"/>
      <c r="AW130" s="181"/>
      <c r="BC130" s="180"/>
      <c r="BD130" s="43"/>
      <c r="BE130" s="43"/>
      <c r="BF130" s="43"/>
      <c r="BG130" s="181"/>
      <c r="BH130" s="25"/>
      <c r="BI130" s="181"/>
      <c r="BJ130" s="181"/>
      <c r="BP130" s="180"/>
      <c r="BQ130" s="43"/>
      <c r="BR130" s="43"/>
      <c r="BS130" s="43"/>
      <c r="BT130" s="181"/>
      <c r="BU130" s="25"/>
      <c r="BV130" s="181"/>
      <c r="BW130" s="181"/>
      <c r="CC130" s="180"/>
      <c r="CD130" s="43"/>
      <c r="CE130" s="43"/>
      <c r="CF130" s="43"/>
      <c r="CG130" s="181"/>
      <c r="CH130" s="25"/>
      <c r="CI130" s="181"/>
      <c r="CJ130" s="181"/>
      <c r="CQ130" s="43"/>
      <c r="CR130" s="43"/>
      <c r="CS130" s="181"/>
      <c r="CT130" s="181"/>
    </row>
    <row r="131" spans="3:98">
      <c r="D131" s="43"/>
      <c r="F131" s="43"/>
      <c r="G131" s="181"/>
      <c r="H131" s="25"/>
      <c r="I131" s="181"/>
      <c r="J131" s="181"/>
      <c r="Q131" s="43"/>
      <c r="S131" s="43"/>
      <c r="T131" s="181"/>
      <c r="U131" s="25"/>
      <c r="V131" s="181"/>
      <c r="W131" s="181"/>
      <c r="AF131" s="43"/>
      <c r="AG131" s="181"/>
      <c r="AH131" s="25"/>
      <c r="AI131" s="181"/>
      <c r="AJ131" s="181"/>
      <c r="AS131" s="43"/>
      <c r="AT131" s="181"/>
      <c r="AU131" s="25"/>
      <c r="AV131" s="181"/>
      <c r="AW131" s="181"/>
      <c r="BF131" s="43"/>
      <c r="BG131" s="181"/>
      <c r="BH131" s="25"/>
      <c r="BI131" s="181"/>
      <c r="BJ131" s="181"/>
      <c r="BS131" s="43"/>
      <c r="BT131" s="181"/>
      <c r="BU131" s="25"/>
      <c r="BV131" s="181"/>
      <c r="BW131" s="181"/>
      <c r="CF131" s="43"/>
      <c r="CG131" s="181"/>
      <c r="CH131" s="25"/>
      <c r="CI131" s="181"/>
      <c r="CJ131" s="181"/>
      <c r="CQ131" s="43"/>
      <c r="CS131" s="181"/>
      <c r="CT131" s="181"/>
    </row>
    <row r="132" spans="3:98">
      <c r="C132" s="180"/>
      <c r="D132" s="43"/>
      <c r="E132" s="43"/>
      <c r="F132" s="43"/>
      <c r="G132" s="181"/>
      <c r="H132" s="25"/>
      <c r="I132" s="181"/>
      <c r="J132" s="181"/>
      <c r="P132" s="180"/>
      <c r="Q132" s="43"/>
      <c r="R132" s="43"/>
      <c r="S132" s="43"/>
      <c r="T132" s="181"/>
      <c r="U132" s="25"/>
      <c r="V132" s="181"/>
      <c r="W132" s="181"/>
      <c r="AC132" s="180"/>
      <c r="AD132" s="43"/>
      <c r="AE132" s="43"/>
      <c r="AF132" s="43"/>
      <c r="AG132" s="181"/>
      <c r="AH132" s="25"/>
      <c r="AI132" s="181"/>
      <c r="AJ132" s="181"/>
      <c r="AP132" s="180"/>
      <c r="AQ132" s="43"/>
      <c r="AR132" s="43"/>
      <c r="AS132" s="43"/>
      <c r="AT132" s="181"/>
      <c r="AU132" s="25"/>
      <c r="AV132" s="181"/>
      <c r="AW132" s="181"/>
      <c r="BC132" s="180"/>
      <c r="BD132" s="43"/>
      <c r="BE132" s="43"/>
      <c r="BF132" s="43"/>
      <c r="BG132" s="181"/>
      <c r="BH132" s="25"/>
      <c r="BI132" s="181"/>
      <c r="BJ132" s="181"/>
      <c r="BP132" s="180"/>
      <c r="BQ132" s="43"/>
      <c r="BR132" s="43"/>
      <c r="BS132" s="43"/>
      <c r="BT132" s="181"/>
      <c r="BU132" s="25"/>
      <c r="BV132" s="181"/>
      <c r="BW132" s="181"/>
      <c r="CC132" s="180"/>
      <c r="CD132" s="43"/>
      <c r="CE132" s="43"/>
      <c r="CF132" s="43"/>
      <c r="CG132" s="181"/>
      <c r="CH132" s="25"/>
      <c r="CI132" s="181"/>
      <c r="CJ132" s="181"/>
      <c r="CQ132" s="43"/>
      <c r="CR132" s="43"/>
      <c r="CS132" s="181"/>
      <c r="CT132" s="181"/>
    </row>
    <row r="133" spans="3:98">
      <c r="C133" s="180"/>
      <c r="F133" s="43"/>
      <c r="G133" s="181"/>
      <c r="H133" s="25"/>
      <c r="I133" s="181"/>
      <c r="J133" s="181"/>
      <c r="P133" s="180"/>
      <c r="S133" s="43"/>
      <c r="T133" s="181"/>
      <c r="U133" s="25"/>
      <c r="V133" s="181"/>
      <c r="W133" s="181"/>
      <c r="AC133" s="180"/>
      <c r="AF133" s="43"/>
      <c r="AG133" s="181"/>
      <c r="AH133" s="25"/>
      <c r="AI133" s="181"/>
      <c r="AJ133" s="181"/>
      <c r="AP133" s="180"/>
      <c r="AS133" s="43"/>
      <c r="AT133" s="181"/>
      <c r="AU133" s="25"/>
      <c r="AV133" s="181"/>
      <c r="AW133" s="181"/>
      <c r="BC133" s="180"/>
      <c r="BF133" s="43"/>
      <c r="BG133" s="181"/>
      <c r="BH133" s="25"/>
      <c r="BI133" s="181"/>
      <c r="BJ133" s="181"/>
      <c r="BP133" s="180"/>
      <c r="BS133" s="43"/>
      <c r="BT133" s="181"/>
      <c r="BU133" s="25"/>
      <c r="BV133" s="181"/>
      <c r="BW133" s="181"/>
      <c r="CC133" s="180"/>
      <c r="CF133" s="43"/>
      <c r="CG133" s="181"/>
      <c r="CH133" s="25"/>
      <c r="CI133" s="181"/>
      <c r="CJ133" s="181"/>
      <c r="CS133" s="181"/>
      <c r="CT133" s="181"/>
    </row>
    <row r="134" spans="3:98">
      <c r="E134" s="43"/>
      <c r="F134" s="43"/>
      <c r="G134" s="181"/>
      <c r="H134" s="25"/>
      <c r="I134" s="181"/>
      <c r="J134" s="181"/>
      <c r="R134" s="43"/>
      <c r="S134" s="43"/>
      <c r="T134" s="181"/>
      <c r="U134" s="25"/>
      <c r="V134" s="181"/>
      <c r="W134" s="181"/>
      <c r="AD134" s="43"/>
      <c r="AE134" s="43"/>
      <c r="AF134" s="43"/>
      <c r="AG134" s="181"/>
      <c r="AH134" s="25"/>
      <c r="AI134" s="181"/>
      <c r="AJ134" s="181"/>
      <c r="AQ134" s="43"/>
      <c r="AR134" s="43"/>
      <c r="AS134" s="43"/>
      <c r="AT134" s="181"/>
      <c r="AU134" s="25"/>
      <c r="AV134" s="181"/>
      <c r="AW134" s="181"/>
      <c r="BD134" s="43"/>
      <c r="BE134" s="43"/>
      <c r="BF134" s="43"/>
      <c r="BG134" s="181"/>
      <c r="BH134" s="25"/>
      <c r="BI134" s="181"/>
      <c r="BJ134" s="181"/>
      <c r="BQ134" s="43"/>
      <c r="BR134" s="43"/>
      <c r="BS134" s="43"/>
      <c r="BT134" s="181"/>
      <c r="BU134" s="25"/>
      <c r="BV134" s="181"/>
      <c r="BW134" s="181"/>
      <c r="CD134" s="43"/>
      <c r="CE134" s="43"/>
      <c r="CF134" s="43"/>
      <c r="CG134" s="181"/>
      <c r="CH134" s="25"/>
      <c r="CI134" s="181"/>
      <c r="CJ134" s="181"/>
      <c r="CR134" s="43"/>
      <c r="CS134" s="181"/>
      <c r="CT134" s="181"/>
    </row>
    <row r="135" spans="3:98">
      <c r="C135" s="180"/>
      <c r="D135" s="43"/>
      <c r="E135" s="43"/>
      <c r="F135" s="43"/>
      <c r="G135" s="181"/>
      <c r="H135" s="25"/>
      <c r="I135" s="181"/>
      <c r="J135" s="181"/>
      <c r="P135" s="180"/>
      <c r="Q135" s="43"/>
      <c r="R135" s="43"/>
      <c r="S135" s="43"/>
      <c r="T135" s="181"/>
      <c r="U135" s="25"/>
      <c r="V135" s="181"/>
      <c r="W135" s="181"/>
      <c r="AC135" s="180"/>
      <c r="AD135" s="43"/>
      <c r="AE135" s="43"/>
      <c r="AF135" s="43"/>
      <c r="AG135" s="181"/>
      <c r="AH135" s="25"/>
      <c r="AI135" s="181"/>
      <c r="AJ135" s="181"/>
      <c r="AP135" s="180"/>
      <c r="AQ135" s="43"/>
      <c r="AR135" s="43"/>
      <c r="AS135" s="43"/>
      <c r="AT135" s="181"/>
      <c r="AU135" s="25"/>
      <c r="AV135" s="181"/>
      <c r="AW135" s="181"/>
      <c r="BC135" s="180"/>
      <c r="BD135" s="43"/>
      <c r="BE135" s="43"/>
      <c r="BF135" s="43"/>
      <c r="BG135" s="181"/>
      <c r="BH135" s="25"/>
      <c r="BI135" s="181"/>
      <c r="BJ135" s="181"/>
      <c r="BP135" s="180"/>
      <c r="BQ135" s="43"/>
      <c r="BR135" s="43"/>
      <c r="BS135" s="43"/>
      <c r="BT135" s="181"/>
      <c r="BU135" s="25"/>
      <c r="BV135" s="181"/>
      <c r="BW135" s="181"/>
      <c r="CC135" s="180"/>
      <c r="CD135" s="43"/>
      <c r="CE135" s="43"/>
      <c r="CF135" s="43"/>
      <c r="CG135" s="181"/>
      <c r="CH135" s="25"/>
      <c r="CI135" s="181"/>
      <c r="CJ135" s="181"/>
      <c r="CQ135" s="43"/>
      <c r="CR135" s="43"/>
      <c r="CS135" s="181"/>
      <c r="CT135" s="181"/>
    </row>
    <row r="136" spans="3:98">
      <c r="C136" s="180"/>
      <c r="P136" s="180"/>
      <c r="AC136" s="180"/>
      <c r="AP136" s="180"/>
      <c r="BC136" s="180"/>
      <c r="BP136" s="180"/>
      <c r="CC136" s="180"/>
    </row>
  </sheetData>
  <sortState ref="B17:AJ26">
    <sortCondition descending="1" ref="F3:F13"/>
  </sortState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K1:Z44"/>
  <sheetViews>
    <sheetView topLeftCell="A19" zoomScale="85" zoomScaleNormal="85" workbookViewId="0">
      <selection activeCell="Q38" sqref="Q38"/>
    </sheetView>
  </sheetViews>
  <sheetFormatPr defaultRowHeight="12.75"/>
  <cols>
    <col min="1" max="1" width="2.7109375" customWidth="1"/>
    <col min="10" max="10" width="2.7109375" customWidth="1"/>
    <col min="11" max="15" width="17.28515625" customWidth="1"/>
    <col min="17" max="17" width="19" bestFit="1" customWidth="1"/>
  </cols>
  <sheetData>
    <row r="1" spans="11:26">
      <c r="L1">
        <v>2014</v>
      </c>
      <c r="M1">
        <v>2015</v>
      </c>
      <c r="N1">
        <v>2016</v>
      </c>
      <c r="O1">
        <v>2017</v>
      </c>
      <c r="Q1" t="s">
        <v>863</v>
      </c>
      <c r="R1" t="s">
        <v>864</v>
      </c>
      <c r="S1" t="s">
        <v>407</v>
      </c>
      <c r="T1" t="s">
        <v>440</v>
      </c>
      <c r="V1" t="s">
        <v>865</v>
      </c>
      <c r="W1" t="s">
        <v>215</v>
      </c>
    </row>
    <row r="2" spans="11:26">
      <c r="K2" s="232" t="s">
        <v>185</v>
      </c>
      <c r="L2" s="29" t="str">
        <f>IFERROR(AVERAGEIFS(Ships!#REF!,Ships!$H$3:$H$408,'Ship Trends'!$K2,Ships!$I$3:$I$408,'Ship Trends'!L$1),"")</f>
        <v/>
      </c>
      <c r="M2" s="29" t="str">
        <f>IFERROR(AVERAGEIFS(Ships!#REF!,Ships!$H$3:$H$408,'Ship Trends'!$K2,Ships!$I$3:$I$408,'Ship Trends'!M$1),"")</f>
        <v/>
      </c>
      <c r="N2" s="29" t="str">
        <f>IFERROR(AVERAGEIFS(Ships!#REF!,Ships!$H$3:$H$408,'Ship Trends'!$K2,Ships!$I$3:$I$408,'Ship Trends'!N$1),"")</f>
        <v/>
      </c>
      <c r="O2" s="29" t="str">
        <f>IFERROR(AVERAGEIFS(Ships!#REF!,Ships!$H$3:$H$408,'Ship Trends'!$K2,Ships!$I$3:$I$408,'Ship Trends'!O$1),"")</f>
        <v/>
      </c>
      <c r="P2">
        <v>1980</v>
      </c>
      <c r="Q2" s="29"/>
      <c r="R2" s="29"/>
      <c r="S2" s="29"/>
    </row>
    <row r="3" spans="11:26">
      <c r="K3" s="2" t="s">
        <v>71</v>
      </c>
      <c r="L3" s="29" t="str">
        <f>IFERROR(AVERAGEIFS(Ships!#REF!,Ships!$H$3:$H$408,'Ship Trends'!$K3,Ships!$I$3:$I$408,'Ship Trends'!L$1),"")</f>
        <v/>
      </c>
      <c r="M3" s="29" t="str">
        <f>IFERROR(AVERAGEIFS(Ships!#REF!,Ships!$H$3:$H$408,'Ship Trends'!$K3,Ships!$I$3:$I$408,'Ship Trends'!M$1),"")</f>
        <v/>
      </c>
      <c r="N3" s="29" t="str">
        <f>IFERROR(AVERAGEIFS(Ships!#REF!,Ships!$H$3:$H$408,'Ship Trends'!$K3,Ships!$I$3:$I$408,'Ship Trends'!N$1),"")</f>
        <v/>
      </c>
      <c r="O3" s="29" t="str">
        <f>IFERROR(AVERAGEIFS(Ships!#REF!,Ships!$H$3:$H$408,'Ship Trends'!$K3,Ships!$I$3:$I$408,'Ship Trends'!O$1),"")</f>
        <v/>
      </c>
      <c r="P3">
        <v>1981</v>
      </c>
      <c r="Q3" s="29"/>
      <c r="R3" s="29"/>
      <c r="S3" s="37"/>
    </row>
    <row r="4" spans="11:26">
      <c r="K4" s="2" t="s">
        <v>46</v>
      </c>
      <c r="L4" s="29" t="str">
        <f>IFERROR(AVERAGEIFS(Ships!#REF!,Ships!$H$3:$H$408,'Ship Trends'!$K4,Ships!$I$3:$I$408,'Ship Trends'!L$1),"")</f>
        <v/>
      </c>
      <c r="M4" s="29" t="str">
        <f>IFERROR(AVERAGEIFS(Ships!#REF!,Ships!$H$3:$H$408,'Ship Trends'!$K4,Ships!$I$3:$I$408,'Ship Trends'!M$1),"")</f>
        <v/>
      </c>
      <c r="N4" s="29" t="str">
        <f>IFERROR(AVERAGEIFS(Ships!#REF!,Ships!$H$3:$H$408,'Ship Trends'!$K4,Ships!$I$3:$I$408,'Ship Trends'!N$1),"")</f>
        <v/>
      </c>
      <c r="O4" s="29" t="str">
        <f>IFERROR(AVERAGEIFS(Ships!#REF!,Ships!$H$3:$H$408,'Ship Trends'!$K4,Ships!$I$3:$I$408,'Ship Trends'!O$1),"")</f>
        <v/>
      </c>
      <c r="P4">
        <v>1982</v>
      </c>
      <c r="Q4" s="29"/>
      <c r="R4" s="29"/>
      <c r="S4" s="37"/>
    </row>
    <row r="5" spans="11:26">
      <c r="K5" s="2" t="s">
        <v>184</v>
      </c>
      <c r="L5" s="29" t="str">
        <f>IFERROR(AVERAGEIFS(Ships!#REF!,Ships!$H$3:$H$408,'Ship Trends'!$K5,Ships!$I$3:$I$408,'Ship Trends'!L$1),"")</f>
        <v/>
      </c>
      <c r="M5" s="29" t="str">
        <f>IFERROR(AVERAGEIFS(Ships!#REF!,Ships!$H$3:$H$408,'Ship Trends'!$K5,Ships!$I$3:$I$408,'Ship Trends'!M$1),"")</f>
        <v/>
      </c>
      <c r="N5" s="29" t="str">
        <f>IFERROR(AVERAGEIFS(Ships!#REF!,Ships!$H$3:$H$408,'Ship Trends'!$K5,Ships!$I$3:$I$408,'Ship Trends'!N$1),"")</f>
        <v/>
      </c>
      <c r="O5" s="29" t="str">
        <f>IFERROR(AVERAGEIFS(Ships!#REF!,Ships!$H$3:$H$408,'Ship Trends'!$K5,Ships!$I$3:$I$408,'Ship Trends'!O$1),"")</f>
        <v/>
      </c>
      <c r="P5">
        <v>1983</v>
      </c>
      <c r="Q5" s="29"/>
      <c r="R5" s="29"/>
      <c r="S5" s="37"/>
    </row>
    <row r="6" spans="11:26">
      <c r="K6" s="2" t="s">
        <v>132</v>
      </c>
      <c r="L6" s="29" t="str">
        <f>IFERROR(AVERAGEIFS(Ships!#REF!,Ships!$H$3:$H$408,'Ship Trends'!$K6,Ships!$I$3:$I$408,'Ship Trends'!L$1),"")</f>
        <v/>
      </c>
      <c r="M6" s="29" t="str">
        <f>IFERROR(AVERAGEIFS(Ships!#REF!,Ships!$H$3:$H$408,'Ship Trends'!$K6,Ships!$I$3:$I$408,'Ship Trends'!M$1),"")</f>
        <v/>
      </c>
      <c r="N6" s="29" t="str">
        <f>IFERROR(AVERAGEIFS(Ships!#REF!,Ships!$H$3:$H$408,'Ship Trends'!$K6,Ships!$I$3:$I$408,'Ship Trends'!N$1),"")</f>
        <v/>
      </c>
      <c r="O6" s="29" t="str">
        <f>IFERROR(AVERAGEIFS(Ships!#REF!,Ships!$H$3:$H$408,'Ship Trends'!$K6,Ships!$I$3:$I$408,'Ship Trends'!O$1),"")</f>
        <v/>
      </c>
      <c r="P6">
        <v>1984</v>
      </c>
      <c r="Q6" s="29"/>
      <c r="R6" s="29"/>
      <c r="S6" s="37"/>
    </row>
    <row r="7" spans="11:26">
      <c r="K7" s="2" t="s">
        <v>143</v>
      </c>
      <c r="L7" s="29" t="str">
        <f>IFERROR(AVERAGEIFS(Ships!#REF!,Ships!$H$3:$H$408,'Ship Trends'!$K7,Ships!$I$3:$I$408,'Ship Trends'!L$1),"")</f>
        <v/>
      </c>
      <c r="M7" s="29" t="str">
        <f>IFERROR(AVERAGEIFS(Ships!#REF!,Ships!$H$3:$H$408,'Ship Trends'!$K7,Ships!$I$3:$I$408,'Ship Trends'!M$1),"")</f>
        <v/>
      </c>
      <c r="N7" s="29" t="str">
        <f>IFERROR(AVERAGEIFS(Ships!#REF!,Ships!$H$3:$H$408,'Ship Trends'!$K7,Ships!$I$3:$I$408,'Ship Trends'!N$1),"")</f>
        <v/>
      </c>
      <c r="O7" s="29" t="str">
        <f>IFERROR(AVERAGEIFS(Ships!#REF!,Ships!$H$3:$H$408,'Ship Trends'!$K7,Ships!$I$3:$I$408,'Ship Trends'!O$1),"")</f>
        <v/>
      </c>
      <c r="P7">
        <v>1985</v>
      </c>
      <c r="Q7" s="29"/>
      <c r="R7" s="29"/>
      <c r="S7" s="37"/>
    </row>
    <row r="8" spans="11:26">
      <c r="K8" s="2" t="s">
        <v>151</v>
      </c>
      <c r="L8" s="29" t="str">
        <f>IFERROR(AVERAGEIFS(Ships!#REF!,Ships!$H$3:$H$408,'Ship Trends'!$K8,Ships!$I$3:$I$408,'Ship Trends'!L$1),"")</f>
        <v/>
      </c>
      <c r="M8" s="29" t="str">
        <f>IFERROR(AVERAGEIFS(Ships!#REF!,Ships!$H$3:$H$408,'Ship Trends'!$K8,Ships!$I$3:$I$408,'Ship Trends'!M$1),"")</f>
        <v/>
      </c>
      <c r="N8" s="29" t="str">
        <f>IFERROR(AVERAGEIFS(Ships!#REF!,Ships!$H$3:$H$408,'Ship Trends'!$K8,Ships!$I$3:$I$408,'Ship Trends'!N$1),"")</f>
        <v/>
      </c>
      <c r="O8" s="29" t="str">
        <f>IFERROR(AVERAGEIFS(Ships!#REF!,Ships!$H$3:$H$408,'Ship Trends'!$K8,Ships!$I$3:$I$408,'Ship Trends'!O$1),"")</f>
        <v/>
      </c>
      <c r="P8">
        <v>1986</v>
      </c>
      <c r="Q8" s="29"/>
      <c r="R8" s="29"/>
      <c r="S8" s="37"/>
    </row>
    <row r="9" spans="11:26">
      <c r="K9" s="2" t="s">
        <v>199</v>
      </c>
      <c r="L9" s="29" t="str">
        <f>IFERROR(AVERAGEIFS(Ships!#REF!,Ships!$H$3:$H$408,'Ship Trends'!$K9,Ships!$I$3:$I$408,'Ship Trends'!L$1),"")</f>
        <v/>
      </c>
      <c r="M9" s="29" t="str">
        <f>IFERROR(AVERAGEIFS(Ships!#REF!,Ships!$H$3:$H$408,'Ship Trends'!$K9,Ships!$I$3:$I$408,'Ship Trends'!M$1),"")</f>
        <v/>
      </c>
      <c r="N9" s="29" t="str">
        <f>IFERROR(AVERAGEIFS(Ships!#REF!,Ships!$H$3:$H$408,'Ship Trends'!$K9,Ships!$I$3:$I$408,'Ship Trends'!N$1),"")</f>
        <v/>
      </c>
      <c r="O9" s="29" t="str">
        <f>IFERROR(AVERAGEIFS(Ships!#REF!,Ships!$H$3:$H$408,'Ship Trends'!$K9,Ships!$I$3:$I$408,'Ship Trends'!O$1),"")</f>
        <v/>
      </c>
      <c r="P9">
        <v>1987</v>
      </c>
      <c r="Q9" s="29"/>
      <c r="R9" s="29"/>
      <c r="S9" s="37"/>
    </row>
    <row r="10" spans="11:26">
      <c r="K10" s="2" t="s">
        <v>194</v>
      </c>
      <c r="L10" s="29" t="str">
        <f>IFERROR(AVERAGEIFS(Ships!#REF!,Ships!$H$3:$H$408,'Ship Trends'!$K10,Ships!$I$3:$I$408,'Ship Trends'!L$1),"")</f>
        <v/>
      </c>
      <c r="M10" s="29" t="str">
        <f>IFERROR(AVERAGEIFS(Ships!#REF!,Ships!$H$3:$H$408,'Ship Trends'!$K10,Ships!$I$3:$I$408,'Ship Trends'!M$1),"")</f>
        <v/>
      </c>
      <c r="N10" s="29" t="str">
        <f>IFERROR(AVERAGEIFS(Ships!#REF!,Ships!$H$3:$H$408,'Ship Trends'!$K10,Ships!$I$3:$I$408,'Ship Trends'!N$1),"")</f>
        <v/>
      </c>
      <c r="O10" s="29" t="str">
        <f>IFERROR(AVERAGEIFS(Ships!#REF!,Ships!$H$3:$H$408,'Ship Trends'!$K10,Ships!$I$3:$I$408,'Ship Trends'!O$1),"")</f>
        <v/>
      </c>
      <c r="P10">
        <v>1988</v>
      </c>
      <c r="Q10" s="29"/>
      <c r="R10" s="29"/>
      <c r="S10" s="37"/>
    </row>
    <row r="11" spans="11:26">
      <c r="K11" s="2" t="s">
        <v>156</v>
      </c>
      <c r="L11" s="29" t="str">
        <f>IFERROR(AVERAGEIFS(Ships!#REF!,Ships!$H$3:$H$408,'Ship Trends'!$K11,Ships!$I$3:$I$408,'Ship Trends'!L$1),"")</f>
        <v/>
      </c>
      <c r="M11" s="29" t="str">
        <f>IFERROR(AVERAGEIFS(Ships!#REF!,Ships!$H$3:$H$408,'Ship Trends'!$K11,Ships!$I$3:$I$408,'Ship Trends'!M$1),"")</f>
        <v/>
      </c>
      <c r="N11" s="29" t="str">
        <f>IFERROR(AVERAGEIFS(Ships!#REF!,Ships!$H$3:$H$408,'Ship Trends'!$K11,Ships!$I$3:$I$408,'Ship Trends'!N$1),"")</f>
        <v/>
      </c>
      <c r="O11" s="29" t="str">
        <f>IFERROR(AVERAGEIFS(Ships!#REF!,Ships!$H$3:$H$408,'Ship Trends'!$K11,Ships!$I$3:$I$408,'Ship Trends'!O$1),"")</f>
        <v/>
      </c>
      <c r="P11">
        <v>1989</v>
      </c>
      <c r="Q11" s="29"/>
      <c r="R11" s="29"/>
      <c r="S11" s="37"/>
    </row>
    <row r="12" spans="11:26">
      <c r="K12" s="2" t="s">
        <v>416</v>
      </c>
      <c r="L12" s="29" t="str">
        <f>IFERROR(AVERAGEIFS(Ships!#REF!,Ships!$H$3:$H$408,'Ship Trends'!$K12,Ships!$I$3:$I$408,'Ship Trends'!L$1),"")</f>
        <v/>
      </c>
      <c r="M12" s="29" t="str">
        <f>IFERROR(AVERAGEIFS(Ships!#REF!,Ships!$H$3:$H$408,'Ship Trends'!$K12,Ships!$I$3:$I$408,'Ship Trends'!M$1),"")</f>
        <v/>
      </c>
      <c r="N12" s="29" t="str">
        <f>IFERROR(AVERAGEIFS(Ships!#REF!,Ships!$H$3:$H$408,'Ship Trends'!$K12,Ships!$I$3:$I$408,'Ship Trends'!N$1),"")</f>
        <v/>
      </c>
      <c r="O12" s="29" t="str">
        <f>IFERROR(AVERAGEIFS(Ships!#REF!,Ships!$H$3:$H$408,'Ship Trends'!$K12,Ships!$I$3:$I$408,'Ship Trends'!O$1),"")</f>
        <v/>
      </c>
      <c r="P12">
        <v>1990</v>
      </c>
      <c r="Q12" s="29" t="e">
        <f>AVERAGEIFS(Ships!#REF!,Ships!I:$I,'Ship Trends'!$P12)</f>
        <v>#REF!</v>
      </c>
      <c r="R12" s="41">
        <f>AVERAGEIFS(Ships!O:O,Ships!$I:$I,'Ship Trends'!$P12)</f>
        <v>34.75</v>
      </c>
      <c r="S12" s="37">
        <f>AVERAGEIFS(Ships!$P:$P,Ships!I:$I,'Ship Trends'!$P12)</f>
        <v>1118.125</v>
      </c>
      <c r="T12" s="37">
        <f>AVERAGEIFS(Ships!Q:Q,Ships!$I:$I,'Ship Trends'!$P12)</f>
        <v>144.88124999999999</v>
      </c>
      <c r="U12" s="37"/>
      <c r="V12" s="37">
        <f>AVERAGEIFS(Ships!R:R,Ships!$I:$I,'Ship Trends'!$P12)</f>
        <v>194.76892004722734</v>
      </c>
      <c r="W12" s="37">
        <f>AVERAGEIFS(Ships!S:S,Ships!$I:$I,'Ship Trends'!$P12)</f>
        <v>360</v>
      </c>
      <c r="X12" s="37">
        <f>CPI!B92</f>
        <v>133.80000000000001</v>
      </c>
      <c r="Z12" s="36">
        <f>$X$38/X12*T12</f>
        <v>259.94165078475334</v>
      </c>
    </row>
    <row r="13" spans="11:26">
      <c r="K13" s="2" t="s">
        <v>37</v>
      </c>
      <c r="L13" s="29" t="str">
        <f>IFERROR(AVERAGEIFS(Ships!#REF!,Ships!$H$3:$H$408,'Ship Trends'!$K13,Ships!$I$3:$I$408,'Ship Trends'!L$1),"")</f>
        <v/>
      </c>
      <c r="M13" s="29" t="str">
        <f>IFERROR(AVERAGEIFS(Ships!#REF!,Ships!$H$3:$H$408,'Ship Trends'!$K13,Ships!$I$3:$I$408,'Ship Trends'!M$1),"")</f>
        <v/>
      </c>
      <c r="N13" s="29" t="str">
        <f>IFERROR(AVERAGEIFS(Ships!#REF!,Ships!$H$3:$H$408,'Ship Trends'!$K13,Ships!$I$3:$I$408,'Ship Trends'!N$1),"")</f>
        <v/>
      </c>
      <c r="O13" s="29" t="str">
        <f>IFERROR(AVERAGEIFS(Ships!#REF!,Ships!$H$3:$H$408,'Ship Trends'!$K13,Ships!$I$3:$I$408,'Ship Trends'!O$1),"")</f>
        <v/>
      </c>
      <c r="P13">
        <v>1991</v>
      </c>
      <c r="Q13" s="29" t="e">
        <f>AVERAGEIFS(Ships!#REF!,Ships!I:$I,'Ship Trends'!$P13)</f>
        <v>#REF!</v>
      </c>
      <c r="R13" s="41">
        <f>AVERAGEIFS(Ships!O:O,Ships!$I:$I,'Ship Trends'!$P13)</f>
        <v>33.9</v>
      </c>
      <c r="S13" s="37">
        <f>AVERAGEIFS(Ships!$P:$P,Ships!I:$I,'Ship Trends'!$P13)</f>
        <v>873.3</v>
      </c>
      <c r="T13" s="37">
        <f>AVERAGEIFS(Ships!Q:Q,Ships!$I:$I,'Ship Trends'!$P13)</f>
        <v>175.24038157127384</v>
      </c>
      <c r="U13" s="37"/>
      <c r="V13" s="37">
        <f>AVERAGEIFS(Ships!R:R,Ships!$I:$I,'Ship Trends'!$P13)</f>
        <v>277.99832618671246</v>
      </c>
      <c r="W13" s="37">
        <f>AVERAGEIFS(Ships!S:S,Ships!$I:$I,'Ship Trends'!$P13)</f>
        <v>536.25</v>
      </c>
      <c r="X13" s="37">
        <f>CPI!B93</f>
        <v>137.9</v>
      </c>
      <c r="Z13" s="36">
        <f t="shared" ref="Z13:Z38" si="0">$X$38/X13*T13</f>
        <v>305.06313270485856</v>
      </c>
    </row>
    <row r="14" spans="11:26">
      <c r="K14" s="2" t="s">
        <v>371</v>
      </c>
      <c r="L14" s="29" t="str">
        <f>IFERROR(AVERAGEIFS(Ships!#REF!,Ships!$H$3:$H$408,'Ship Trends'!$K14,Ships!$I$3:$I$408,'Ship Trends'!L$1),"")</f>
        <v/>
      </c>
      <c r="M14" s="29" t="str">
        <f>IFERROR(AVERAGEIFS(Ships!#REF!,Ships!$H$3:$H$408,'Ship Trends'!$K14,Ships!$I$3:$I$408,'Ship Trends'!M$1),"")</f>
        <v/>
      </c>
      <c r="N14" s="29" t="str">
        <f>IFERROR(AVERAGEIFS(Ships!#REF!,Ships!$H$3:$H$408,'Ship Trends'!$K14,Ships!$I$3:$I$408,'Ship Trends'!N$1),"")</f>
        <v/>
      </c>
      <c r="O14" s="29" t="str">
        <f>IFERROR(AVERAGEIFS(Ships!#REF!,Ships!$H$3:$H$408,'Ship Trends'!$K14,Ships!$I$3:$I$408,'Ship Trends'!O$1),"")</f>
        <v/>
      </c>
      <c r="P14">
        <v>1992</v>
      </c>
      <c r="Q14" s="29" t="e">
        <f>AVERAGEIFS(Ships!#REF!,Ships!I:$I,'Ship Trends'!$P14)</f>
        <v>#REF!</v>
      </c>
      <c r="R14" s="41">
        <f>AVERAGEIFS(Ships!O:O,Ships!$I:$I,'Ship Trends'!$P14)</f>
        <v>27</v>
      </c>
      <c r="S14" s="37">
        <f>AVERAGEIFS(Ships!$P:$P,Ships!I:$I,'Ship Trends'!$P14)</f>
        <v>873.4</v>
      </c>
      <c r="T14" s="37">
        <f>AVERAGEIFS(Ships!Q:Q,Ships!$I:$I,'Ship Trends'!$P14)</f>
        <v>191.71428571428572</v>
      </c>
      <c r="U14" s="37"/>
      <c r="V14" s="37">
        <f>AVERAGEIFS(Ships!R:R,Ships!$I:$I,'Ship Trends'!$P14)</f>
        <v>192.77614773645237</v>
      </c>
      <c r="W14" s="37">
        <f>AVERAGEIFS(Ships!S:S,Ships!$I:$I,'Ship Trends'!$P14)</f>
        <v>338.57142857142856</v>
      </c>
      <c r="X14" s="37">
        <f>CPI!B94</f>
        <v>141.9</v>
      </c>
      <c r="Z14" s="36">
        <f t="shared" si="0"/>
        <v>324.33355481727574</v>
      </c>
    </row>
    <row r="15" spans="11:26">
      <c r="K15" s="2" t="s">
        <v>528</v>
      </c>
      <c r="L15" s="29" t="str">
        <f>IFERROR(AVERAGEIFS(Ships!#REF!,Ships!$H$3:$H$408,'Ship Trends'!$K15,Ships!$I$3:$I$408,'Ship Trends'!L$1),"")</f>
        <v/>
      </c>
      <c r="M15" s="29" t="str">
        <f>IFERROR(AVERAGEIFS(Ships!#REF!,Ships!$H$3:$H$408,'Ship Trends'!$K15,Ships!$I$3:$I$408,'Ship Trends'!M$1),"")</f>
        <v/>
      </c>
      <c r="N15" s="29" t="str">
        <f>IFERROR(AVERAGEIFS(Ships!#REF!,Ships!$H$3:$H$408,'Ship Trends'!$K15,Ships!$I$3:$I$408,'Ship Trends'!N$1),"")</f>
        <v/>
      </c>
      <c r="O15" s="29" t="str">
        <f>IFERROR(AVERAGEIFS(Ships!#REF!,Ships!$H$3:$H$408,'Ship Trends'!$K15,Ships!$I$3:$I$408,'Ship Trends'!O$1),"")</f>
        <v/>
      </c>
      <c r="P15">
        <v>1993</v>
      </c>
      <c r="Q15" s="29" t="e">
        <f>AVERAGEIFS(Ships!#REF!,Ships!I:$I,'Ship Trends'!$P15)</f>
        <v>#REF!</v>
      </c>
      <c r="R15" s="41">
        <f>AVERAGEIFS(Ships!O:O,Ships!$I:$I,'Ship Trends'!$P15)</f>
        <v>30.142857142857142</v>
      </c>
      <c r="S15" s="37">
        <f>AVERAGEIFS(Ships!$P:$P,Ships!I:$I,'Ship Trends'!$P15)</f>
        <v>1306.7142857142858</v>
      </c>
      <c r="T15" s="37">
        <f>AVERAGEIFS(Ships!Q:Q,Ships!$I:$I,'Ship Trends'!$P15)</f>
        <v>242</v>
      </c>
      <c r="U15" s="37"/>
      <c r="V15" s="37">
        <f>AVERAGEIFS(Ships!R:R,Ships!$I:$I,'Ship Trends'!$P15)</f>
        <v>155.84279257742395</v>
      </c>
      <c r="W15" s="37">
        <f>AVERAGEIFS(Ships!S:S,Ships!$I:$I,'Ship Trends'!$P15)</f>
        <v>270</v>
      </c>
      <c r="X15" s="37">
        <f>CPI!B95</f>
        <v>145.80000000000001</v>
      </c>
      <c r="Z15" s="36">
        <f t="shared" si="0"/>
        <v>398.45349794238678</v>
      </c>
    </row>
    <row r="16" spans="11:26">
      <c r="K16" s="2" t="s">
        <v>197</v>
      </c>
      <c r="L16" s="29" t="str">
        <f>IFERROR(AVERAGEIFS(Ships!#REF!,Ships!$H$3:$H$408,'Ship Trends'!$K16,Ships!$I$3:$I$408,'Ship Trends'!L$1),"")</f>
        <v/>
      </c>
      <c r="M16" s="29" t="str">
        <f>IFERROR(AVERAGEIFS(Ships!#REF!,Ships!$H$3:$H$408,'Ship Trends'!$K16,Ships!$I$3:$I$408,'Ship Trends'!M$1),"")</f>
        <v/>
      </c>
      <c r="N16" s="29" t="str">
        <f>IFERROR(AVERAGEIFS(Ships!#REF!,Ships!$H$3:$H$408,'Ship Trends'!$K16,Ships!$I$3:$I$408,'Ship Trends'!N$1),"")</f>
        <v/>
      </c>
      <c r="O16" s="29" t="str">
        <f>IFERROR(AVERAGEIFS(Ships!#REF!,Ships!$H$3:$H$408,'Ship Trends'!$K16,Ships!$I$3:$I$408,'Ship Trends'!O$1),"")</f>
        <v/>
      </c>
      <c r="P16">
        <v>1994</v>
      </c>
      <c r="Q16" s="29" t="e">
        <f>AVERAGEIFS(Ships!#REF!,Ships!I:$I,'Ship Trends'!$P16)</f>
        <v>#REF!</v>
      </c>
      <c r="R16" s="41">
        <f>AVERAGEIFS(Ships!O:O,Ships!$I:$I,'Ship Trends'!$P16)</f>
        <v>34</v>
      </c>
      <c r="S16" s="37">
        <f>AVERAGEIFS(Ships!$P:$P,Ships!I:$I,'Ship Trends'!$P16)</f>
        <v>1060</v>
      </c>
      <c r="T16" s="37">
        <f>AVERAGEIFS(Ships!Q:Q,Ships!$I:$I,'Ship Trends'!$P16)</f>
        <v>198.33333333333334</v>
      </c>
      <c r="U16" s="37"/>
      <c r="V16" s="37">
        <f>AVERAGEIFS(Ships!R:R,Ships!$I:$I,'Ship Trends'!$P16)</f>
        <v>236.70193003689533</v>
      </c>
      <c r="W16" s="37">
        <f>AVERAGEIFS(Ships!S:S,Ships!$I:$I,'Ship Trends'!$P16)</f>
        <v>393.33333333333331</v>
      </c>
      <c r="X16" s="37">
        <f>CPI!B96</f>
        <v>149.69999999999999</v>
      </c>
      <c r="Z16" s="36">
        <f t="shared" si="0"/>
        <v>318.04876419505683</v>
      </c>
    </row>
    <row r="17" spans="11:26">
      <c r="K17" s="2" t="s">
        <v>733</v>
      </c>
      <c r="L17" s="29" t="str">
        <f>IFERROR(AVERAGEIFS(Ships!#REF!,Ships!$H$3:$H$408,'Ship Trends'!$K17,Ships!$I$3:$I$408,'Ship Trends'!L$1),"")</f>
        <v/>
      </c>
      <c r="M17" s="29" t="str">
        <f>IFERROR(AVERAGEIFS(Ships!#REF!,Ships!$H$3:$H$408,'Ship Trends'!$K17,Ships!$I$3:$I$408,'Ship Trends'!M$1),"")</f>
        <v/>
      </c>
      <c r="N17" s="29" t="str">
        <f>IFERROR(AVERAGEIFS(Ships!#REF!,Ships!$H$3:$H$408,'Ship Trends'!$K17,Ships!$I$3:$I$408,'Ship Trends'!N$1),"")</f>
        <v/>
      </c>
      <c r="O17" s="29" t="str">
        <f>IFERROR(AVERAGEIFS(Ships!#REF!,Ships!$H$3:$H$408,'Ship Trends'!$K17,Ships!$I$3:$I$408,'Ship Trends'!O$1),"")</f>
        <v/>
      </c>
      <c r="P17">
        <v>1995</v>
      </c>
      <c r="Q17" s="29" t="e">
        <f>AVERAGEIFS(Ships!#REF!,Ships!I:$I,'Ship Trends'!$P17)</f>
        <v>#REF!</v>
      </c>
      <c r="R17" s="41">
        <f>AVERAGEIFS(Ships!O:O,Ships!$I:$I,'Ship Trends'!$P17)</f>
        <v>35.571428571428569</v>
      </c>
      <c r="S17" s="37">
        <f>AVERAGEIFS(Ships!$P:$P,Ships!I:$I,'Ship Trends'!$P17)</f>
        <v>1267.4285714285713</v>
      </c>
      <c r="T17" s="37">
        <f>AVERAGEIFS(Ships!Q:Q,Ships!$I:$I,'Ship Trends'!$P17)</f>
        <v>287.5</v>
      </c>
      <c r="U17" s="37"/>
      <c r="V17" s="37">
        <f>AVERAGEIFS(Ships!R:R,Ships!$I:$I,'Ship Trends'!$P17)</f>
        <v>225.38254586811945</v>
      </c>
      <c r="W17" s="37">
        <f>AVERAGEIFS(Ships!S:S,Ships!$I:$I,'Ship Trends'!$P17)</f>
        <v>370</v>
      </c>
      <c r="X17" s="37">
        <f>CPI!B97</f>
        <v>153.5</v>
      </c>
      <c r="Z17" s="36">
        <f t="shared" si="0"/>
        <v>449.62377850162869</v>
      </c>
    </row>
    <row r="18" spans="11:26">
      <c r="K18" s="2" t="s">
        <v>195</v>
      </c>
      <c r="L18" s="29" t="str">
        <f>IFERROR(AVERAGEIFS(Ships!#REF!,Ships!$H$3:$H$408,'Ship Trends'!$K18,Ships!$I$3:$I$408,'Ship Trends'!L$1),"")</f>
        <v/>
      </c>
      <c r="M18" s="29" t="str">
        <f>IFERROR(AVERAGEIFS(Ships!#REF!,Ships!$H$3:$H$408,'Ship Trends'!$K18,Ships!$I$3:$I$408,'Ship Trends'!M$1),"")</f>
        <v/>
      </c>
      <c r="N18" s="29" t="str">
        <f>IFERROR(AVERAGEIFS(Ships!#REF!,Ships!$H$3:$H$408,'Ship Trends'!$K18,Ships!$I$3:$I$408,'Ship Trends'!N$1),"")</f>
        <v/>
      </c>
      <c r="O18" s="29" t="str">
        <f>IFERROR(AVERAGEIFS(Ships!#REF!,Ships!$H$3:$H$408,'Ship Trends'!$K18,Ships!$I$3:$I$408,'Ship Trends'!O$1),"")</f>
        <v/>
      </c>
      <c r="P18">
        <v>1996</v>
      </c>
      <c r="Q18" s="29" t="e">
        <f>AVERAGEIFS(Ships!#REF!,Ships!I:$I,'Ship Trends'!$P18)</f>
        <v>#REF!</v>
      </c>
      <c r="R18" s="41">
        <f>AVERAGEIFS(Ships!O:O,Ships!$I:$I,'Ship Trends'!$P18)</f>
        <v>32.090909090909093</v>
      </c>
      <c r="S18" s="37">
        <f>AVERAGEIFS(Ships!$P:$P,Ships!I:$I,'Ship Trends'!$P18)</f>
        <v>1678.4545454545455</v>
      </c>
      <c r="T18" s="37">
        <f>AVERAGEIFS(Ships!Q:Q,Ships!$I:$I,'Ship Trends'!$P18)</f>
        <v>320.55555555555554</v>
      </c>
      <c r="U18" s="37"/>
      <c r="V18" s="37">
        <f>AVERAGEIFS(Ships!R:R,Ships!$I:$I,'Ship Trends'!$P18)</f>
        <v>165.34486100030466</v>
      </c>
      <c r="W18" s="37">
        <f>AVERAGEIFS(Ships!S:S,Ships!$I:$I,'Ship Trends'!$P18)</f>
        <v>261.11111111111109</v>
      </c>
      <c r="X18" s="37">
        <f>CPI!B98</f>
        <v>158.6</v>
      </c>
      <c r="Z18" s="36">
        <f t="shared" si="0"/>
        <v>485.19903320722989</v>
      </c>
    </row>
    <row r="19" spans="11:26">
      <c r="K19" s="2" t="s">
        <v>747</v>
      </c>
      <c r="L19" s="29" t="str">
        <f>IFERROR(AVERAGEIFS(Ships!#REF!,Ships!$H$3:$H$408,'Ship Trends'!$K19,Ships!$I$3:$I$408,'Ship Trends'!L$1),"")</f>
        <v/>
      </c>
      <c r="M19" s="29" t="str">
        <f>IFERROR(AVERAGEIFS(Ships!#REF!,Ships!$H$3:$H$408,'Ship Trends'!$K19,Ships!$I$3:$I$408,'Ship Trends'!M$1),"")</f>
        <v/>
      </c>
      <c r="N19" s="29" t="str">
        <f>IFERROR(AVERAGEIFS(Ships!#REF!,Ships!$H$3:$H$408,'Ship Trends'!$K19,Ships!$I$3:$I$408,'Ship Trends'!N$1),"")</f>
        <v/>
      </c>
      <c r="O19" s="29" t="str">
        <f>IFERROR(AVERAGEIFS(Ships!#REF!,Ships!$H$3:$H$408,'Ship Trends'!$K19,Ships!$I$3:$I$408,'Ship Trends'!O$1),"")</f>
        <v/>
      </c>
      <c r="P19">
        <v>1997</v>
      </c>
      <c r="Q19" s="29" t="e">
        <f>AVERAGEIFS(Ships!#REF!,Ships!I:$I,'Ship Trends'!$P19)</f>
        <v>#REF!</v>
      </c>
      <c r="R19" s="41">
        <f>AVERAGEIFS(Ships!O:O,Ships!$I:$I,'Ship Trends'!$P19)</f>
        <v>37.25</v>
      </c>
      <c r="S19" s="37">
        <f>AVERAGEIFS(Ships!$P:$P,Ships!I:$I,'Ship Trends'!$P19)</f>
        <v>1364.625</v>
      </c>
      <c r="T19" s="37">
        <f>AVERAGEIFS(Ships!Q:Q,Ships!$I:$I,'Ship Trends'!$P19)</f>
        <v>288.33333333333331</v>
      </c>
      <c r="U19" s="37"/>
      <c r="V19" s="37">
        <f>AVERAGEIFS(Ships!R:R,Ships!$I:$I,'Ship Trends'!$P19)</f>
        <v>222.57357237128147</v>
      </c>
      <c r="W19" s="37">
        <f>AVERAGEIFS(Ships!S:S,Ships!$I:$I,'Ship Trends'!$P19)</f>
        <v>345</v>
      </c>
      <c r="X19" s="37">
        <f>CPI!B99</f>
        <v>161.30000000000001</v>
      </c>
      <c r="Z19" s="36">
        <f t="shared" si="0"/>
        <v>429.12151270923738</v>
      </c>
    </row>
    <row r="20" spans="11:26">
      <c r="K20" s="2" t="s">
        <v>198</v>
      </c>
      <c r="L20" s="29" t="str">
        <f>IFERROR(AVERAGEIFS(Ships!#REF!,Ships!$H$3:$H$408,'Ship Trends'!$K20,Ships!$I$3:$I$408,'Ship Trends'!L$1),"")</f>
        <v/>
      </c>
      <c r="M20" s="29" t="str">
        <f>IFERROR(AVERAGEIFS(Ships!#REF!,Ships!$H$3:$H$408,'Ship Trends'!$K20,Ships!$I$3:$I$408,'Ship Trends'!M$1),"")</f>
        <v/>
      </c>
      <c r="N20" s="29" t="str">
        <f>IFERROR(AVERAGEIFS(Ships!#REF!,Ships!$H$3:$H$408,'Ship Trends'!$K20,Ships!$I$3:$I$408,'Ship Trends'!N$1),"")</f>
        <v/>
      </c>
      <c r="O20" s="29" t="str">
        <f>IFERROR(AVERAGEIFS(Ships!#REF!,Ships!$H$3:$H$408,'Ship Trends'!$K20,Ships!$I$3:$I$408,'Ship Trends'!O$1),"")</f>
        <v/>
      </c>
      <c r="P20">
        <v>1998</v>
      </c>
      <c r="Q20" s="29" t="e">
        <f>AVERAGEIFS(Ships!#REF!,Ships!I:$I,'Ship Trends'!$P20)</f>
        <v>#REF!</v>
      </c>
      <c r="R20" s="41">
        <f>AVERAGEIFS(Ships!O:O,Ships!$I:$I,'Ship Trends'!$P20)</f>
        <v>33.510882352941181</v>
      </c>
      <c r="S20" s="37">
        <f>AVERAGEIFS(Ships!$P:$P,Ships!I:$I,'Ship Trends'!$P20)</f>
        <v>1642.8</v>
      </c>
      <c r="T20" s="37">
        <f>AVERAGEIFS(Ships!Q:Q,Ships!$I:$I,'Ship Trends'!$P20)</f>
        <v>295</v>
      </c>
      <c r="U20" s="37"/>
      <c r="V20" s="37">
        <f>AVERAGEIFS(Ships!R:R,Ships!$I:$I,'Ship Trends'!$P20)</f>
        <v>168.38609539547426</v>
      </c>
      <c r="W20" s="37">
        <f>AVERAGEIFS(Ships!S:S,Ships!$I:$I,'Ship Trends'!$P20)</f>
        <v>257.77777777777777</v>
      </c>
      <c r="X20" s="37">
        <f>CPI!B100</f>
        <v>163.9</v>
      </c>
      <c r="Z20" s="36">
        <f t="shared" si="0"/>
        <v>432.0787065283709</v>
      </c>
    </row>
    <row r="21" spans="11:26">
      <c r="K21" s="2" t="s">
        <v>178</v>
      </c>
      <c r="L21" s="29" t="str">
        <f>IFERROR(AVERAGEIFS(Ships!#REF!,Ships!$H$3:$H$408,'Ship Trends'!$K21,Ships!$I$3:$I$408,'Ship Trends'!L$1),"")</f>
        <v/>
      </c>
      <c r="M21" s="29" t="str">
        <f>IFERROR(AVERAGEIFS(Ships!#REF!,Ships!$H$3:$H$408,'Ship Trends'!$K21,Ships!$I$3:$I$408,'Ship Trends'!M$1),"")</f>
        <v/>
      </c>
      <c r="N21" s="29" t="str">
        <f>IFERROR(AVERAGEIFS(Ships!#REF!,Ships!$H$3:$H$408,'Ship Trends'!$K21,Ships!$I$3:$I$408,'Ship Trends'!N$1),"")</f>
        <v/>
      </c>
      <c r="O21" s="29" t="str">
        <f>IFERROR(AVERAGEIFS(Ships!#REF!,Ships!$H$3:$H$408,'Ship Trends'!$K21,Ships!$I$3:$I$408,'Ship Trends'!O$1),"")</f>
        <v/>
      </c>
      <c r="P21">
        <v>1999</v>
      </c>
      <c r="Q21" s="29" t="e">
        <f>AVERAGEIFS(Ships!#REF!,Ships!I:$I,'Ship Trends'!$P21)</f>
        <v>#REF!</v>
      </c>
      <c r="R21" s="41">
        <f>AVERAGEIFS(Ships!O:O,Ships!$I:$I,'Ship Trends'!$P21)</f>
        <v>38.545454545454547</v>
      </c>
      <c r="S21" s="37">
        <f>AVERAGEIFS(Ships!$P:$P,Ships!I:$I,'Ship Trends'!$P21)</f>
        <v>1458.909090909091</v>
      </c>
      <c r="T21" s="37">
        <f>AVERAGEIFS(Ships!Q:Q,Ships!$I:$I,'Ship Trends'!$P21)</f>
        <v>334.8</v>
      </c>
      <c r="U21" s="37"/>
      <c r="V21" s="37">
        <f>AVERAGEIFS(Ships!R:R,Ships!$I:$I,'Ship Trends'!$P21)</f>
        <v>253.13560256703505</v>
      </c>
      <c r="W21" s="37">
        <f>AVERAGEIFS(Ships!S:S,Ships!$I:$I,'Ship Trends'!$P21)</f>
        <v>372</v>
      </c>
      <c r="X21" s="37">
        <f>CPI!B101</f>
        <v>168.3</v>
      </c>
      <c r="Z21" s="36">
        <f t="shared" si="0"/>
        <v>477.55251336898397</v>
      </c>
    </row>
    <row r="22" spans="11:26">
      <c r="K22" s="2" t="s">
        <v>155</v>
      </c>
      <c r="L22" s="29" t="str">
        <f>IFERROR(AVERAGEIFS(Ships!#REF!,Ships!$H$3:$H$408,'Ship Trends'!$K22,Ships!$I$3:$I$408,'Ship Trends'!L$1),"")</f>
        <v/>
      </c>
      <c r="M22" s="29" t="str">
        <f>IFERROR(AVERAGEIFS(Ships!#REF!,Ships!$H$3:$H$408,'Ship Trends'!$K22,Ships!$I$3:$I$408,'Ship Trends'!M$1),"")</f>
        <v/>
      </c>
      <c r="N22" s="29" t="str">
        <f>IFERROR(AVERAGEIFS(Ships!#REF!,Ships!$H$3:$H$408,'Ship Trends'!$K22,Ships!$I$3:$I$408,'Ship Trends'!N$1),"")</f>
        <v/>
      </c>
      <c r="O22" s="29" t="str">
        <f>IFERROR(AVERAGEIFS(Ships!#REF!,Ships!$H$3:$H$408,'Ship Trends'!$K22,Ships!$I$3:$I$408,'Ship Trends'!O$1),"")</f>
        <v/>
      </c>
      <c r="P22">
        <v>2000</v>
      </c>
      <c r="Q22" s="29" t="e">
        <f>AVERAGEIFS(Ships!#REF!,Ships!I:$I,'Ship Trends'!$P22)</f>
        <v>#REF!</v>
      </c>
      <c r="R22" s="41">
        <f>AVERAGEIFS(Ships!O:O,Ships!$I:$I,'Ship Trends'!$P22)</f>
        <v>35.566383136094672</v>
      </c>
      <c r="S22" s="37">
        <f>AVERAGEIFS(Ships!$P:$P,Ships!I:$I,'Ship Trends'!$P22)</f>
        <v>1535.8461538461538</v>
      </c>
      <c r="T22" s="37">
        <f>AVERAGEIFS(Ships!Q:Q,Ships!$I:$I,'Ship Trends'!$P22)</f>
        <v>288.84615384615387</v>
      </c>
      <c r="U22" s="37"/>
      <c r="V22" s="37">
        <f>AVERAGEIFS(Ships!R:R,Ships!$I:$I,'Ship Trends'!$P22)</f>
        <v>224.33128086723568</v>
      </c>
      <c r="W22" s="37">
        <f>AVERAGEIFS(Ships!S:S,Ships!$I:$I,'Ship Trends'!$P22)</f>
        <v>322.30769230769232</v>
      </c>
      <c r="X22" s="37">
        <f>CPI!B102</f>
        <v>174</v>
      </c>
      <c r="Z22" s="36">
        <f t="shared" si="0"/>
        <v>398.50809018567639</v>
      </c>
    </row>
    <row r="23" spans="11:26">
      <c r="K23" s="2" t="s">
        <v>218</v>
      </c>
      <c r="L23" s="29" t="str">
        <f>IFERROR(AVERAGEIFS(Ships!#REF!,Ships!$H$3:$H$408,'Ship Trends'!$K23,Ships!$I$3:$I$408,'Ship Trends'!L$1),"")</f>
        <v/>
      </c>
      <c r="M23" s="29" t="str">
        <f>IFERROR(AVERAGEIFS(Ships!#REF!,Ships!$H$3:$H$408,'Ship Trends'!$K23,Ships!$I$3:$I$408,'Ship Trends'!M$1),"")</f>
        <v/>
      </c>
      <c r="N23" s="29" t="str">
        <f>IFERROR(AVERAGEIFS(Ships!#REF!,Ships!$H$3:$H$408,'Ship Trends'!$K23,Ships!$I$3:$I$408,'Ship Trends'!N$1),"")</f>
        <v/>
      </c>
      <c r="O23" s="29" t="str">
        <f>IFERROR(AVERAGEIFS(Ships!#REF!,Ships!$H$3:$H$408,'Ship Trends'!$K23,Ships!$I$3:$I$408,'Ship Trends'!O$1),"")</f>
        <v/>
      </c>
      <c r="P23">
        <v>2001</v>
      </c>
      <c r="Q23" s="29" t="e">
        <f>AVERAGEIFS(Ships!#REF!,Ships!I:$I,'Ship Trends'!$P23)</f>
        <v>#REF!</v>
      </c>
      <c r="R23" s="41">
        <f>AVERAGEIFS(Ships!O:O,Ships!$I:$I,'Ship Trends'!$P23)</f>
        <v>37.200000000000003</v>
      </c>
      <c r="S23" s="37">
        <f>AVERAGEIFS(Ships!$P:$P,Ships!I:$I,'Ship Trends'!$P23)</f>
        <v>1695.4666666666667</v>
      </c>
      <c r="T23" s="37">
        <f>AVERAGEIFS(Ships!Q:Q,Ships!$I:$I,'Ship Trends'!$P23)</f>
        <v>301.66666666666669</v>
      </c>
      <c r="U23" s="37"/>
      <c r="V23" s="37">
        <f>AVERAGEIFS(Ships!R:R,Ships!$I:$I,'Ship Trends'!$P23)</f>
        <v>213.98344390530858</v>
      </c>
      <c r="W23" s="37">
        <f>AVERAGEIFS(Ships!S:S,Ships!$I:$I,'Ship Trends'!$P23)</f>
        <v>303.33333333333331</v>
      </c>
      <c r="X23" s="37">
        <f>CPI!B103</f>
        <v>176.7</v>
      </c>
      <c r="Z23" s="36">
        <f t="shared" si="0"/>
        <v>409.83644595359374</v>
      </c>
    </row>
    <row r="24" spans="11:26">
      <c r="K24" s="2" t="s">
        <v>196</v>
      </c>
      <c r="L24" s="29" t="str">
        <f>IFERROR(AVERAGEIFS(Ships!#REF!,Ships!$H$3:$H$408,'Ship Trends'!$K24,Ships!$I$3:$I$408,'Ship Trends'!L$1),"")</f>
        <v/>
      </c>
      <c r="M24" s="29" t="str">
        <f>IFERROR(AVERAGEIFS(Ships!#REF!,Ships!$H$3:$H$408,'Ship Trends'!$K24,Ships!$I$3:$I$408,'Ship Trends'!M$1),"")</f>
        <v/>
      </c>
      <c r="N24" s="29" t="str">
        <f>IFERROR(AVERAGEIFS(Ships!#REF!,Ships!$H$3:$H$408,'Ship Trends'!$K24,Ships!$I$3:$I$408,'Ship Trends'!N$1),"")</f>
        <v/>
      </c>
      <c r="O24" s="29" t="str">
        <f>IFERROR(AVERAGEIFS(Ships!#REF!,Ships!$H$3:$H$408,'Ship Trends'!$K24,Ships!$I$3:$I$408,'Ship Trends'!O$1),"")</f>
        <v/>
      </c>
      <c r="P24">
        <v>2002</v>
      </c>
      <c r="Q24" s="29" t="e">
        <f>AVERAGEIFS(Ships!#REF!,Ships!I:$I,'Ship Trends'!$P24)</f>
        <v>#REF!</v>
      </c>
      <c r="R24" s="41">
        <f>AVERAGEIFS(Ships!O:O,Ships!$I:$I,'Ship Trends'!$P24)</f>
        <v>32.307692307692307</v>
      </c>
      <c r="S24" s="37">
        <f>AVERAGEIFS(Ships!$P:$P,Ships!I:$I,'Ship Trends'!$P24)</f>
        <v>1946.3076923076924</v>
      </c>
      <c r="T24" s="37">
        <f>AVERAGEIFS(Ships!Q:Q,Ships!$I:$I,'Ship Trends'!$P24)</f>
        <v>396.36363636363637</v>
      </c>
      <c r="U24" s="37"/>
      <c r="V24" s="37">
        <f>AVERAGEIFS(Ships!R:R,Ships!$I:$I,'Ship Trends'!$P24)</f>
        <v>195.21436642398447</v>
      </c>
      <c r="W24" s="37">
        <f>AVERAGEIFS(Ships!S:S,Ships!$I:$I,'Ship Trends'!$P24)</f>
        <v>270.90909090909093</v>
      </c>
      <c r="X24" s="37">
        <f>CPI!B104</f>
        <v>180.9</v>
      </c>
      <c r="Z24" s="36">
        <f t="shared" si="0"/>
        <v>525.98703452434802</v>
      </c>
    </row>
    <row r="25" spans="11:26">
      <c r="K25" s="2" t="s">
        <v>788</v>
      </c>
      <c r="L25" s="29" t="str">
        <f>IFERROR(AVERAGEIFS(Ships!#REF!,Ships!$H$3:$H$408,'Ship Trends'!$K25,Ships!$I$3:$I$408,'Ship Trends'!L$1),"")</f>
        <v/>
      </c>
      <c r="M25" s="29" t="str">
        <f>IFERROR(AVERAGEIFS(Ships!#REF!,Ships!$H$3:$H$408,'Ship Trends'!$K25,Ships!$I$3:$I$408,'Ship Trends'!M$1),"")</f>
        <v/>
      </c>
      <c r="N25" s="29" t="str">
        <f>IFERROR(AVERAGEIFS(Ships!#REF!,Ships!$H$3:$H$408,'Ship Trends'!$K25,Ships!$I$3:$I$408,'Ship Trends'!N$1),"")</f>
        <v/>
      </c>
      <c r="O25" s="29" t="str">
        <f>IFERROR(AVERAGEIFS(Ships!#REF!,Ships!$H$3:$H$408,'Ship Trends'!$K25,Ships!$I$3:$I$408,'Ship Trends'!O$1),"")</f>
        <v/>
      </c>
      <c r="P25">
        <v>2003</v>
      </c>
      <c r="Q25" s="29" t="e">
        <f>AVERAGEIFS(Ships!#REF!,Ships!I:$I,'Ship Trends'!$P25)</f>
        <v>#REF!</v>
      </c>
      <c r="R25" s="41">
        <f>AVERAGEIFS(Ships!O:O,Ships!$I:$I,'Ship Trends'!$P25)</f>
        <v>37.25</v>
      </c>
      <c r="S25" s="37">
        <f>AVERAGEIFS(Ships!$P:$P,Ships!I:$I,'Ship Trends'!$P25)</f>
        <v>1751.375</v>
      </c>
      <c r="T25" s="37">
        <f>AVERAGEIFS(Ships!Q:Q,Ships!$I:$I,'Ship Trends'!$P25)</f>
        <v>415.07142857142856</v>
      </c>
      <c r="U25" s="37"/>
      <c r="V25" s="37">
        <f>AVERAGEIFS(Ships!R:R,Ships!$I:$I,'Ship Trends'!$P25)</f>
        <v>277.51468547870428</v>
      </c>
      <c r="W25" s="37">
        <f>AVERAGEIFS(Ships!S:S,Ships!$I:$I,'Ship Trends'!$P25)</f>
        <v>377.85714285714283</v>
      </c>
      <c r="X25" s="37">
        <f>CPI!B105</f>
        <v>184.3</v>
      </c>
      <c r="Z25" s="36">
        <f t="shared" si="0"/>
        <v>540.6513681109991</v>
      </c>
    </row>
    <row r="26" spans="11:26">
      <c r="K26" s="2" t="s">
        <v>317</v>
      </c>
      <c r="L26" s="29" t="str">
        <f>IFERROR(AVERAGEIFS(Ships!#REF!,Ships!$H$3:$H$408,'Ship Trends'!$K26,Ships!$I$3:$I$408,'Ship Trends'!L$1),"")</f>
        <v/>
      </c>
      <c r="M26" s="29" t="str">
        <f>IFERROR(AVERAGEIFS(Ships!#REF!,Ships!$H$3:$H$408,'Ship Trends'!$K26,Ships!$I$3:$I$408,'Ship Trends'!M$1),"")</f>
        <v/>
      </c>
      <c r="N26" s="29" t="str">
        <f>IFERROR(AVERAGEIFS(Ships!#REF!,Ships!$H$3:$H$408,'Ship Trends'!$K26,Ships!$I$3:$I$408,'Ship Trends'!N$1),"")</f>
        <v/>
      </c>
      <c r="O26" s="29" t="str">
        <f>IFERROR(AVERAGEIFS(Ships!#REF!,Ships!$H$3:$H$408,'Ship Trends'!$K26,Ships!$I$3:$I$408,'Ship Trends'!O$1),"")</f>
        <v/>
      </c>
      <c r="P26">
        <v>2004</v>
      </c>
      <c r="Q26" s="29" t="e">
        <f>AVERAGEIFS(Ships!#REF!,Ships!I:$I,'Ship Trends'!$P26)</f>
        <v>#REF!</v>
      </c>
      <c r="R26" s="41">
        <f>AVERAGEIFS(Ships!O:O,Ships!$I:$I,'Ship Trends'!$P26)</f>
        <v>31.3</v>
      </c>
      <c r="S26" s="37">
        <f>AVERAGEIFS(Ships!$P:$P,Ships!I:$I,'Ship Trends'!$P26)</f>
        <v>2428.6</v>
      </c>
      <c r="T26" s="37">
        <f>AVERAGEIFS(Ships!Q:Q,Ships!$I:$I,'Ship Trends'!$P26)</f>
        <v>383.5</v>
      </c>
      <c r="U26" s="37"/>
      <c r="V26" s="37">
        <f>AVERAGEIFS(Ships!R:R,Ships!$I:$I,'Ship Trends'!$P26)</f>
        <v>157.24337207157669</v>
      </c>
      <c r="W26" s="37">
        <f>AVERAGEIFS(Ships!S:S,Ships!$I:$I,'Ship Trends'!$P26)</f>
        <v>207</v>
      </c>
      <c r="X26" s="37">
        <f>CPI!B106</f>
        <v>190.3</v>
      </c>
      <c r="Z26" s="36">
        <f t="shared" si="0"/>
        <v>483.77829742511824</v>
      </c>
    </row>
    <row r="27" spans="11:26">
      <c r="K27" s="2" t="s">
        <v>797</v>
      </c>
      <c r="L27" s="29" t="str">
        <f>IFERROR(AVERAGEIFS(Ships!#REF!,Ships!$H$3:$H$408,'Ship Trends'!$K27,Ships!$I$3:$I$408,'Ship Trends'!L$1),"")</f>
        <v/>
      </c>
      <c r="M27" s="29" t="str">
        <f>IFERROR(AVERAGEIFS(Ships!#REF!,Ships!$H$3:$H$408,'Ship Trends'!$K27,Ships!$I$3:$I$408,'Ship Trends'!M$1),"")</f>
        <v/>
      </c>
      <c r="N27" s="29" t="str">
        <f>IFERROR(AVERAGEIFS(Ships!#REF!,Ships!$H$3:$H$408,'Ship Trends'!$K27,Ships!$I$3:$I$408,'Ship Trends'!N$1),"")</f>
        <v/>
      </c>
      <c r="O27" s="29" t="str">
        <f>IFERROR(AVERAGEIFS(Ships!#REF!,Ships!$H$3:$H$408,'Ship Trends'!$K27,Ships!$I$3:$I$408,'Ship Trends'!O$1),"")</f>
        <v/>
      </c>
      <c r="P27">
        <v>2005</v>
      </c>
      <c r="Q27" s="29" t="e">
        <f>AVERAGEIFS(Ships!#REF!,Ships!I:$I,'Ship Trends'!$P27)</f>
        <v>#REF!</v>
      </c>
      <c r="R27" s="41">
        <f>AVERAGEIFS(Ships!O:O,Ships!$I:$I,'Ship Trends'!$P27)</f>
        <v>32.200000000000003</v>
      </c>
      <c r="S27" s="37">
        <f>AVERAGEIFS(Ships!$P:$P,Ships!I:$I,'Ship Trends'!$P27)</f>
        <v>1910.8</v>
      </c>
      <c r="T27" s="37">
        <f>AVERAGEIFS(Ships!Q:Q,Ships!$I:$I,'Ship Trends'!$P27)</f>
        <v>435</v>
      </c>
      <c r="U27" s="37"/>
      <c r="V27" s="37">
        <f>AVERAGEIFS(Ships!R:R,Ships!$I:$I,'Ship Trends'!$P27)</f>
        <v>186.70408160072373</v>
      </c>
      <c r="W27" s="37">
        <f>AVERAGEIFS(Ships!S:S,Ships!$I:$I,'Ship Trends'!$P27)</f>
        <v>251.54515323237396</v>
      </c>
      <c r="X27" s="37">
        <f>CPI!B107</f>
        <v>196.8</v>
      </c>
      <c r="Z27" s="36">
        <f t="shared" si="0"/>
        <v>530.62042682926824</v>
      </c>
    </row>
    <row r="28" spans="11:26">
      <c r="K28" s="2" t="s">
        <v>420</v>
      </c>
      <c r="L28" s="29" t="str">
        <f>IFERROR(AVERAGEIFS(Ships!#REF!,Ships!$H$3:$H$408,'Ship Trends'!$K28,Ships!$I$3:$I$408,'Ship Trends'!L$1),"")</f>
        <v/>
      </c>
      <c r="M28" s="29" t="str">
        <f>IFERROR(AVERAGEIFS(Ships!#REF!,Ships!$H$3:$H$408,'Ship Trends'!$K28,Ships!$I$3:$I$408,'Ship Trends'!M$1),"")</f>
        <v/>
      </c>
      <c r="N28" s="29" t="str">
        <f>IFERROR(AVERAGEIFS(Ships!#REF!,Ships!$H$3:$H$408,'Ship Trends'!$K28,Ships!$I$3:$I$408,'Ship Trends'!N$1),"")</f>
        <v/>
      </c>
      <c r="O28" s="29" t="str">
        <f>IFERROR(AVERAGEIFS(Ships!#REF!,Ships!$H$3:$H$408,'Ship Trends'!$K28,Ships!$I$3:$I$408,'Ship Trends'!O$1),"")</f>
        <v/>
      </c>
      <c r="P28">
        <v>2006</v>
      </c>
      <c r="Q28" s="29" t="e">
        <f>AVERAGEIFS(Ships!#REF!,Ships!I:$I,'Ship Trends'!$P28)</f>
        <v>#REF!</v>
      </c>
      <c r="R28" s="41">
        <f>AVERAGEIFS(Ships!O:O,Ships!$I:$I,'Ship Trends'!$P28)</f>
        <v>32.200000000000003</v>
      </c>
      <c r="S28" s="37">
        <f>AVERAGEIFS(Ships!$P:$P,Ships!I:$I,'Ship Trends'!$P28)</f>
        <v>2754</v>
      </c>
      <c r="T28" s="37">
        <f>AVERAGEIFS(Ships!Q:Q,Ships!$I:$I,'Ship Trends'!$P28)</f>
        <v>512</v>
      </c>
      <c r="U28" s="37"/>
      <c r="V28" s="37">
        <f>AVERAGEIFS(Ships!R:R,Ships!$I:$I,'Ship Trends'!$P28)</f>
        <v>185.37691009594832</v>
      </c>
      <c r="W28" s="37">
        <f>AVERAGEIFS(Ships!S:S,Ships!$I:$I,'Ship Trends'!$P28)</f>
        <v>228</v>
      </c>
      <c r="X28" s="37">
        <f>CPI!B108</f>
        <v>201.8</v>
      </c>
      <c r="Z28" s="36">
        <f t="shared" si="0"/>
        <v>609.07195242814669</v>
      </c>
    </row>
    <row r="29" spans="11:26">
      <c r="K29" s="2" t="s">
        <v>500</v>
      </c>
      <c r="L29" s="29" t="str">
        <f>IFERROR(AVERAGEIFS(Ships!#REF!,Ships!$H$3:$H$408,'Ship Trends'!$K29,Ships!$I$3:$I$408,'Ship Trends'!L$1),"")</f>
        <v/>
      </c>
      <c r="M29" s="29" t="str">
        <f>IFERROR(AVERAGEIFS(Ships!#REF!,Ships!$H$3:$H$408,'Ship Trends'!$K29,Ships!$I$3:$I$408,'Ship Trends'!M$1),"")</f>
        <v/>
      </c>
      <c r="N29" s="29" t="str">
        <f>IFERROR(AVERAGEIFS(Ships!#REF!,Ships!$H$3:$H$408,'Ship Trends'!$K29,Ships!$I$3:$I$408,'Ship Trends'!N$1),"")</f>
        <v/>
      </c>
      <c r="O29" s="29" t="str">
        <f>IFERROR(AVERAGEIFS(Ships!#REF!,Ships!$H$3:$H$408,'Ship Trends'!$K29,Ships!$I$3:$I$408,'Ship Trends'!O$1),"")</f>
        <v/>
      </c>
      <c r="P29">
        <v>2007</v>
      </c>
      <c r="Q29" s="29" t="e">
        <f>AVERAGEIFS(Ships!#REF!,Ships!I:$I,'Ship Trends'!$P29)</f>
        <v>#REF!</v>
      </c>
      <c r="R29" s="41">
        <f>AVERAGEIFS(Ships!O:O,Ships!$I:$I,'Ship Trends'!$P29)</f>
        <v>33.53846153846154</v>
      </c>
      <c r="S29" s="37">
        <f>AVERAGEIFS(Ships!$P:$P,Ships!I:$I,'Ship Trends'!$P29)</f>
        <v>1986.1538461538462</v>
      </c>
      <c r="T29" s="37">
        <f>AVERAGEIFS(Ships!Q:Q,Ships!$I:$I,'Ship Trends'!$P29)</f>
        <v>451.81818181818181</v>
      </c>
      <c r="U29" s="37"/>
      <c r="V29" s="37">
        <f>AVERAGEIFS(Ships!R:R,Ships!$I:$I,'Ship Trends'!$P29)</f>
        <v>197.87645296091452</v>
      </c>
      <c r="W29" s="37">
        <f>AVERAGEIFS(Ships!S:S,Ships!$I:$I,'Ship Trends'!$P29)</f>
        <v>234.54545454545453</v>
      </c>
      <c r="X29" s="37">
        <f>CPI!B109</f>
        <v>210</v>
      </c>
      <c r="Z29" s="36">
        <f t="shared" si="0"/>
        <v>516.49272727272728</v>
      </c>
    </row>
    <row r="30" spans="11:26">
      <c r="K30" s="2" t="s">
        <v>65</v>
      </c>
      <c r="L30" s="29" t="str">
        <f>IFERROR(AVERAGEIFS(Ships!#REF!,Ships!$H$3:$H$408,'Ship Trends'!$K30,Ships!$I$3:$I$408,'Ship Trends'!L$1),"")</f>
        <v/>
      </c>
      <c r="M30" s="29" t="str">
        <f>IFERROR(AVERAGEIFS(Ships!#REF!,Ships!$H$3:$H$408,'Ship Trends'!$K30,Ships!$I$3:$I$408,'Ship Trends'!M$1),"")</f>
        <v/>
      </c>
      <c r="N30" s="29" t="str">
        <f>IFERROR(AVERAGEIFS(Ships!#REF!,Ships!$H$3:$H$408,'Ship Trends'!$K30,Ships!$I$3:$I$408,'Ship Trends'!N$1),"")</f>
        <v/>
      </c>
      <c r="O30" s="29" t="str">
        <f>IFERROR(AVERAGEIFS(Ships!#REF!,Ships!$H$3:$H$408,'Ship Trends'!$K30,Ships!$I$3:$I$408,'Ship Trends'!O$1),"")</f>
        <v/>
      </c>
      <c r="P30">
        <v>2008</v>
      </c>
      <c r="Q30" s="29" t="e">
        <f>AVERAGEIFS(Ships!#REF!,Ships!I:$I,'Ship Trends'!$P30)</f>
        <v>#REF!</v>
      </c>
      <c r="R30" s="41">
        <f>AVERAGEIFS(Ships!O:O,Ships!$I:$I,'Ship Trends'!$P30)</f>
        <v>33</v>
      </c>
      <c r="S30" s="37">
        <f>AVERAGEIFS(Ships!$P:$P,Ships!I:$I,'Ship Trends'!$P30)</f>
        <v>2848.4444444444443</v>
      </c>
      <c r="T30" s="37">
        <f>AVERAGEIFS(Ships!Q:Q,Ships!$I:$I,'Ship Trends'!$P30)</f>
        <v>531.11111111111109</v>
      </c>
      <c r="U30" s="37"/>
      <c r="V30" s="37">
        <f>AVERAGEIFS(Ships!R:R,Ships!$I:$I,'Ship Trends'!$P30)</f>
        <v>187.60143717471161</v>
      </c>
      <c r="W30" s="37">
        <f>AVERAGEIFS(Ships!S:S,Ships!$I:$I,'Ship Trends'!$P30)</f>
        <v>224.44444444444446</v>
      </c>
      <c r="X30" s="37">
        <f>CPI!B110</f>
        <v>210.22800000000001</v>
      </c>
      <c r="Z30" s="36">
        <f t="shared" si="0"/>
        <v>606.47741182589061</v>
      </c>
    </row>
    <row r="31" spans="11:26">
      <c r="K31" s="2" t="s">
        <v>316</v>
      </c>
      <c r="L31" s="29" t="str">
        <f>IFERROR(AVERAGEIFS(Ships!#REF!,Ships!$H$3:$H$408,'Ship Trends'!$K31,Ships!$I$3:$I$408,'Ship Trends'!L$1),"")</f>
        <v/>
      </c>
      <c r="M31" s="29" t="str">
        <f>IFERROR(AVERAGEIFS(Ships!#REF!,Ships!$H$3:$H$408,'Ship Trends'!$K31,Ships!$I$3:$I$408,'Ship Trends'!M$1),"")</f>
        <v/>
      </c>
      <c r="N31" s="29" t="str">
        <f>IFERROR(AVERAGEIFS(Ships!#REF!,Ships!$H$3:$H$408,'Ship Trends'!$K31,Ships!$I$3:$I$408,'Ship Trends'!N$1),"")</f>
        <v/>
      </c>
      <c r="O31" s="29" t="str">
        <f>IFERROR(AVERAGEIFS(Ships!#REF!,Ships!$H$3:$H$408,'Ship Trends'!$K31,Ships!$I$3:$I$408,'Ship Trends'!O$1),"")</f>
        <v/>
      </c>
      <c r="P31">
        <v>2009</v>
      </c>
      <c r="Q31" s="29" t="e">
        <f>AVERAGEIFS(Ships!#REF!,Ships!I:$I,'Ship Trends'!$P31)</f>
        <v>#REF!</v>
      </c>
      <c r="R31" s="41">
        <f>AVERAGEIFS(Ships!O:O,Ships!$I:$I,'Ship Trends'!$P31)</f>
        <v>39.111111111111114</v>
      </c>
      <c r="S31" s="37">
        <f>AVERAGEIFS(Ships!$P:$P,Ships!I:$I,'Ship Trends'!$P31)</f>
        <v>2623.5555555555557</v>
      </c>
      <c r="T31" s="37">
        <f>AVERAGEIFS(Ships!Q:Q,Ships!$I:$I,'Ship Trends'!$P31)</f>
        <v>605.74</v>
      </c>
      <c r="U31" s="37"/>
      <c r="V31" s="37">
        <f>AVERAGEIFS(Ships!R:R,Ships!$I:$I,'Ship Trends'!$P31)</f>
        <v>284.63274251865937</v>
      </c>
      <c r="W31" s="37">
        <f>AVERAGEIFS(Ships!S:S,Ships!$I:$I,'Ship Trends'!$P31)</f>
        <v>326.66666666666669</v>
      </c>
      <c r="X31" s="37">
        <f>CPI!B111</f>
        <v>215.94900000000001</v>
      </c>
      <c r="Z31" s="36">
        <f t="shared" si="0"/>
        <v>673.37169609491127</v>
      </c>
    </row>
    <row r="32" spans="11:26">
      <c r="K32" s="2" t="s">
        <v>288</v>
      </c>
      <c r="L32" s="29" t="str">
        <f>IFERROR(AVERAGEIFS(Ships!#REF!,Ships!$H$3:$H$408,'Ship Trends'!$K32,Ships!$I$3:$I$408,'Ship Trends'!L$1),"")</f>
        <v/>
      </c>
      <c r="M32" s="29" t="str">
        <f>IFERROR(AVERAGEIFS(Ships!#REF!,Ships!$H$3:$H$408,'Ship Trends'!$K32,Ships!$I$3:$I$408,'Ship Trends'!M$1),"")</f>
        <v/>
      </c>
      <c r="N32" s="29" t="str">
        <f>IFERROR(AVERAGEIFS(Ships!#REF!,Ships!$H$3:$H$408,'Ship Trends'!$K32,Ships!$I$3:$I$408,'Ship Trends'!N$1),"")</f>
        <v/>
      </c>
      <c r="O32" s="29" t="str">
        <f>IFERROR(AVERAGEIFS(Ships!#REF!,Ships!$H$3:$H$408,'Ship Trends'!$K32,Ships!$I$3:$I$408,'Ship Trends'!O$1),"")</f>
        <v/>
      </c>
      <c r="P32">
        <v>2010</v>
      </c>
      <c r="Q32" s="29" t="e">
        <f>AVERAGEIFS(Ships!#REF!,Ships!I:$I,'Ship Trends'!$P32)</f>
        <v>#REF!</v>
      </c>
      <c r="R32" s="41">
        <f>AVERAGEIFS(Ships!O:O,Ships!$I:$I,'Ship Trends'!$P32)</f>
        <v>38.92307692307692</v>
      </c>
      <c r="S32" s="37">
        <f>AVERAGEIFS(Ships!$P:$P,Ships!I:$I,'Ship Trends'!$P32)</f>
        <v>2323.3076923076924</v>
      </c>
      <c r="T32" s="37">
        <f>AVERAGEIFS(Ships!Q:Q,Ships!$I:$I,'Ship Trends'!$P32)</f>
        <v>610</v>
      </c>
      <c r="U32" s="37"/>
      <c r="V32" s="37">
        <f>AVERAGEIFS(Ships!R:R,Ships!$I:$I,'Ship Trends'!$P32)</f>
        <v>340.83637834899571</v>
      </c>
      <c r="W32" s="37">
        <f>AVERAGEIFS(Ships!S:S,Ships!$I:$I,'Ship Trends'!$P32)</f>
        <v>387.69230769230768</v>
      </c>
      <c r="X32" s="37">
        <f>CPI!B112</f>
        <v>219.179</v>
      </c>
      <c r="Z32" s="36">
        <f t="shared" si="0"/>
        <v>668.1141897718303</v>
      </c>
    </row>
    <row r="33" spans="11:26">
      <c r="K33" s="2" t="s">
        <v>111</v>
      </c>
      <c r="L33" s="29" t="str">
        <f>IFERROR(AVERAGEIFS(Ships!#REF!,Ships!$H$3:$H$408,'Ship Trends'!$K33,Ships!$I$3:$I$408,'Ship Trends'!L$1),"")</f>
        <v/>
      </c>
      <c r="M33" s="29" t="str">
        <f>IFERROR(AVERAGEIFS(Ships!#REF!,Ships!$H$3:$H$408,'Ship Trends'!$K33,Ships!$I$3:$I$408,'Ship Trends'!M$1),"")</f>
        <v/>
      </c>
      <c r="N33" s="29" t="str">
        <f>IFERROR(AVERAGEIFS(Ships!#REF!,Ships!$H$3:$H$408,'Ship Trends'!$K33,Ships!$I$3:$I$408,'Ship Trends'!N$1),"")</f>
        <v/>
      </c>
      <c r="O33" s="29" t="str">
        <f>IFERROR(AVERAGEIFS(Ships!#REF!,Ships!$H$3:$H$408,'Ship Trends'!$K33,Ships!$I$3:$I$408,'Ship Trends'!O$1),"")</f>
        <v/>
      </c>
      <c r="P33">
        <v>2011</v>
      </c>
      <c r="Q33" s="29" t="e">
        <f>AVERAGEIFS(Ships!#REF!,Ships!I:$I,'Ship Trends'!$P33)</f>
        <v>#REF!</v>
      </c>
      <c r="R33" s="41">
        <f>AVERAGEIFS(Ships!O:O,Ships!$I:$I,'Ship Trends'!$P33)</f>
        <v>39.166666666666664</v>
      </c>
      <c r="S33" s="37">
        <f>AVERAGEIFS(Ships!$P:$P,Ships!I:$I,'Ship Trends'!$P33)</f>
        <v>2249.6666666666665</v>
      </c>
      <c r="T33" s="37">
        <f>AVERAGEIFS(Ships!Q:Q,Ships!$I:$I,'Ship Trends'!$P33)</f>
        <v>525</v>
      </c>
      <c r="U33" s="37"/>
      <c r="V33" s="37">
        <f>AVERAGEIFS(Ships!R:R,Ships!$I:$I,'Ship Trends'!$P33)</f>
        <v>294.23678919469347</v>
      </c>
      <c r="W33" s="37">
        <f>AVERAGEIFS(Ships!S:S,Ships!$I:$I,'Ship Trends'!$P33)</f>
        <v>326.66666666666669</v>
      </c>
      <c r="X33" s="37">
        <f>CPI!B113</f>
        <v>225.672</v>
      </c>
      <c r="Z33" s="36">
        <f t="shared" si="0"/>
        <v>558.47203020312668</v>
      </c>
    </row>
    <row r="34" spans="11:26">
      <c r="K34" s="2" t="s">
        <v>354</v>
      </c>
      <c r="L34" s="29" t="str">
        <f>IFERROR(AVERAGEIFS(Ships!#REF!,Ships!$H$3:$H$408,'Ship Trends'!$K34,Ships!$I$3:$I$408,'Ship Trends'!L$1),"")</f>
        <v/>
      </c>
      <c r="M34" s="29" t="str">
        <f>IFERROR(AVERAGEIFS(Ships!#REF!,Ships!$H$3:$H$408,'Ship Trends'!$K34,Ships!$I$3:$I$408,'Ship Trends'!M$1),"")</f>
        <v/>
      </c>
      <c r="N34" s="29" t="str">
        <f>IFERROR(AVERAGEIFS(Ships!#REF!,Ships!$H$3:$H$408,'Ship Trends'!$K34,Ships!$I$3:$I$408,'Ship Trends'!N$1),"")</f>
        <v/>
      </c>
      <c r="O34" s="29" t="str">
        <f>IFERROR(AVERAGEIFS(Ships!#REF!,Ships!$H$3:$H$408,'Ship Trends'!$K34,Ships!$I$3:$I$408,'Ship Trends'!O$1),"")</f>
        <v/>
      </c>
      <c r="P34">
        <v>2012</v>
      </c>
      <c r="Q34" s="29" t="e">
        <f>AVERAGEIFS(Ships!#REF!,Ships!I:$I,'Ship Trends'!$P34)</f>
        <v>#REF!</v>
      </c>
      <c r="R34" s="41">
        <f>AVERAGEIFS(Ships!O:O,Ships!$I:$I,'Ship Trends'!$P34)</f>
        <v>34.857142857142854</v>
      </c>
      <c r="S34" s="37">
        <f>AVERAGEIFS(Ships!$P:$P,Ships!I:$I,'Ship Trends'!$P34)</f>
        <v>2743.4285714285716</v>
      </c>
      <c r="T34" s="37">
        <f>AVERAGEIFS(Ships!Q:Q,Ships!$I:$I,'Ship Trends'!$P34)</f>
        <v>628.57142857142856</v>
      </c>
      <c r="U34" s="37"/>
      <c r="V34" s="37">
        <f>AVERAGEIFS(Ships!R:R,Ships!$I:$I,'Ship Trends'!$P34)</f>
        <v>247.95217106579591</v>
      </c>
      <c r="W34" s="37">
        <f>AVERAGEIFS(Ships!S:S,Ships!$I:$I,'Ship Trends'!$P34)</f>
        <v>270</v>
      </c>
      <c r="X34" s="37">
        <f>CPI!B114</f>
        <v>229.601</v>
      </c>
      <c r="Z34" s="36">
        <f t="shared" si="0"/>
        <v>657.20470356338672</v>
      </c>
    </row>
    <row r="35" spans="11:26">
      <c r="K35" s="2" t="s">
        <v>374</v>
      </c>
      <c r="L35" s="29" t="str">
        <f>IFERROR(AVERAGEIFS(Ships!#REF!,Ships!$H$3:$H$408,'Ship Trends'!$K35,Ships!$I$3:$I$408,'Ship Trends'!L$1),"")</f>
        <v/>
      </c>
      <c r="M35" s="29" t="str">
        <f>IFERROR(AVERAGEIFS(Ships!#REF!,Ships!$H$3:$H$408,'Ship Trends'!$K35,Ships!$I$3:$I$408,'Ship Trends'!M$1),"")</f>
        <v/>
      </c>
      <c r="N35" s="29" t="str">
        <f>IFERROR(AVERAGEIFS(Ships!#REF!,Ships!$H$3:$H$408,'Ship Trends'!$K35,Ships!$I$3:$I$408,'Ship Trends'!N$1),"")</f>
        <v/>
      </c>
      <c r="O35" s="29" t="str">
        <f>IFERROR(AVERAGEIFS(Ships!#REF!,Ships!$H$3:$H$408,'Ship Trends'!$K35,Ships!$I$3:$I$408,'Ship Trends'!O$1),"")</f>
        <v/>
      </c>
      <c r="P35">
        <v>2013</v>
      </c>
      <c r="Q35" s="29" t="e">
        <f>AVERAGEIFS(Ships!#REF!,Ships!I:$I,'Ship Trends'!$P35)</f>
        <v>#REF!</v>
      </c>
      <c r="R35" s="41">
        <f>AVERAGEIFS(Ships!O:O,Ships!$I:$I,'Ship Trends'!$P35)</f>
        <v>43.166666666666664</v>
      </c>
      <c r="S35" s="37">
        <f>AVERAGEIFS(Ships!$P:$P,Ships!I:$I,'Ship Trends'!$P35)</f>
        <v>2322.8333333333335</v>
      </c>
      <c r="T35" s="37">
        <f>AVERAGEIFS(Ships!Q:Q,Ships!$I:$I,'Ship Trends'!$P35)</f>
        <v>510.66666666666669</v>
      </c>
      <c r="U35" s="37"/>
      <c r="V35" s="37">
        <f>AVERAGEIFS(Ships!R:R,Ships!$I:$I,'Ship Trends'!$P35)</f>
        <v>348.74395867758523</v>
      </c>
      <c r="W35" s="37">
        <f>AVERAGEIFS(Ships!S:S,Ships!$I:$I,'Ship Trends'!$P35)</f>
        <v>375</v>
      </c>
      <c r="X35" s="37">
        <f>CPI!B115</f>
        <v>233.04900000000001</v>
      </c>
      <c r="Z35" s="36">
        <f t="shared" si="0"/>
        <v>526.0294616153684</v>
      </c>
    </row>
    <row r="36" spans="11:26">
      <c r="K36" s="2" t="s">
        <v>438</v>
      </c>
      <c r="L36" s="29" t="str">
        <f>IFERROR(AVERAGEIFS(Ships!#REF!,Ships!$H$3:$H$408,'Ship Trends'!$K36,Ships!$I$3:$I$408,'Ship Trends'!L$1),"")</f>
        <v/>
      </c>
      <c r="M36" s="29" t="str">
        <f>IFERROR(AVERAGEIFS(Ships!#REF!,Ships!$H$3:$H$408,'Ship Trends'!$K36,Ships!$I$3:$I$408,'Ship Trends'!M$1),"")</f>
        <v/>
      </c>
      <c r="N36" s="29" t="str">
        <f>IFERROR(AVERAGEIFS(Ships!#REF!,Ships!$H$3:$H$408,'Ship Trends'!$K36,Ships!$I$3:$I$408,'Ship Trends'!N$1),"")</f>
        <v/>
      </c>
      <c r="O36" s="29" t="str">
        <f>IFERROR(AVERAGEIFS(Ships!#REF!,Ships!$H$3:$H$408,'Ship Trends'!$K36,Ships!$I$3:$I$408,'Ship Trends'!O$1),"")</f>
        <v/>
      </c>
      <c r="P36">
        <v>2014</v>
      </c>
      <c r="Q36" s="29" t="e">
        <f>AVERAGEIFS(Ships!#REF!,Ships!I:$I,'Ship Trends'!$P36)</f>
        <v>#REF!</v>
      </c>
      <c r="R36" s="41">
        <f>AVERAGEIFS(Ships!O:O,Ships!$I:$I,'Ship Trends'!$P36)</f>
        <v>33.666666666666664</v>
      </c>
      <c r="S36" s="37">
        <f>AVERAGEIFS(Ships!$P:$P,Ships!I:$I,'Ship Trends'!$P36)</f>
        <v>3046.1666666666665</v>
      </c>
      <c r="T36" s="37">
        <f>AVERAGEIFS(Ships!Q:Q,Ships!$I:$I,'Ship Trends'!$P36)</f>
        <v>760</v>
      </c>
      <c r="U36" s="37"/>
      <c r="V36" s="37">
        <f>AVERAGEIFS(Ships!R:R,Ships!$I:$I,'Ship Trends'!$P36)</f>
        <v>211.19443595926495</v>
      </c>
      <c r="W36" s="37">
        <f>AVERAGEIFS(Ships!S:S,Ships!$I:$I,'Ship Trends'!$P36)</f>
        <v>226</v>
      </c>
      <c r="X36" s="37">
        <f>CPI!B116</f>
        <v>234.81200000000001</v>
      </c>
      <c r="Z36" s="36">
        <f t="shared" si="0"/>
        <v>776.98584399434435</v>
      </c>
    </row>
    <row r="37" spans="11:26">
      <c r="K37" s="2" t="s">
        <v>332</v>
      </c>
      <c r="L37" s="29" t="str">
        <f>IFERROR(AVERAGEIFS(Ships!#REF!,Ships!$H$3:$H$408,'Ship Trends'!$K37,Ships!$I$3:$I$408,'Ship Trends'!L$1),"")</f>
        <v/>
      </c>
      <c r="M37" s="29" t="str">
        <f>IFERROR(AVERAGEIFS(Ships!#REF!,Ships!$H$3:$H$408,'Ship Trends'!$K37,Ships!$I$3:$I$408,'Ship Trends'!M$1),"")</f>
        <v/>
      </c>
      <c r="N37" s="29" t="str">
        <f>IFERROR(AVERAGEIFS(Ships!#REF!,Ships!$H$3:$H$408,'Ship Trends'!$K37,Ships!$I$3:$I$408,'Ship Trends'!N$1),"")</f>
        <v/>
      </c>
      <c r="O37" s="29" t="str">
        <f>IFERROR(AVERAGEIFS(Ships!#REF!,Ships!$H$3:$H$408,'Ship Trends'!$K37,Ships!$I$3:$I$408,'Ship Trends'!O$1),"")</f>
        <v/>
      </c>
      <c r="P37">
        <v>2015</v>
      </c>
      <c r="Q37" s="29" t="e">
        <f>AVERAGEIFS(Ships!#REF!,Ships!I:$I,'Ship Trends'!$P37)</f>
        <v>#REF!</v>
      </c>
      <c r="R37" s="41">
        <f>AVERAGEIFS(Ships!O:O,Ships!$I:$I,'Ship Trends'!$P37)</f>
        <v>41</v>
      </c>
      <c r="S37" s="37">
        <f>AVERAGEIFS(Ships!$P:$P,Ships!I:$I,'Ship Trends'!$P37)</f>
        <v>2621.8333333333335</v>
      </c>
      <c r="T37" s="37">
        <f>AVERAGEIFS(Ships!Q:Q,Ships!$I:$I,'Ship Trends'!$P37)</f>
        <v>602.16666666666663</v>
      </c>
      <c r="U37" s="37"/>
      <c r="V37" s="37">
        <f>AVERAGEIFS(Ships!R:R,Ships!$I:$I,'Ship Trends'!$P37)</f>
        <v>310.63275881242788</v>
      </c>
      <c r="W37" s="37">
        <f>AVERAGEIFS(Ships!S:S,Ships!$I:$I,'Ship Trends'!$P37)</f>
        <v>328.33333333333331</v>
      </c>
      <c r="X37" s="37">
        <f>CPI!B117</f>
        <v>236.99299999999999</v>
      </c>
      <c r="Z37" s="36">
        <f t="shared" si="0"/>
        <v>609.95949247446129</v>
      </c>
    </row>
    <row r="38" spans="11:26">
      <c r="K38" s="2" t="s">
        <v>370</v>
      </c>
      <c r="L38" s="29" t="str">
        <f>IFERROR(AVERAGEIFS(Ships!#REF!,Ships!$H$3:$H$408,'Ship Trends'!$K38,Ships!$I$3:$I$408,'Ship Trends'!L$1),"")</f>
        <v/>
      </c>
      <c r="M38" s="29" t="str">
        <f>IFERROR(AVERAGEIFS(Ships!#REF!,Ships!$H$3:$H$408,'Ship Trends'!$K38,Ships!$I$3:$I$408,'Ship Trends'!M$1),"")</f>
        <v/>
      </c>
      <c r="N38" s="29" t="str">
        <f>IFERROR(AVERAGEIFS(Ships!#REF!,Ships!$H$3:$H$408,'Ship Trends'!$K38,Ships!$I$3:$I$408,'Ship Trends'!N$1),"")</f>
        <v/>
      </c>
      <c r="O38" s="29" t="str">
        <f>IFERROR(AVERAGEIFS(Ships!#REF!,Ships!$H$3:$H$408,'Ship Trends'!$K38,Ships!$I$3:$I$408,'Ship Trends'!O$1),"")</f>
        <v/>
      </c>
      <c r="P38">
        <v>2016</v>
      </c>
      <c r="Q38" s="29" t="e">
        <f>AVERAGEIFS(Ships!#REF!,Ships!I:$I,'Ship Trends'!$P38)</f>
        <v>#REF!</v>
      </c>
      <c r="R38" s="41">
        <f>AVERAGEIFS(Ships!O:O,Ships!$I:$I,'Ship Trends'!$P38)</f>
        <v>43.6</v>
      </c>
      <c r="S38" s="37">
        <f>AVERAGEIFS(Ships!P:P,Ships!$I:$I,'Ship Trends'!$P38)</f>
        <v>2769.3</v>
      </c>
      <c r="T38" s="37">
        <f>AVERAGEIFS(Ships!Q:Q,Ships!$I:$I,'Ship Trends'!$P38)</f>
        <v>687.8</v>
      </c>
      <c r="U38" s="37"/>
      <c r="V38" s="37">
        <f>AVERAGEIFS(Ships!R:R,Ships!$I:$I,'Ship Trends'!$P38)</f>
        <v>297.83502848484966</v>
      </c>
      <c r="W38" s="37">
        <f>AVERAGEIFS(Ships!S:S,Ships!$I:$I,'Ship Trends'!$P38)</f>
        <v>311</v>
      </c>
      <c r="X38" s="37">
        <f>CPI!B118</f>
        <v>240.06</v>
      </c>
      <c r="Y38" s="37"/>
      <c r="Z38" s="36">
        <f t="shared" si="0"/>
        <v>687.8</v>
      </c>
    </row>
    <row r="39" spans="11:26">
      <c r="P39">
        <v>2017</v>
      </c>
      <c r="Q39" s="29" t="e">
        <f>AVERAGEIFS(Ships!#REF!,Ships!I:$I,'Ship Trends'!$P39)</f>
        <v>#REF!</v>
      </c>
      <c r="R39" s="41">
        <f>AVERAGEIFS(Ships!O:O,Ships!$I:$I,'Ship Trends'!$P39)</f>
        <v>39.81818181818182</v>
      </c>
      <c r="S39" s="37">
        <f>AVERAGEIFS(Ships!P:P,Ships!$I:$I,'Ship Trends'!$P39)</f>
        <v>2551.6363636363635</v>
      </c>
      <c r="T39" s="37">
        <f>AVERAGEIFS(Ships!Q:Q,Ships!$I:$I,'Ship Trends'!$P39)</f>
        <v>619.90909090909088</v>
      </c>
      <c r="U39" s="37"/>
      <c r="V39" s="37">
        <f>AVERAGEIFS(Ships!R:R,Ships!$I:$I,'Ship Trends'!$P39)</f>
        <v>351.35343259455601</v>
      </c>
      <c r="W39" s="37">
        <f>AVERAGEIFS(Ships!S:S,Ships!$I:$I,'Ship Trends'!$P39)</f>
        <v>358.18181818181819</v>
      </c>
      <c r="X39" s="37">
        <f>CPI!B119</f>
        <v>245.13900000000001</v>
      </c>
      <c r="Y39" s="37"/>
      <c r="Z39" s="36">
        <f t="shared" ref="Z39" si="1">$X$38/X39*T39</f>
        <v>607.06528281357248</v>
      </c>
    </row>
    <row r="40" spans="11:26">
      <c r="P40">
        <v>2018</v>
      </c>
      <c r="R40" s="41">
        <f>AVERAGEIFS(Ships!O:O,Ships!$I:$I,'Ship Trends'!$P40)</f>
        <v>40.926544898940541</v>
      </c>
      <c r="S40" s="37">
        <f>AVERAGEIFS(Ships!P:P,Ships!$I:$I,'Ship Trends'!$P40)</f>
        <v>2255.0666666666666</v>
      </c>
      <c r="T40" s="37">
        <f>AVERAGEIFS(Ships!Q:Q,Ships!$I:$I,'Ship Trends'!$P40)</f>
        <v>562.33333333333337</v>
      </c>
      <c r="U40" s="37"/>
      <c r="V40" s="37">
        <f>AVERAGEIFS(Ships!R:R,Ships!$I:$I,'Ship Trends'!$P40)</f>
        <v>420.66417191981486</v>
      </c>
      <c r="W40" s="37">
        <f>AVERAGEIFS(Ships!S:S,Ships!$I:$I,'Ship Trends'!$P40)</f>
        <v>420.66666666666669</v>
      </c>
      <c r="X40" s="37">
        <f>CPI!B120</f>
        <v>250.04178000000002</v>
      </c>
      <c r="Y40" s="37"/>
      <c r="Z40" s="36">
        <f t="shared" ref="Z40:Z42" si="2">$X$38/X40*T40</f>
        <v>539.88473446317653</v>
      </c>
    </row>
    <row r="41" spans="11:26">
      <c r="K41" s="29"/>
      <c r="L41" s="29"/>
      <c r="M41" s="29"/>
      <c r="N41" s="29"/>
      <c r="O41" s="29"/>
      <c r="P41">
        <v>2019</v>
      </c>
      <c r="R41" s="41">
        <f>AVERAGEIFS(Ships!O:O,Ships!$I:$I,'Ship Trends'!$P41)</f>
        <v>46.667486852452406</v>
      </c>
      <c r="S41" s="37">
        <f>AVERAGEIFS(Ships!P:P,Ships!$I:$I,'Ship Trends'!$P41)</f>
        <v>1847.1304347826087</v>
      </c>
      <c r="T41" s="37">
        <f>AVERAGEIFS(Ships!Q:Q,Ships!$I:$I,'Ship Trends'!$P41)</f>
        <v>439.13043478260869</v>
      </c>
      <c r="U41" s="37"/>
      <c r="V41" s="37">
        <f>AVERAGEIFS(Ships!R:R,Ships!$I:$I,'Ship Trends'!$P41)</f>
        <v>414.11348440278095</v>
      </c>
      <c r="W41" s="37">
        <f>AVERAGEIFS(Ships!S:S,Ships!$I:$I,'Ship Trends'!$P41)</f>
        <v>406.95652173913044</v>
      </c>
      <c r="X41" s="37">
        <f>CPI!B121</f>
        <v>255.04261560000003</v>
      </c>
      <c r="Y41" s="37"/>
      <c r="Z41" s="36">
        <f t="shared" si="2"/>
        <v>413.33348125336988</v>
      </c>
    </row>
    <row r="42" spans="11:26">
      <c r="P42">
        <v>2020</v>
      </c>
      <c r="R42" s="41">
        <f>AVERAGEIFS(Ships!O:O,Ships!$I:$I,'Ship Trends'!$P42)</f>
        <v>51.125546718031323</v>
      </c>
      <c r="S42" s="37">
        <f>AVERAGEIFS(Ships!P:P,Ships!$I:$I,'Ship Trends'!$P42)</f>
        <v>2178.3157894736842</v>
      </c>
      <c r="T42" s="37">
        <f>AVERAGEIFS(Ships!Q:Q,Ships!$I:$I,'Ship Trends'!$P42)</f>
        <v>534.10526315789468</v>
      </c>
      <c r="U42" s="37"/>
      <c r="V42" s="37">
        <f>AVERAGEIFS(Ships!R:R,Ships!$I:$I,'Ship Trends'!$P42)</f>
        <v>464.07094028343118</v>
      </c>
      <c r="W42" s="37">
        <f>AVERAGEIFS(Ships!S:S,Ships!$I:$I,'Ship Trends'!$P42)</f>
        <v>446.84210526315792</v>
      </c>
      <c r="X42" s="37">
        <f>CPI!B122</f>
        <v>260.14346791200006</v>
      </c>
      <c r="Y42" s="37"/>
      <c r="Z42" s="36">
        <f t="shared" si="2"/>
        <v>492.87153163137219</v>
      </c>
    </row>
    <row r="43" spans="11:26">
      <c r="P43">
        <v>2021</v>
      </c>
      <c r="R43" s="41">
        <f>AVERAGEIFS(Ships!O:O,Ships!$I:$I,'Ship Trends'!$P43)</f>
        <v>56.881944816337437</v>
      </c>
      <c r="S43" s="37">
        <f>AVERAGEIFS(Ships!P:P,Ships!$I:$I,'Ship Trends'!$P43)</f>
        <v>2190.7777777777778</v>
      </c>
      <c r="T43" s="37">
        <f>AVERAGEIFS(Ships!Q:Q,Ships!$I:$I,'Ship Trends'!$P43)</f>
        <v>578.55555555555554</v>
      </c>
      <c r="U43" s="37"/>
      <c r="V43" s="37">
        <f>AVERAGEIFS(Ships!R:R,Ships!$I:$I,'Ship Trends'!$P43)</f>
        <v>476.85480961263897</v>
      </c>
      <c r="W43" s="37">
        <f>AVERAGEIFS(Ships!S:S,Ships!$I:$I,'Ship Trends'!$P43)</f>
        <v>450</v>
      </c>
      <c r="X43" s="37">
        <f>CPI!B123</f>
        <v>265.34633727024004</v>
      </c>
      <c r="Y43" s="37"/>
      <c r="Z43" s="36">
        <f t="shared" ref="Z43" si="3">$X$38/X43*T43</f>
        <v>523.42175925804145</v>
      </c>
    </row>
    <row r="44" spans="11:26">
      <c r="P44">
        <v>2030</v>
      </c>
      <c r="S44">
        <f>1262.7+73.255*40</f>
        <v>4192.8999999999996</v>
      </c>
      <c r="T44">
        <f>130.11+22.314*40</f>
        <v>1022.67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BK243"/>
  <sheetViews>
    <sheetView zoomScale="85" zoomScaleNormal="85" workbookViewId="0">
      <pane xSplit="2" ySplit="1" topLeftCell="AS2" activePane="bottomRight" state="frozen"/>
      <selection pane="topRight" activeCell="C1" sqref="C1"/>
      <selection pane="bottomLeft" activeCell="A3" sqref="A3"/>
      <selection pane="bottomRight" activeCell="BB89" sqref="BB89"/>
    </sheetView>
  </sheetViews>
  <sheetFormatPr defaultRowHeight="13.5" customHeight="1" outlineLevelCol="1"/>
  <cols>
    <col min="1" max="1" width="2.7109375" style="6" customWidth="1"/>
    <col min="2" max="2" width="54.42578125" style="6" bestFit="1" customWidth="1"/>
    <col min="3" max="3" width="9.42578125" style="6" customWidth="1"/>
    <col min="4" max="12" width="9.42578125" style="6" hidden="1" customWidth="1" outlineLevel="1"/>
    <col min="13" max="13" width="9.42578125" style="6" customWidth="1" collapsed="1"/>
    <col min="14" max="22" width="9.42578125" style="6" customWidth="1" outlineLevel="1"/>
    <col min="23" max="23" width="9.42578125" style="6" customWidth="1"/>
    <col min="24" max="32" width="9.42578125" style="6" customWidth="1" outlineLevel="1"/>
    <col min="33" max="33" width="9.42578125" style="6" customWidth="1"/>
    <col min="34" max="34" width="9.42578125" style="19" customWidth="1" outlineLevel="1"/>
    <col min="35" max="42" width="9.42578125" style="6" customWidth="1" outlineLevel="1"/>
    <col min="43" max="43" width="9.42578125" style="6" customWidth="1"/>
    <col min="44" max="52" width="9.42578125" style="6" customWidth="1" outlineLevel="1"/>
    <col min="53" max="53" width="9.42578125" style="6" customWidth="1"/>
    <col min="54" max="55" width="9.42578125" style="6" customWidth="1" outlineLevel="1"/>
    <col min="56" max="62" width="9.140625" style="6" customWidth="1" outlineLevel="1"/>
    <col min="63" max="16384" width="9.140625" style="6"/>
  </cols>
  <sheetData>
    <row r="1" spans="2:63" s="16" customFormat="1" ht="13.5" customHeight="1">
      <c r="B1" s="194" t="s">
        <v>468</v>
      </c>
      <c r="C1" s="195">
        <v>25933</v>
      </c>
      <c r="D1" s="195">
        <v>26298</v>
      </c>
      <c r="E1" s="195">
        <v>26664</v>
      </c>
      <c r="F1" s="195">
        <v>27029</v>
      </c>
      <c r="G1" s="195">
        <v>27394</v>
      </c>
      <c r="H1" s="195">
        <v>27759</v>
      </c>
      <c r="I1" s="195">
        <v>28125</v>
      </c>
      <c r="J1" s="195">
        <v>28490</v>
      </c>
      <c r="K1" s="195">
        <v>28855</v>
      </c>
      <c r="L1" s="195">
        <v>29220</v>
      </c>
      <c r="M1" s="195">
        <v>29586</v>
      </c>
      <c r="N1" s="195">
        <v>29951</v>
      </c>
      <c r="O1" s="195">
        <v>30316</v>
      </c>
      <c r="P1" s="195">
        <v>30681</v>
      </c>
      <c r="Q1" s="195">
        <v>31047</v>
      </c>
      <c r="R1" s="195">
        <v>31412</v>
      </c>
      <c r="S1" s="195">
        <v>31777</v>
      </c>
      <c r="T1" s="195">
        <v>32142</v>
      </c>
      <c r="U1" s="195">
        <v>32508</v>
      </c>
      <c r="V1" s="195">
        <v>32873</v>
      </c>
      <c r="W1" s="195">
        <v>33238</v>
      </c>
      <c r="X1" s="195">
        <v>33603</v>
      </c>
      <c r="Y1" s="195">
        <v>33969</v>
      </c>
      <c r="Z1" s="195">
        <v>34334</v>
      </c>
      <c r="AA1" s="195">
        <v>34699</v>
      </c>
      <c r="AB1" s="195">
        <v>35064</v>
      </c>
      <c r="AC1" s="195">
        <v>35430</v>
      </c>
      <c r="AD1" s="195">
        <v>35795</v>
      </c>
      <c r="AE1" s="195">
        <v>36160</v>
      </c>
      <c r="AF1" s="195">
        <v>36525</v>
      </c>
      <c r="AG1" s="195">
        <v>36891</v>
      </c>
      <c r="AH1" s="195">
        <v>37256</v>
      </c>
      <c r="AI1" s="195">
        <v>37621</v>
      </c>
      <c r="AJ1" s="195">
        <v>37986</v>
      </c>
      <c r="AK1" s="195">
        <v>38352</v>
      </c>
      <c r="AL1" s="195">
        <v>38717</v>
      </c>
      <c r="AM1" s="195">
        <v>39082</v>
      </c>
      <c r="AN1" s="195">
        <v>39447</v>
      </c>
      <c r="AO1" s="195">
        <v>39813</v>
      </c>
      <c r="AP1" s="195">
        <v>40178</v>
      </c>
      <c r="AQ1" s="195">
        <v>40543</v>
      </c>
      <c r="AR1" s="195">
        <v>40908</v>
      </c>
      <c r="AS1" s="195">
        <v>41274</v>
      </c>
      <c r="AT1" s="195">
        <v>41639</v>
      </c>
      <c r="AU1" s="195">
        <v>42004</v>
      </c>
      <c r="AV1" s="195">
        <v>42369</v>
      </c>
      <c r="AW1" s="195">
        <v>42735</v>
      </c>
      <c r="AX1" s="195">
        <v>43100</v>
      </c>
      <c r="AY1" s="195">
        <v>43465</v>
      </c>
      <c r="AZ1" s="195">
        <v>43830</v>
      </c>
      <c r="BA1" s="195">
        <v>44196</v>
      </c>
      <c r="BB1" s="195">
        <v>44561</v>
      </c>
      <c r="BC1" s="195">
        <v>44926</v>
      </c>
      <c r="BD1" s="195">
        <v>45291</v>
      </c>
      <c r="BE1" s="195">
        <v>45657</v>
      </c>
      <c r="BF1" s="195">
        <v>46022</v>
      </c>
      <c r="BG1" s="195">
        <v>46387</v>
      </c>
      <c r="BH1" s="195">
        <v>46752</v>
      </c>
      <c r="BI1" s="195">
        <v>47118</v>
      </c>
      <c r="BJ1" s="195">
        <v>47483</v>
      </c>
      <c r="BK1" s="195">
        <v>47848</v>
      </c>
    </row>
    <row r="3" spans="2:63" s="210" customFormat="1" ht="13.5" customHeight="1">
      <c r="B3" s="196" t="s">
        <v>825</v>
      </c>
      <c r="C3" s="199">
        <f t="shared" ref="C3:AV3" si="0">C$1</f>
        <v>25933</v>
      </c>
      <c r="D3" s="199">
        <f t="shared" si="0"/>
        <v>26298</v>
      </c>
      <c r="E3" s="199">
        <f t="shared" si="0"/>
        <v>26664</v>
      </c>
      <c r="F3" s="199">
        <f t="shared" si="0"/>
        <v>27029</v>
      </c>
      <c r="G3" s="199">
        <f t="shared" si="0"/>
        <v>27394</v>
      </c>
      <c r="H3" s="199">
        <f t="shared" si="0"/>
        <v>27759</v>
      </c>
      <c r="I3" s="199">
        <f t="shared" si="0"/>
        <v>28125</v>
      </c>
      <c r="J3" s="199">
        <f t="shared" si="0"/>
        <v>28490</v>
      </c>
      <c r="K3" s="199">
        <f t="shared" si="0"/>
        <v>28855</v>
      </c>
      <c r="L3" s="199">
        <f t="shared" si="0"/>
        <v>29220</v>
      </c>
      <c r="M3" s="199">
        <f t="shared" si="0"/>
        <v>29586</v>
      </c>
      <c r="N3" s="199">
        <f t="shared" si="0"/>
        <v>29951</v>
      </c>
      <c r="O3" s="199">
        <f t="shared" si="0"/>
        <v>30316</v>
      </c>
      <c r="P3" s="199">
        <f t="shared" si="0"/>
        <v>30681</v>
      </c>
      <c r="Q3" s="199">
        <f t="shared" si="0"/>
        <v>31047</v>
      </c>
      <c r="R3" s="199">
        <f t="shared" si="0"/>
        <v>31412</v>
      </c>
      <c r="S3" s="199">
        <f t="shared" si="0"/>
        <v>31777</v>
      </c>
      <c r="T3" s="199">
        <f t="shared" si="0"/>
        <v>32142</v>
      </c>
      <c r="U3" s="199">
        <f t="shared" si="0"/>
        <v>32508</v>
      </c>
      <c r="V3" s="199">
        <f t="shared" si="0"/>
        <v>32873</v>
      </c>
      <c r="W3" s="199">
        <f t="shared" si="0"/>
        <v>33238</v>
      </c>
      <c r="X3" s="199">
        <f t="shared" si="0"/>
        <v>33603</v>
      </c>
      <c r="Y3" s="199">
        <f t="shared" si="0"/>
        <v>33969</v>
      </c>
      <c r="Z3" s="199">
        <f t="shared" si="0"/>
        <v>34334</v>
      </c>
      <c r="AA3" s="199">
        <f t="shared" si="0"/>
        <v>34699</v>
      </c>
      <c r="AB3" s="199">
        <f t="shared" si="0"/>
        <v>35064</v>
      </c>
      <c r="AC3" s="199">
        <f t="shared" si="0"/>
        <v>35430</v>
      </c>
      <c r="AD3" s="199">
        <f t="shared" si="0"/>
        <v>35795</v>
      </c>
      <c r="AE3" s="199">
        <f t="shared" si="0"/>
        <v>36160</v>
      </c>
      <c r="AF3" s="199">
        <f t="shared" si="0"/>
        <v>36525</v>
      </c>
      <c r="AG3" s="199">
        <f t="shared" si="0"/>
        <v>36891</v>
      </c>
      <c r="AH3" s="199">
        <f t="shared" si="0"/>
        <v>37256</v>
      </c>
      <c r="AI3" s="199">
        <f t="shared" si="0"/>
        <v>37621</v>
      </c>
      <c r="AJ3" s="199">
        <f t="shared" si="0"/>
        <v>37986</v>
      </c>
      <c r="AK3" s="199">
        <f t="shared" si="0"/>
        <v>38352</v>
      </c>
      <c r="AL3" s="199">
        <f t="shared" si="0"/>
        <v>38717</v>
      </c>
      <c r="AM3" s="199">
        <f t="shared" si="0"/>
        <v>39082</v>
      </c>
      <c r="AN3" s="199">
        <f t="shared" si="0"/>
        <v>39447</v>
      </c>
      <c r="AO3" s="199">
        <f t="shared" si="0"/>
        <v>39813</v>
      </c>
      <c r="AP3" s="199">
        <f t="shared" si="0"/>
        <v>40178</v>
      </c>
      <c r="AQ3" s="199">
        <f t="shared" si="0"/>
        <v>40543</v>
      </c>
      <c r="AR3" s="199">
        <f t="shared" si="0"/>
        <v>40908</v>
      </c>
      <c r="AS3" s="199">
        <f t="shared" si="0"/>
        <v>41274</v>
      </c>
      <c r="AT3" s="199">
        <f t="shared" si="0"/>
        <v>41639</v>
      </c>
      <c r="AU3" s="199">
        <f t="shared" si="0"/>
        <v>42004</v>
      </c>
      <c r="AV3" s="199">
        <f t="shared" si="0"/>
        <v>42369</v>
      </c>
      <c r="AW3" s="199">
        <f>AW$1</f>
        <v>42735</v>
      </c>
      <c r="AX3" s="199">
        <f t="shared" ref="AX3:BK3" si="1">AX$1</f>
        <v>43100</v>
      </c>
      <c r="AY3" s="199">
        <f t="shared" si="1"/>
        <v>43465</v>
      </c>
      <c r="AZ3" s="199">
        <f t="shared" si="1"/>
        <v>43830</v>
      </c>
      <c r="BA3" s="199">
        <f t="shared" si="1"/>
        <v>44196</v>
      </c>
      <c r="BB3" s="199">
        <f t="shared" si="1"/>
        <v>44561</v>
      </c>
      <c r="BC3" s="199">
        <f t="shared" si="1"/>
        <v>44926</v>
      </c>
      <c r="BD3" s="199">
        <f t="shared" si="1"/>
        <v>45291</v>
      </c>
      <c r="BE3" s="199">
        <f t="shared" si="1"/>
        <v>45657</v>
      </c>
      <c r="BF3" s="199">
        <f t="shared" si="1"/>
        <v>46022</v>
      </c>
      <c r="BG3" s="199">
        <f t="shared" si="1"/>
        <v>46387</v>
      </c>
      <c r="BH3" s="199">
        <f t="shared" si="1"/>
        <v>46752</v>
      </c>
      <c r="BI3" s="199">
        <f t="shared" si="1"/>
        <v>47118</v>
      </c>
      <c r="BJ3" s="199">
        <f t="shared" si="1"/>
        <v>47483</v>
      </c>
      <c r="BK3" s="199">
        <f t="shared" si="1"/>
        <v>47848</v>
      </c>
    </row>
    <row r="4" spans="2:63" s="184" customFormat="1" ht="13.5" customHeight="1">
      <c r="B4" s="208" t="s">
        <v>463</v>
      </c>
      <c r="C4" s="208"/>
      <c r="D4" s="208"/>
      <c r="E4" s="208"/>
      <c r="F4" s="208"/>
      <c r="G4" s="208"/>
      <c r="H4" s="208"/>
      <c r="I4" s="208"/>
      <c r="J4" s="208"/>
      <c r="K4" s="208"/>
      <c r="L4" s="208"/>
      <c r="M4" s="208"/>
      <c r="N4" s="208"/>
      <c r="O4" s="208"/>
      <c r="P4" s="208"/>
      <c r="Q4" s="208"/>
      <c r="R4" s="208"/>
      <c r="S4" s="208"/>
      <c r="T4" s="208"/>
      <c r="U4" s="208"/>
      <c r="V4" s="208"/>
      <c r="W4" s="208"/>
      <c r="X4" s="208"/>
      <c r="Y4" s="208"/>
      <c r="Z4" s="208"/>
      <c r="AA4" s="208"/>
      <c r="AB4" s="208">
        <v>39</v>
      </c>
      <c r="AC4" s="208">
        <v>37</v>
      </c>
      <c r="AD4" s="208"/>
      <c r="AE4" s="208">
        <v>30</v>
      </c>
      <c r="AF4" s="208">
        <v>32</v>
      </c>
      <c r="AG4" s="208"/>
      <c r="AH4" s="13"/>
      <c r="AI4" s="208"/>
      <c r="AJ4" s="208"/>
      <c r="AK4" s="208"/>
      <c r="AL4" s="208">
        <v>134</v>
      </c>
      <c r="AM4" s="208"/>
      <c r="AN4" s="208"/>
      <c r="AO4" s="208"/>
      <c r="AP4" s="208"/>
      <c r="AQ4" s="208"/>
      <c r="AR4" s="208"/>
      <c r="AS4" s="208"/>
      <c r="AT4" s="208"/>
      <c r="AU4" s="208"/>
      <c r="AV4" s="208"/>
      <c r="AW4" s="208">
        <v>109</v>
      </c>
      <c r="AX4" s="208"/>
      <c r="AY4" s="208"/>
      <c r="AZ4" s="208"/>
      <c r="BA4" s="208"/>
      <c r="BB4" s="208"/>
      <c r="BC4" s="208"/>
      <c r="BD4" s="208"/>
      <c r="BE4" s="208"/>
      <c r="BF4" s="208"/>
      <c r="BG4" s="208"/>
      <c r="BH4" s="208"/>
      <c r="BI4" s="208"/>
      <c r="BJ4" s="208"/>
      <c r="BK4" s="208"/>
    </row>
    <row r="5" spans="2:63" s="211" customFormat="1" ht="13.5" customHeight="1">
      <c r="B5" s="212" t="s">
        <v>465</v>
      </c>
      <c r="C5" s="212"/>
      <c r="D5" s="212"/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2"/>
      <c r="P5" s="212"/>
      <c r="Q5" s="212"/>
      <c r="R5" s="212"/>
      <c r="S5" s="212"/>
      <c r="T5" s="212"/>
      <c r="U5" s="212"/>
      <c r="V5" s="212"/>
      <c r="W5" s="212"/>
      <c r="X5" s="212"/>
      <c r="Y5" s="212"/>
      <c r="Z5" s="212"/>
      <c r="AA5" s="212"/>
      <c r="AB5" s="212"/>
      <c r="AC5" s="212"/>
      <c r="AD5" s="212"/>
      <c r="AE5" s="212"/>
      <c r="AF5" s="212"/>
      <c r="AG5" s="212"/>
      <c r="AH5" s="213"/>
      <c r="AI5" s="212"/>
      <c r="AJ5" s="212"/>
      <c r="AK5" s="212"/>
      <c r="AL5" s="212"/>
      <c r="AM5" s="212"/>
      <c r="AN5" s="212"/>
      <c r="AO5" s="212"/>
      <c r="AP5" s="212"/>
      <c r="AQ5" s="212"/>
      <c r="AR5" s="212"/>
      <c r="AS5" s="212"/>
      <c r="AT5" s="212"/>
      <c r="AU5" s="212"/>
      <c r="AV5" s="212"/>
      <c r="AW5" s="212"/>
      <c r="AX5" s="212"/>
      <c r="AY5" s="212"/>
      <c r="AZ5" s="212"/>
      <c r="BA5" s="212"/>
      <c r="BB5" s="212"/>
      <c r="BC5" s="212"/>
      <c r="BD5" s="212"/>
      <c r="BE5" s="212"/>
      <c r="BF5" s="212"/>
      <c r="BG5" s="212"/>
      <c r="BH5" s="212"/>
      <c r="BI5" s="212"/>
      <c r="BJ5" s="212"/>
      <c r="BK5" s="212"/>
    </row>
    <row r="6" spans="2:63" ht="13.5" customHeight="1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5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</row>
    <row r="7" spans="2:63" s="183" customFormat="1" ht="13.5" customHeight="1">
      <c r="B7" s="175" t="s">
        <v>244</v>
      </c>
      <c r="C7" s="175"/>
      <c r="D7" s="175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217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/>
      <c r="AX7" s="175"/>
      <c r="AY7" s="175"/>
      <c r="AZ7" s="175"/>
      <c r="BA7" s="175"/>
      <c r="BB7" s="175"/>
      <c r="BC7" s="175"/>
      <c r="BD7" s="175"/>
      <c r="BE7" s="175"/>
      <c r="BF7" s="175"/>
      <c r="BG7" s="175"/>
      <c r="BH7" s="175"/>
      <c r="BI7" s="175"/>
      <c r="BJ7" s="175"/>
      <c r="BK7" s="175"/>
    </row>
    <row r="8" spans="2:63" s="211" customFormat="1" ht="13.5" customHeight="1">
      <c r="B8" s="212" t="s">
        <v>465</v>
      </c>
      <c r="C8" s="212"/>
      <c r="D8" s="212"/>
      <c r="E8" s="212"/>
      <c r="F8" s="212"/>
      <c r="G8" s="212"/>
      <c r="H8" s="212"/>
      <c r="I8" s="212"/>
      <c r="J8" s="212"/>
      <c r="K8" s="212"/>
      <c r="L8" s="212"/>
      <c r="M8" s="212"/>
      <c r="N8" s="212"/>
      <c r="O8" s="212"/>
      <c r="P8" s="212"/>
      <c r="Q8" s="212"/>
      <c r="R8" s="212"/>
      <c r="S8" s="212"/>
      <c r="T8" s="212"/>
      <c r="U8" s="212"/>
      <c r="V8" s="212"/>
      <c r="W8" s="212"/>
      <c r="X8" s="212"/>
      <c r="Y8" s="212"/>
      <c r="Z8" s="212"/>
      <c r="AA8" s="212"/>
      <c r="AB8" s="212"/>
      <c r="AC8" s="212"/>
      <c r="AD8" s="212"/>
      <c r="AE8" s="212"/>
      <c r="AF8" s="212"/>
      <c r="AG8" s="212"/>
      <c r="AH8" s="213"/>
      <c r="AI8" s="212"/>
      <c r="AJ8" s="212"/>
      <c r="AK8" s="212"/>
      <c r="AL8" s="212"/>
      <c r="AM8" s="212"/>
      <c r="AN8" s="212"/>
      <c r="AO8" s="212"/>
      <c r="AP8" s="212"/>
      <c r="AQ8" s="212"/>
      <c r="AR8" s="212"/>
      <c r="AS8" s="212"/>
      <c r="AT8" s="212"/>
      <c r="AU8" s="212"/>
      <c r="AV8" s="212"/>
      <c r="AW8" s="212"/>
      <c r="AX8" s="212"/>
      <c r="AY8" s="212"/>
      <c r="AZ8" s="212"/>
      <c r="BA8" s="212"/>
      <c r="BB8" s="212"/>
      <c r="BC8" s="212"/>
      <c r="BD8" s="212"/>
      <c r="BE8" s="212"/>
      <c r="BF8" s="212"/>
      <c r="BG8" s="212"/>
      <c r="BH8" s="212"/>
      <c r="BI8" s="212"/>
      <c r="BJ8" s="212"/>
      <c r="BK8" s="212"/>
    </row>
    <row r="11" spans="2:63" s="210" customFormat="1" ht="13.5" customHeight="1">
      <c r="B11" s="196" t="s">
        <v>824</v>
      </c>
      <c r="C11" s="199">
        <f t="shared" ref="C11:AV11" si="2">C$1</f>
        <v>25933</v>
      </c>
      <c r="D11" s="199">
        <f t="shared" si="2"/>
        <v>26298</v>
      </c>
      <c r="E11" s="199">
        <f t="shared" si="2"/>
        <v>26664</v>
      </c>
      <c r="F11" s="199">
        <f t="shared" si="2"/>
        <v>27029</v>
      </c>
      <c r="G11" s="199">
        <f t="shared" si="2"/>
        <v>27394</v>
      </c>
      <c r="H11" s="199">
        <f t="shared" si="2"/>
        <v>27759</v>
      </c>
      <c r="I11" s="199">
        <f t="shared" si="2"/>
        <v>28125</v>
      </c>
      <c r="J11" s="199">
        <f t="shared" si="2"/>
        <v>28490</v>
      </c>
      <c r="K11" s="199">
        <f t="shared" si="2"/>
        <v>28855</v>
      </c>
      <c r="L11" s="199">
        <f t="shared" si="2"/>
        <v>29220</v>
      </c>
      <c r="M11" s="199">
        <f t="shared" si="2"/>
        <v>29586</v>
      </c>
      <c r="N11" s="199">
        <f t="shared" si="2"/>
        <v>29951</v>
      </c>
      <c r="O11" s="199">
        <f t="shared" si="2"/>
        <v>30316</v>
      </c>
      <c r="P11" s="199">
        <f t="shared" si="2"/>
        <v>30681</v>
      </c>
      <c r="Q11" s="199">
        <f t="shared" si="2"/>
        <v>31047</v>
      </c>
      <c r="R11" s="199">
        <f t="shared" si="2"/>
        <v>31412</v>
      </c>
      <c r="S11" s="199">
        <f t="shared" si="2"/>
        <v>31777</v>
      </c>
      <c r="T11" s="199">
        <f t="shared" si="2"/>
        <v>32142</v>
      </c>
      <c r="U11" s="199">
        <f t="shared" si="2"/>
        <v>32508</v>
      </c>
      <c r="V11" s="199">
        <f t="shared" si="2"/>
        <v>32873</v>
      </c>
      <c r="W11" s="199">
        <f t="shared" si="2"/>
        <v>33238</v>
      </c>
      <c r="X11" s="199">
        <f t="shared" si="2"/>
        <v>33603</v>
      </c>
      <c r="Y11" s="199">
        <f t="shared" si="2"/>
        <v>33969</v>
      </c>
      <c r="Z11" s="199">
        <f t="shared" si="2"/>
        <v>34334</v>
      </c>
      <c r="AA11" s="199">
        <f t="shared" si="2"/>
        <v>34699</v>
      </c>
      <c r="AB11" s="199">
        <f t="shared" si="2"/>
        <v>35064</v>
      </c>
      <c r="AC11" s="199">
        <f t="shared" si="2"/>
        <v>35430</v>
      </c>
      <c r="AD11" s="199">
        <f t="shared" si="2"/>
        <v>35795</v>
      </c>
      <c r="AE11" s="199">
        <f t="shared" si="2"/>
        <v>36160</v>
      </c>
      <c r="AF11" s="199">
        <f t="shared" si="2"/>
        <v>36525</v>
      </c>
      <c r="AG11" s="199">
        <f t="shared" si="2"/>
        <v>36891</v>
      </c>
      <c r="AH11" s="199">
        <f t="shared" si="2"/>
        <v>37256</v>
      </c>
      <c r="AI11" s="199">
        <f t="shared" si="2"/>
        <v>37621</v>
      </c>
      <c r="AJ11" s="199">
        <f t="shared" si="2"/>
        <v>37986</v>
      </c>
      <c r="AK11" s="199">
        <f t="shared" si="2"/>
        <v>38352</v>
      </c>
      <c r="AL11" s="199">
        <f t="shared" si="2"/>
        <v>38717</v>
      </c>
      <c r="AM11" s="199">
        <f t="shared" si="2"/>
        <v>39082</v>
      </c>
      <c r="AN11" s="199">
        <f t="shared" si="2"/>
        <v>39447</v>
      </c>
      <c r="AO11" s="199">
        <f t="shared" si="2"/>
        <v>39813</v>
      </c>
      <c r="AP11" s="199">
        <f t="shared" si="2"/>
        <v>40178</v>
      </c>
      <c r="AQ11" s="199">
        <f t="shared" si="2"/>
        <v>40543</v>
      </c>
      <c r="AR11" s="199">
        <f t="shared" si="2"/>
        <v>40908</v>
      </c>
      <c r="AS11" s="199">
        <f t="shared" si="2"/>
        <v>41274</v>
      </c>
      <c r="AT11" s="199">
        <f t="shared" si="2"/>
        <v>41639</v>
      </c>
      <c r="AU11" s="199">
        <f t="shared" si="2"/>
        <v>42004</v>
      </c>
      <c r="AV11" s="199">
        <f t="shared" si="2"/>
        <v>42369</v>
      </c>
      <c r="AW11" s="199">
        <f>AW$1</f>
        <v>42735</v>
      </c>
      <c r="AX11" s="199">
        <f t="shared" ref="AX11:BK11" si="3">AX$1</f>
        <v>43100</v>
      </c>
      <c r="AY11" s="199">
        <f t="shared" si="3"/>
        <v>43465</v>
      </c>
      <c r="AZ11" s="199">
        <f t="shared" si="3"/>
        <v>43830</v>
      </c>
      <c r="BA11" s="199">
        <f t="shared" si="3"/>
        <v>44196</v>
      </c>
      <c r="BB11" s="199">
        <f t="shared" si="3"/>
        <v>44561</v>
      </c>
      <c r="BC11" s="199">
        <f t="shared" si="3"/>
        <v>44926</v>
      </c>
      <c r="BD11" s="199">
        <f t="shared" si="3"/>
        <v>45291</v>
      </c>
      <c r="BE11" s="199">
        <f t="shared" si="3"/>
        <v>45657</v>
      </c>
      <c r="BF11" s="199">
        <f t="shared" si="3"/>
        <v>46022</v>
      </c>
      <c r="BG11" s="199">
        <f t="shared" si="3"/>
        <v>46387</v>
      </c>
      <c r="BH11" s="199">
        <f t="shared" si="3"/>
        <v>46752</v>
      </c>
      <c r="BI11" s="199">
        <f t="shared" si="3"/>
        <v>47118</v>
      </c>
      <c r="BJ11" s="199">
        <f t="shared" si="3"/>
        <v>47483</v>
      </c>
      <c r="BK11" s="199">
        <f t="shared" si="3"/>
        <v>47848</v>
      </c>
    </row>
    <row r="12" spans="2:63" s="184" customFormat="1" ht="13.5" customHeight="1">
      <c r="B12" s="208" t="s">
        <v>463</v>
      </c>
      <c r="C12" s="208"/>
      <c r="D12" s="208"/>
      <c r="E12" s="208"/>
      <c r="F12" s="208"/>
      <c r="G12" s="208"/>
      <c r="H12" s="208"/>
      <c r="I12" s="208"/>
      <c r="J12" s="208"/>
      <c r="K12" s="208"/>
      <c r="L12" s="208"/>
      <c r="M12" s="208"/>
      <c r="N12" s="208"/>
      <c r="O12" s="208"/>
      <c r="P12" s="208"/>
      <c r="Q12" s="208"/>
      <c r="R12" s="208"/>
      <c r="S12" s="208"/>
      <c r="T12" s="208"/>
      <c r="U12" s="208"/>
      <c r="V12" s="208"/>
      <c r="W12" s="208"/>
      <c r="X12" s="208"/>
      <c r="Y12" s="208"/>
      <c r="Z12" s="208"/>
      <c r="AA12" s="208"/>
      <c r="AB12" s="208"/>
      <c r="AC12" s="208"/>
      <c r="AD12" s="208"/>
      <c r="AE12" s="208"/>
      <c r="AF12" s="208"/>
      <c r="AG12" s="208"/>
      <c r="AH12" s="13"/>
      <c r="AI12" s="208"/>
      <c r="AJ12" s="208"/>
      <c r="AK12" s="208"/>
      <c r="AL12" s="208"/>
      <c r="AM12" s="208"/>
      <c r="AN12" s="208"/>
      <c r="AO12" s="208"/>
      <c r="AP12" s="208"/>
      <c r="AQ12" s="208"/>
      <c r="AR12" s="208"/>
      <c r="AS12" s="208"/>
      <c r="AT12" s="208"/>
      <c r="AU12" s="208"/>
      <c r="AV12" s="208"/>
      <c r="AW12" s="208"/>
      <c r="AX12" s="208"/>
      <c r="AY12" s="208"/>
      <c r="AZ12" s="208"/>
      <c r="BA12" s="208"/>
      <c r="BB12" s="208"/>
      <c r="BC12" s="208"/>
      <c r="BD12" s="208"/>
      <c r="BE12" s="208"/>
      <c r="BF12" s="208"/>
      <c r="BG12" s="208"/>
      <c r="BH12" s="208"/>
      <c r="BI12" s="208"/>
      <c r="BJ12" s="208"/>
      <c r="BK12" s="208"/>
    </row>
    <row r="13" spans="2:63" ht="13.5" customHeight="1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5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</row>
    <row r="14" spans="2:63" s="184" customFormat="1" ht="13.5" customHeight="1">
      <c r="B14" s="175" t="s">
        <v>244</v>
      </c>
      <c r="C14" s="219"/>
      <c r="D14" s="219"/>
      <c r="E14" s="219"/>
      <c r="F14" s="219"/>
      <c r="G14" s="219"/>
      <c r="H14" s="219"/>
      <c r="I14" s="219"/>
      <c r="J14" s="219"/>
      <c r="K14" s="219"/>
      <c r="L14" s="219"/>
      <c r="M14" s="219"/>
      <c r="N14" s="219"/>
      <c r="O14" s="219"/>
      <c r="P14" s="219"/>
      <c r="Q14" s="219"/>
      <c r="R14" s="219"/>
      <c r="S14" s="219"/>
      <c r="T14" s="219"/>
      <c r="U14" s="219"/>
      <c r="V14" s="219"/>
      <c r="W14" s="219"/>
      <c r="X14" s="219"/>
      <c r="Y14" s="219"/>
      <c r="Z14" s="219"/>
      <c r="AA14" s="219"/>
      <c r="AB14" s="219"/>
      <c r="AC14" s="219"/>
      <c r="AD14" s="219"/>
      <c r="AE14" s="219"/>
      <c r="AF14" s="219"/>
      <c r="AG14" s="219"/>
      <c r="AH14" s="144"/>
      <c r="AI14" s="219"/>
      <c r="AJ14" s="219"/>
      <c r="AK14" s="219"/>
      <c r="AL14" s="219"/>
      <c r="AM14" s="219"/>
      <c r="AN14" s="219"/>
      <c r="AO14" s="219"/>
      <c r="AP14" s="219"/>
      <c r="AQ14" s="219"/>
      <c r="AR14" s="219"/>
      <c r="AS14" s="219"/>
      <c r="AT14" s="219"/>
      <c r="AU14" s="219"/>
      <c r="AV14" s="219"/>
      <c r="AW14" s="219">
        <v>448</v>
      </c>
      <c r="AX14" s="219"/>
      <c r="AY14" s="219"/>
      <c r="AZ14" s="219"/>
      <c r="BA14" s="219"/>
      <c r="BB14" s="219"/>
      <c r="BC14" s="219"/>
      <c r="BD14" s="219"/>
      <c r="BE14" s="219"/>
      <c r="BF14" s="219"/>
      <c r="BG14" s="219"/>
      <c r="BH14" s="219"/>
      <c r="BI14" s="219"/>
      <c r="BJ14" s="219"/>
      <c r="BK14" s="219"/>
    </row>
    <row r="15" spans="2:63" s="211" customFormat="1" ht="13.5" customHeight="1">
      <c r="B15" s="212" t="s">
        <v>465</v>
      </c>
      <c r="C15" s="212"/>
      <c r="D15" s="212"/>
      <c r="E15" s="212"/>
      <c r="F15" s="212"/>
      <c r="G15" s="212"/>
      <c r="H15" s="212"/>
      <c r="I15" s="212"/>
      <c r="J15" s="212"/>
      <c r="K15" s="212"/>
      <c r="L15" s="212"/>
      <c r="M15" s="212"/>
      <c r="N15" s="212"/>
      <c r="O15" s="212"/>
      <c r="P15" s="212"/>
      <c r="Q15" s="212"/>
      <c r="R15" s="212"/>
      <c r="S15" s="212"/>
      <c r="T15" s="212"/>
      <c r="U15" s="212"/>
      <c r="V15" s="212"/>
      <c r="W15" s="212"/>
      <c r="X15" s="212"/>
      <c r="Y15" s="212"/>
      <c r="Z15" s="212"/>
      <c r="AA15" s="212"/>
      <c r="AB15" s="212"/>
      <c r="AC15" s="212"/>
      <c r="AD15" s="212"/>
      <c r="AE15" s="212"/>
      <c r="AF15" s="212"/>
      <c r="AG15" s="212"/>
      <c r="AH15" s="213"/>
      <c r="AI15" s="212"/>
      <c r="AJ15" s="212"/>
      <c r="AK15" s="212"/>
      <c r="AL15" s="212"/>
      <c r="AM15" s="212"/>
      <c r="AN15" s="212"/>
      <c r="AO15" s="212"/>
      <c r="AP15" s="212"/>
      <c r="AQ15" s="212"/>
      <c r="AR15" s="212"/>
      <c r="AS15" s="212"/>
      <c r="AT15" s="212"/>
      <c r="AU15" s="212"/>
      <c r="AV15" s="212"/>
      <c r="AW15" s="212"/>
      <c r="AX15" s="212"/>
      <c r="AY15" s="212"/>
      <c r="AZ15" s="212"/>
      <c r="BA15" s="212"/>
      <c r="BB15" s="212"/>
      <c r="BC15" s="212"/>
      <c r="BD15" s="212"/>
      <c r="BE15" s="212"/>
      <c r="BF15" s="212"/>
      <c r="BG15" s="212"/>
      <c r="BH15" s="212"/>
      <c r="BI15" s="212"/>
      <c r="BJ15" s="212"/>
      <c r="BK15" s="212"/>
    </row>
    <row r="18" spans="2:63" s="210" customFormat="1" ht="13.5" customHeight="1">
      <c r="B18" s="196" t="s">
        <v>816</v>
      </c>
      <c r="C18" s="199">
        <f t="shared" ref="C18:AV18" si="4">C$1</f>
        <v>25933</v>
      </c>
      <c r="D18" s="199">
        <f t="shared" si="4"/>
        <v>26298</v>
      </c>
      <c r="E18" s="199">
        <f t="shared" si="4"/>
        <v>26664</v>
      </c>
      <c r="F18" s="199">
        <f t="shared" si="4"/>
        <v>27029</v>
      </c>
      <c r="G18" s="199">
        <f t="shared" si="4"/>
        <v>27394</v>
      </c>
      <c r="H18" s="199">
        <f t="shared" si="4"/>
        <v>27759</v>
      </c>
      <c r="I18" s="199">
        <f t="shared" si="4"/>
        <v>28125</v>
      </c>
      <c r="J18" s="199">
        <f t="shared" si="4"/>
        <v>28490</v>
      </c>
      <c r="K18" s="199">
        <f t="shared" si="4"/>
        <v>28855</v>
      </c>
      <c r="L18" s="199">
        <f t="shared" si="4"/>
        <v>29220</v>
      </c>
      <c r="M18" s="199">
        <f t="shared" si="4"/>
        <v>29586</v>
      </c>
      <c r="N18" s="199">
        <f t="shared" si="4"/>
        <v>29951</v>
      </c>
      <c r="O18" s="199">
        <f t="shared" si="4"/>
        <v>30316</v>
      </c>
      <c r="P18" s="199">
        <f t="shared" si="4"/>
        <v>30681</v>
      </c>
      <c r="Q18" s="199">
        <f t="shared" si="4"/>
        <v>31047</v>
      </c>
      <c r="R18" s="199">
        <f t="shared" si="4"/>
        <v>31412</v>
      </c>
      <c r="S18" s="199">
        <f t="shared" si="4"/>
        <v>31777</v>
      </c>
      <c r="T18" s="199">
        <f t="shared" si="4"/>
        <v>32142</v>
      </c>
      <c r="U18" s="199">
        <f t="shared" si="4"/>
        <v>32508</v>
      </c>
      <c r="V18" s="199">
        <f t="shared" si="4"/>
        <v>32873</v>
      </c>
      <c r="W18" s="199">
        <f t="shared" si="4"/>
        <v>33238</v>
      </c>
      <c r="X18" s="199">
        <f t="shared" si="4"/>
        <v>33603</v>
      </c>
      <c r="Y18" s="199">
        <f t="shared" si="4"/>
        <v>33969</v>
      </c>
      <c r="Z18" s="199">
        <f t="shared" si="4"/>
        <v>34334</v>
      </c>
      <c r="AA18" s="199">
        <f t="shared" si="4"/>
        <v>34699</v>
      </c>
      <c r="AB18" s="199">
        <f t="shared" si="4"/>
        <v>35064</v>
      </c>
      <c r="AC18" s="199">
        <f t="shared" si="4"/>
        <v>35430</v>
      </c>
      <c r="AD18" s="199">
        <f t="shared" si="4"/>
        <v>35795</v>
      </c>
      <c r="AE18" s="199">
        <f t="shared" si="4"/>
        <v>36160</v>
      </c>
      <c r="AF18" s="199">
        <f t="shared" si="4"/>
        <v>36525</v>
      </c>
      <c r="AG18" s="199">
        <f t="shared" si="4"/>
        <v>36891</v>
      </c>
      <c r="AH18" s="199">
        <f t="shared" si="4"/>
        <v>37256</v>
      </c>
      <c r="AI18" s="199">
        <f t="shared" si="4"/>
        <v>37621</v>
      </c>
      <c r="AJ18" s="199">
        <f t="shared" si="4"/>
        <v>37986</v>
      </c>
      <c r="AK18" s="199">
        <f t="shared" si="4"/>
        <v>38352</v>
      </c>
      <c r="AL18" s="199">
        <f t="shared" si="4"/>
        <v>38717</v>
      </c>
      <c r="AM18" s="199">
        <f t="shared" si="4"/>
        <v>39082</v>
      </c>
      <c r="AN18" s="199">
        <f t="shared" si="4"/>
        <v>39447</v>
      </c>
      <c r="AO18" s="199">
        <f t="shared" si="4"/>
        <v>39813</v>
      </c>
      <c r="AP18" s="199">
        <f t="shared" si="4"/>
        <v>40178</v>
      </c>
      <c r="AQ18" s="199">
        <f t="shared" si="4"/>
        <v>40543</v>
      </c>
      <c r="AR18" s="199">
        <f t="shared" si="4"/>
        <v>40908</v>
      </c>
      <c r="AS18" s="199">
        <f t="shared" si="4"/>
        <v>41274</v>
      </c>
      <c r="AT18" s="199">
        <f t="shared" si="4"/>
        <v>41639</v>
      </c>
      <c r="AU18" s="199">
        <f t="shared" si="4"/>
        <v>42004</v>
      </c>
      <c r="AV18" s="199">
        <f t="shared" si="4"/>
        <v>42369</v>
      </c>
      <c r="AW18" s="199">
        <f>AW$1</f>
        <v>42735</v>
      </c>
      <c r="AX18" s="199">
        <f t="shared" ref="AX18:BK18" si="5">AX$1</f>
        <v>43100</v>
      </c>
      <c r="AY18" s="199">
        <f t="shared" si="5"/>
        <v>43465</v>
      </c>
      <c r="AZ18" s="199">
        <f t="shared" si="5"/>
        <v>43830</v>
      </c>
      <c r="BA18" s="199">
        <f t="shared" si="5"/>
        <v>44196</v>
      </c>
      <c r="BB18" s="199">
        <f t="shared" si="5"/>
        <v>44561</v>
      </c>
      <c r="BC18" s="199">
        <f t="shared" si="5"/>
        <v>44926</v>
      </c>
      <c r="BD18" s="199">
        <f t="shared" si="5"/>
        <v>45291</v>
      </c>
      <c r="BE18" s="199">
        <f t="shared" si="5"/>
        <v>45657</v>
      </c>
      <c r="BF18" s="199">
        <f t="shared" si="5"/>
        <v>46022</v>
      </c>
      <c r="BG18" s="199">
        <f t="shared" si="5"/>
        <v>46387</v>
      </c>
      <c r="BH18" s="199">
        <f t="shared" si="5"/>
        <v>46752</v>
      </c>
      <c r="BI18" s="199">
        <f t="shared" si="5"/>
        <v>47118</v>
      </c>
      <c r="BJ18" s="199">
        <f t="shared" si="5"/>
        <v>47483</v>
      </c>
      <c r="BK18" s="199">
        <f t="shared" si="5"/>
        <v>47848</v>
      </c>
    </row>
    <row r="19" spans="2:63" s="184" customFormat="1" ht="13.5" customHeight="1">
      <c r="B19" s="208" t="s">
        <v>834</v>
      </c>
      <c r="C19" s="208"/>
      <c r="D19" s="208"/>
      <c r="E19" s="208"/>
      <c r="F19" s="208"/>
      <c r="G19" s="208"/>
      <c r="H19" s="208"/>
      <c r="I19" s="208"/>
      <c r="J19" s="208"/>
      <c r="K19" s="208"/>
      <c r="L19" s="208"/>
      <c r="M19" s="208"/>
      <c r="N19" s="208"/>
      <c r="O19" s="208">
        <v>43848</v>
      </c>
      <c r="P19" s="208"/>
      <c r="Q19" s="208"/>
      <c r="R19" s="208"/>
      <c r="S19" s="208"/>
      <c r="T19" s="208"/>
      <c r="U19" s="208"/>
      <c r="V19" s="208"/>
      <c r="W19" s="208"/>
      <c r="X19" s="208"/>
      <c r="Y19" s="208"/>
      <c r="Z19" s="208"/>
      <c r="AA19" s="208"/>
      <c r="AB19" s="208">
        <v>112869</v>
      </c>
      <c r="AC19" s="208">
        <v>110292</v>
      </c>
      <c r="AD19" s="208">
        <v>118000</v>
      </c>
      <c r="AE19" s="208">
        <v>138841</v>
      </c>
      <c r="AF19" s="208">
        <v>148827</v>
      </c>
      <c r="AG19" s="208"/>
      <c r="AH19" s="13"/>
      <c r="AI19" s="208"/>
      <c r="AJ19" s="208"/>
      <c r="AK19" s="208"/>
      <c r="AL19" s="208">
        <v>194430</v>
      </c>
      <c r="AM19" s="208"/>
      <c r="AN19" s="208">
        <v>212000</v>
      </c>
      <c r="AO19" s="208">
        <v>219000</v>
      </c>
      <c r="AP19" s="208">
        <v>222000</v>
      </c>
      <c r="AQ19" s="208">
        <v>232000</v>
      </c>
      <c r="AR19" s="208">
        <v>245000</v>
      </c>
      <c r="AS19" s="208">
        <v>241000</v>
      </c>
      <c r="AT19" s="208"/>
      <c r="AU19" s="208"/>
      <c r="AV19" s="208"/>
      <c r="AW19" s="208"/>
      <c r="AX19" s="208"/>
      <c r="AY19" s="208"/>
      <c r="AZ19" s="208"/>
      <c r="BA19" s="208"/>
      <c r="BB19" s="208"/>
      <c r="BC19" s="208"/>
      <c r="BD19" s="208"/>
      <c r="BE19" s="208"/>
      <c r="BF19" s="208"/>
      <c r="BG19" s="208"/>
      <c r="BH19" s="208"/>
      <c r="BI19" s="208"/>
      <c r="BJ19" s="208"/>
      <c r="BK19" s="208"/>
    </row>
    <row r="20" spans="2:63" s="211" customFormat="1" ht="13.5" customHeight="1">
      <c r="B20" s="212" t="s">
        <v>465</v>
      </c>
      <c r="C20" s="212"/>
      <c r="D20" s="212"/>
      <c r="E20" s="212"/>
      <c r="F20" s="212"/>
      <c r="G20" s="212"/>
      <c r="H20" s="212"/>
      <c r="I20" s="212"/>
      <c r="J20" s="212"/>
      <c r="K20" s="212"/>
      <c r="L20" s="212"/>
      <c r="M20" s="212"/>
      <c r="N20" s="212"/>
      <c r="O20" s="212"/>
      <c r="P20" s="212"/>
      <c r="Q20" s="212"/>
      <c r="R20" s="212"/>
      <c r="S20" s="212"/>
      <c r="T20" s="212"/>
      <c r="U20" s="212"/>
      <c r="V20" s="212"/>
      <c r="W20" s="212"/>
      <c r="X20" s="212"/>
      <c r="Y20" s="212"/>
      <c r="Z20" s="212"/>
      <c r="AA20" s="212"/>
      <c r="AB20" s="212"/>
      <c r="AC20" s="212">
        <v>4.8000000000000001E-2</v>
      </c>
      <c r="AD20" s="212">
        <v>4.8000000000000001E-2</v>
      </c>
      <c r="AE20" s="212">
        <v>0.17399999999999999</v>
      </c>
      <c r="AF20" s="212">
        <v>8.3000000000000004E-2</v>
      </c>
      <c r="AG20" s="212"/>
      <c r="AH20" s="213"/>
      <c r="AI20" s="212"/>
      <c r="AJ20" s="212"/>
      <c r="AK20" s="212"/>
      <c r="AL20" s="212"/>
      <c r="AM20" s="212"/>
      <c r="AN20" s="212"/>
      <c r="AO20" s="212">
        <f t="shared" ref="AO20" si="6">AO19/AN19-1</f>
        <v>3.3018867924528239E-2</v>
      </c>
      <c r="AP20" s="212">
        <f t="shared" ref="AP20" si="7">AP19/AO19-1</f>
        <v>1.3698630136986356E-2</v>
      </c>
      <c r="AQ20" s="212">
        <f t="shared" ref="AQ20:AR20" si="8">AQ19/AP19-1</f>
        <v>4.5045045045045029E-2</v>
      </c>
      <c r="AR20" s="212">
        <f t="shared" si="8"/>
        <v>5.6034482758620774E-2</v>
      </c>
      <c r="AS20" s="212">
        <f>AS19/AR19-1</f>
        <v>-1.6326530612244872E-2</v>
      </c>
      <c r="AT20" s="212"/>
      <c r="AU20" s="212"/>
      <c r="AV20" s="212"/>
      <c r="AW20" s="212"/>
      <c r="AX20" s="212"/>
      <c r="AY20" s="212"/>
      <c r="AZ20" s="212"/>
      <c r="BA20" s="212"/>
      <c r="BB20" s="212"/>
      <c r="BC20" s="212"/>
      <c r="BD20" s="212"/>
      <c r="BE20" s="212"/>
      <c r="BF20" s="212"/>
      <c r="BG20" s="212"/>
      <c r="BH20" s="212"/>
      <c r="BI20" s="212"/>
      <c r="BJ20" s="212"/>
      <c r="BK20" s="212"/>
    </row>
    <row r="21" spans="2:63" ht="13.5" customHeight="1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5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</row>
    <row r="22" spans="2:63" s="184" customFormat="1" ht="13.5" customHeight="1">
      <c r="B22" s="208" t="s">
        <v>237</v>
      </c>
      <c r="C22" s="208"/>
      <c r="D22" s="208"/>
      <c r="E22" s="208"/>
      <c r="F22" s="208"/>
      <c r="G22" s="208"/>
      <c r="H22" s="208"/>
      <c r="I22" s="208"/>
      <c r="J22" s="208"/>
      <c r="K22" s="208"/>
      <c r="L22" s="208"/>
      <c r="M22" s="208"/>
      <c r="N22" s="208"/>
      <c r="O22" s="208"/>
      <c r="P22" s="208"/>
      <c r="Q22" s="208"/>
      <c r="R22" s="208"/>
      <c r="S22" s="208"/>
      <c r="T22" s="208"/>
      <c r="U22" s="208"/>
      <c r="V22" s="208"/>
      <c r="W22" s="208"/>
      <c r="X22" s="208"/>
      <c r="Y22" s="208"/>
      <c r="Z22" s="208"/>
      <c r="AA22" s="208"/>
      <c r="AB22" s="208"/>
      <c r="AC22" s="208"/>
      <c r="AD22" s="208"/>
      <c r="AE22" s="208"/>
      <c r="AF22" s="208"/>
      <c r="AG22" s="208"/>
      <c r="AH22" s="13"/>
      <c r="AI22" s="208"/>
      <c r="AJ22" s="208"/>
      <c r="AK22" s="208"/>
      <c r="AL22" s="208"/>
      <c r="AM22" s="208"/>
      <c r="AN22" s="208">
        <v>105000</v>
      </c>
      <c r="AO22" s="208">
        <v>120000</v>
      </c>
      <c r="AP22" s="208">
        <v>131000</v>
      </c>
      <c r="AQ22" s="208">
        <v>143000</v>
      </c>
      <c r="AR22" s="208">
        <v>149000</v>
      </c>
      <c r="AS22" s="208">
        <v>164000</v>
      </c>
      <c r="AT22" s="208"/>
      <c r="AU22" s="208"/>
      <c r="AV22" s="208"/>
      <c r="AW22" s="208"/>
      <c r="AX22" s="208"/>
      <c r="AY22" s="208"/>
      <c r="AZ22" s="208"/>
      <c r="BA22" s="208"/>
      <c r="BB22" s="208"/>
      <c r="BC22" s="208"/>
      <c r="BD22" s="208"/>
      <c r="BE22" s="208"/>
      <c r="BF22" s="208"/>
      <c r="BG22" s="208"/>
      <c r="BH22" s="208"/>
      <c r="BI22" s="208"/>
      <c r="BJ22" s="208"/>
      <c r="BK22" s="208"/>
    </row>
    <row r="23" spans="2:63" ht="13.5" customHeight="1">
      <c r="B23" s="212" t="s">
        <v>465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5"/>
      <c r="AI23" s="3"/>
      <c r="AJ23" s="3"/>
      <c r="AK23" s="3"/>
      <c r="AL23" s="3"/>
      <c r="AM23" s="3"/>
      <c r="AN23" s="3"/>
      <c r="AO23" s="212">
        <f t="shared" ref="AO23" si="9">AO22/AN22-1</f>
        <v>0.14285714285714279</v>
      </c>
      <c r="AP23" s="212">
        <f t="shared" ref="AP23" si="10">AP22/AO22-1</f>
        <v>9.1666666666666563E-2</v>
      </c>
      <c r="AQ23" s="212">
        <f t="shared" ref="AQ23" si="11">AQ22/AP22-1</f>
        <v>9.1603053435114434E-2</v>
      </c>
      <c r="AR23" s="212">
        <f t="shared" ref="AR23" si="12">AR22/AQ22-1</f>
        <v>4.195804195804187E-2</v>
      </c>
      <c r="AS23" s="212">
        <f>AS22/AR22-1</f>
        <v>0.10067114093959728</v>
      </c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</row>
    <row r="24" spans="2:63" ht="13.5" customHeight="1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5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</row>
    <row r="25" spans="2:63" ht="13.5" customHeight="1">
      <c r="B25" s="208" t="s">
        <v>361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5"/>
      <c r="AI25" s="3"/>
      <c r="AJ25" s="3"/>
      <c r="AK25" s="3"/>
      <c r="AL25" s="3"/>
      <c r="AM25" s="3"/>
      <c r="AN25" s="228">
        <f t="shared" ref="AN25:AO25" si="13">AN28-(AN19+AN22)</f>
        <v>10000</v>
      </c>
      <c r="AO25" s="228">
        <f t="shared" si="13"/>
        <v>8000</v>
      </c>
      <c r="AP25" s="228">
        <f>AP28-(AP19+AP22)</f>
        <v>10000</v>
      </c>
      <c r="AQ25" s="228">
        <f>AQ28-(AQ19+AQ22)</f>
        <v>16000</v>
      </c>
      <c r="AR25" s="228">
        <f>AR28-(AR19+AR22)</f>
        <v>18000</v>
      </c>
      <c r="AS25" s="228">
        <f>AS28-(AS19+AS22)</f>
        <v>20000</v>
      </c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</row>
    <row r="26" spans="2:63" ht="13.5" customHeight="1">
      <c r="B26" s="212" t="s">
        <v>465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5"/>
      <c r="AI26" s="3"/>
      <c r="AJ26" s="3"/>
      <c r="AK26" s="3"/>
      <c r="AL26" s="3"/>
      <c r="AM26" s="3"/>
      <c r="AN26" s="3"/>
      <c r="AO26" s="212">
        <f t="shared" ref="AO26" si="14">AO25/AN25-1</f>
        <v>-0.19999999999999996</v>
      </c>
      <c r="AP26" s="212">
        <f t="shared" ref="AP26" si="15">AP25/AO25-1</f>
        <v>0.25</v>
      </c>
      <c r="AQ26" s="212">
        <f t="shared" ref="AQ26" si="16">AQ25/AP25-1</f>
        <v>0.60000000000000009</v>
      </c>
      <c r="AR26" s="212">
        <f t="shared" ref="AR26" si="17">AR25/AQ25-1</f>
        <v>0.125</v>
      </c>
      <c r="AS26" s="212">
        <f>AS25/AR25-1</f>
        <v>0.11111111111111116</v>
      </c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</row>
    <row r="27" spans="2:63" ht="13.5" customHeight="1">
      <c r="B27" s="212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5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</row>
    <row r="28" spans="2:63" ht="13.5" customHeight="1">
      <c r="B28" s="209" t="s">
        <v>815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229">
        <f t="shared" ref="AG28:AN28" si="18">AG32</f>
        <v>144499</v>
      </c>
      <c r="AH28" s="229">
        <f t="shared" si="18"/>
        <v>151690</v>
      </c>
      <c r="AI28" s="229">
        <f t="shared" si="18"/>
        <v>163187</v>
      </c>
      <c r="AJ28" s="229">
        <f t="shared" si="18"/>
        <v>182698</v>
      </c>
      <c r="AK28" s="229">
        <f t="shared" si="18"/>
        <v>206895</v>
      </c>
      <c r="AL28" s="229">
        <f t="shared" si="18"/>
        <v>288000</v>
      </c>
      <c r="AM28" s="229">
        <f t="shared" si="18"/>
        <v>304000</v>
      </c>
      <c r="AN28" s="229">
        <f t="shared" si="18"/>
        <v>327000</v>
      </c>
      <c r="AO28" s="229">
        <f>AO32</f>
        <v>347000</v>
      </c>
      <c r="AP28" s="229">
        <f t="shared" ref="AP28:AW28" si="19">AP32</f>
        <v>363000</v>
      </c>
      <c r="AQ28" s="229">
        <f t="shared" si="19"/>
        <v>391000</v>
      </c>
      <c r="AR28" s="229">
        <f t="shared" si="19"/>
        <v>412000</v>
      </c>
      <c r="AS28" s="229">
        <f t="shared" si="19"/>
        <v>425000</v>
      </c>
      <c r="AT28" s="229">
        <f t="shared" si="19"/>
        <v>432000</v>
      </c>
      <c r="AU28" s="229">
        <f t="shared" si="19"/>
        <v>448000</v>
      </c>
      <c r="AV28" s="229">
        <f t="shared" si="19"/>
        <v>469000</v>
      </c>
      <c r="AW28" s="229">
        <f t="shared" si="19"/>
        <v>493000</v>
      </c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</row>
    <row r="29" spans="2:63" ht="13.5" customHeight="1">
      <c r="B29" s="212" t="s">
        <v>465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212">
        <f t="shared" ref="AH29" si="20">AH28/AG28-1</f>
        <v>4.9765050277164491E-2</v>
      </c>
      <c r="AI29" s="212">
        <f t="shared" ref="AI29" si="21">AI28/AH28-1</f>
        <v>7.5792735183598081E-2</v>
      </c>
      <c r="AJ29" s="212">
        <f t="shared" ref="AJ29" si="22">AJ28/AI28-1</f>
        <v>0.11956222002978167</v>
      </c>
      <c r="AK29" s="212">
        <f t="shared" ref="AK29" si="23">AK28/AJ28-1</f>
        <v>0.13244261020919779</v>
      </c>
      <c r="AL29" s="212">
        <f t="shared" ref="AL29" si="24">AL28/AK28-1</f>
        <v>0.39201044007830066</v>
      </c>
      <c r="AM29" s="212">
        <f t="shared" ref="AM29" si="25">AM28/AL28-1</f>
        <v>5.555555555555558E-2</v>
      </c>
      <c r="AN29" s="212">
        <f t="shared" ref="AN29" si="26">AN28/AM28-1</f>
        <v>7.5657894736842035E-2</v>
      </c>
      <c r="AO29" s="212">
        <f t="shared" ref="AO29" si="27">AO28/AN28-1</f>
        <v>6.1162079510703293E-2</v>
      </c>
      <c r="AP29" s="212">
        <f t="shared" ref="AP29" si="28">AP28/AO28-1</f>
        <v>4.6109510086455252E-2</v>
      </c>
      <c r="AQ29" s="212">
        <f t="shared" ref="AQ29" si="29">AQ28/AP28-1</f>
        <v>7.7134986225895208E-2</v>
      </c>
      <c r="AR29" s="212">
        <f t="shared" ref="AR29" si="30">AR28/AQ28-1</f>
        <v>5.3708439897698135E-2</v>
      </c>
      <c r="AS29" s="212">
        <f>AS28/AR28-1</f>
        <v>3.1553398058252524E-2</v>
      </c>
      <c r="AT29" s="212">
        <f t="shared" ref="AT29" si="31">AT28/AS28-1</f>
        <v>1.6470588235294015E-2</v>
      </c>
      <c r="AU29" s="212">
        <f t="shared" ref="AU29" si="32">AU28/AT28-1</f>
        <v>3.7037037037036979E-2</v>
      </c>
      <c r="AV29" s="212">
        <f t="shared" ref="AV29" si="33">AV28/AU28-1</f>
        <v>4.6875E-2</v>
      </c>
      <c r="AW29" s="212">
        <f t="shared" ref="AW29" si="34">AW28/AV28-1</f>
        <v>5.1172707889125757E-2</v>
      </c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</row>
    <row r="30" spans="2:63" ht="13.5" customHeight="1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5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</row>
    <row r="31" spans="2:63" s="184" customFormat="1" ht="13.5" customHeight="1">
      <c r="B31" s="208" t="s">
        <v>812</v>
      </c>
      <c r="C31" s="208"/>
      <c r="D31" s="208"/>
      <c r="E31" s="208"/>
      <c r="F31" s="208"/>
      <c r="G31" s="208"/>
      <c r="H31" s="208"/>
      <c r="I31" s="208"/>
      <c r="J31" s="208"/>
      <c r="K31" s="208"/>
      <c r="L31" s="208"/>
      <c r="M31" s="208"/>
      <c r="N31" s="208"/>
      <c r="O31" s="208"/>
      <c r="P31" s="208"/>
      <c r="Q31" s="208"/>
      <c r="R31" s="208"/>
      <c r="S31" s="208"/>
      <c r="T31" s="208"/>
      <c r="U31" s="208"/>
      <c r="V31" s="208"/>
      <c r="W31" s="208"/>
      <c r="X31" s="208"/>
      <c r="Y31" s="208"/>
      <c r="Z31" s="208"/>
      <c r="AA31" s="208"/>
      <c r="AB31" s="208"/>
      <c r="AC31" s="208"/>
      <c r="AD31" s="208"/>
      <c r="AE31" s="208"/>
      <c r="AF31" s="208"/>
      <c r="AG31" s="208"/>
      <c r="AH31" s="13"/>
      <c r="AI31" s="208"/>
      <c r="AJ31" s="208"/>
      <c r="AK31" s="208"/>
      <c r="AL31" s="208"/>
      <c r="AM31" s="208"/>
      <c r="AN31" s="208"/>
      <c r="AO31" s="208"/>
      <c r="AP31" s="208"/>
      <c r="AQ31" s="208"/>
      <c r="AR31" s="208"/>
      <c r="AS31" s="208"/>
      <c r="AT31" s="208"/>
      <c r="AU31" s="208"/>
      <c r="AV31" s="208"/>
      <c r="AW31" s="208"/>
      <c r="AX31" s="208"/>
      <c r="AY31" s="208"/>
      <c r="AZ31" s="208"/>
      <c r="BA31" s="208"/>
      <c r="BB31" s="208"/>
      <c r="BC31" s="208"/>
      <c r="BD31" s="208"/>
      <c r="BE31" s="208"/>
      <c r="BF31" s="208"/>
      <c r="BG31" s="208"/>
      <c r="BH31" s="208"/>
      <c r="BI31" s="208"/>
      <c r="BJ31" s="208"/>
      <c r="BK31" s="208"/>
    </row>
    <row r="32" spans="2:63" ht="13.5" customHeight="1">
      <c r="B32" s="3" t="s">
        <v>813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225">
        <v>144499</v>
      </c>
      <c r="AH32" s="226">
        <v>151690</v>
      </c>
      <c r="AI32" s="225">
        <v>163187</v>
      </c>
      <c r="AJ32" s="225">
        <v>182698</v>
      </c>
      <c r="AK32" s="225">
        <v>206895</v>
      </c>
      <c r="AL32" s="225">
        <v>288000</v>
      </c>
      <c r="AM32" s="225">
        <v>304000</v>
      </c>
      <c r="AN32" s="225">
        <v>327000</v>
      </c>
      <c r="AO32" s="225">
        <v>347000</v>
      </c>
      <c r="AP32" s="225">
        <v>363000</v>
      </c>
      <c r="AQ32" s="225">
        <v>391000</v>
      </c>
      <c r="AR32" s="225">
        <v>412000</v>
      </c>
      <c r="AS32" s="225">
        <v>425000</v>
      </c>
      <c r="AT32" s="225">
        <v>432000</v>
      </c>
      <c r="AU32" s="208">
        <v>448000</v>
      </c>
      <c r="AV32" s="208">
        <v>469000</v>
      </c>
      <c r="AW32" s="208">
        <v>493000</v>
      </c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</row>
    <row r="33" spans="2:63" ht="13.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5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</row>
    <row r="34" spans="2:63" ht="13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5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</row>
    <row r="35" spans="2:63" s="183" customFormat="1" ht="13.5" customHeight="1">
      <c r="B35" s="209" t="s">
        <v>244</v>
      </c>
      <c r="C35" s="209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09"/>
      <c r="O35" s="209"/>
      <c r="P35" s="209"/>
      <c r="Q35" s="209"/>
      <c r="R35" s="209"/>
      <c r="S35" s="209"/>
      <c r="T35" s="209"/>
      <c r="U35" s="209"/>
      <c r="V35" s="209"/>
      <c r="W35" s="209"/>
      <c r="X35" s="209"/>
      <c r="Y35" s="209"/>
      <c r="Z35" s="209"/>
      <c r="AA35" s="209"/>
      <c r="AB35" s="209"/>
      <c r="AC35" s="209"/>
      <c r="AD35" s="209"/>
      <c r="AE35" s="209"/>
      <c r="AF35" s="209"/>
      <c r="AG35" s="209"/>
      <c r="AH35" s="12"/>
      <c r="AI35" s="209"/>
      <c r="AJ35" s="209"/>
      <c r="AK35" s="209"/>
      <c r="AL35" s="209"/>
      <c r="AM35" s="209"/>
      <c r="AN35" s="209"/>
      <c r="AO35" s="209">
        <v>377000</v>
      </c>
      <c r="AP35" s="209">
        <v>397000</v>
      </c>
      <c r="AQ35" s="209">
        <v>423000</v>
      </c>
      <c r="AR35" s="209">
        <v>387000</v>
      </c>
      <c r="AS35" s="209">
        <v>399000</v>
      </c>
      <c r="AT35" s="209">
        <v>415000</v>
      </c>
      <c r="AU35" s="209">
        <v>428000</v>
      </c>
      <c r="AV35" s="209">
        <v>445000</v>
      </c>
      <c r="AW35" s="209">
        <v>466000</v>
      </c>
      <c r="AX35" s="209">
        <v>494000</v>
      </c>
      <c r="AY35" s="209">
        <v>521000</v>
      </c>
      <c r="AZ35" s="209"/>
      <c r="BA35" s="209"/>
      <c r="BB35" s="209"/>
      <c r="BC35" s="209"/>
      <c r="BD35" s="209"/>
      <c r="BE35" s="209"/>
      <c r="BF35" s="209"/>
      <c r="BG35" s="209"/>
      <c r="BH35" s="209"/>
      <c r="BI35" s="209"/>
      <c r="BJ35" s="209"/>
      <c r="BK35" s="209"/>
    </row>
    <row r="36" spans="2:63" s="184" customFormat="1" ht="13.5" customHeight="1">
      <c r="B36" s="208" t="s">
        <v>466</v>
      </c>
      <c r="C36" s="208"/>
      <c r="D36" s="208"/>
      <c r="E36" s="208"/>
      <c r="F36" s="208"/>
      <c r="G36" s="208"/>
      <c r="H36" s="208"/>
      <c r="I36" s="208"/>
      <c r="J36" s="208"/>
      <c r="K36" s="208"/>
      <c r="L36" s="208"/>
      <c r="M36" s="208"/>
      <c r="N36" s="208"/>
      <c r="O36" s="208"/>
      <c r="P36" s="208"/>
      <c r="Q36" s="208"/>
      <c r="R36" s="208"/>
      <c r="S36" s="208"/>
      <c r="T36" s="208"/>
      <c r="U36" s="208"/>
      <c r="V36" s="208"/>
      <c r="W36" s="208"/>
      <c r="X36" s="208"/>
      <c r="Y36" s="208"/>
      <c r="Z36" s="208"/>
      <c r="AA36" s="208"/>
      <c r="AB36" s="208"/>
      <c r="AC36" s="208"/>
      <c r="AD36" s="208"/>
      <c r="AE36" s="208"/>
      <c r="AF36" s="208"/>
      <c r="AG36" s="208"/>
      <c r="AH36" s="13"/>
      <c r="AI36" s="208"/>
      <c r="AJ36" s="208"/>
      <c r="AK36" s="208"/>
      <c r="AL36" s="208"/>
      <c r="AM36" s="208"/>
      <c r="AN36" s="208"/>
      <c r="AO36" s="208"/>
      <c r="AP36" s="208">
        <f t="shared" ref="AP36" si="35">AP35-AO35</f>
        <v>20000</v>
      </c>
      <c r="AQ36" s="208">
        <f t="shared" ref="AQ36" si="36">AQ35-AP35</f>
        <v>26000</v>
      </c>
      <c r="AR36" s="208">
        <f t="shared" ref="AR36" si="37">AR35-AQ35</f>
        <v>-36000</v>
      </c>
      <c r="AS36" s="208">
        <f t="shared" ref="AS36:AY36" si="38">AS35-AR35</f>
        <v>12000</v>
      </c>
      <c r="AT36" s="208">
        <f t="shared" si="38"/>
        <v>16000</v>
      </c>
      <c r="AU36" s="208">
        <f t="shared" si="38"/>
        <v>13000</v>
      </c>
      <c r="AV36" s="208">
        <f t="shared" si="38"/>
        <v>17000</v>
      </c>
      <c r="AW36" s="208">
        <f t="shared" si="38"/>
        <v>21000</v>
      </c>
      <c r="AX36" s="208">
        <f t="shared" si="38"/>
        <v>28000</v>
      </c>
      <c r="AY36" s="208">
        <f t="shared" si="38"/>
        <v>27000</v>
      </c>
      <c r="AZ36" s="208"/>
      <c r="BA36" s="208"/>
      <c r="BB36" s="208"/>
      <c r="BC36" s="208"/>
      <c r="BD36" s="208"/>
      <c r="BE36" s="208"/>
      <c r="BF36" s="208"/>
      <c r="BG36" s="208"/>
      <c r="BH36" s="208"/>
      <c r="BI36" s="208"/>
      <c r="BJ36" s="208"/>
      <c r="BK36" s="208"/>
    </row>
    <row r="37" spans="2:63" s="211" customFormat="1" ht="13.5" customHeight="1">
      <c r="B37" s="212" t="s">
        <v>465</v>
      </c>
      <c r="C37" s="212"/>
      <c r="D37" s="212"/>
      <c r="E37" s="212"/>
      <c r="F37" s="212"/>
      <c r="G37" s="212"/>
      <c r="H37" s="212"/>
      <c r="I37" s="212"/>
      <c r="J37" s="212"/>
      <c r="K37" s="212"/>
      <c r="L37" s="212"/>
      <c r="M37" s="212"/>
      <c r="N37" s="212"/>
      <c r="O37" s="212"/>
      <c r="P37" s="212"/>
      <c r="Q37" s="212"/>
      <c r="R37" s="212"/>
      <c r="S37" s="212"/>
      <c r="T37" s="212"/>
      <c r="U37" s="212"/>
      <c r="V37" s="212"/>
      <c r="W37" s="212"/>
      <c r="X37" s="212"/>
      <c r="Y37" s="212"/>
      <c r="Z37" s="212"/>
      <c r="AA37" s="212"/>
      <c r="AB37" s="212"/>
      <c r="AC37" s="212"/>
      <c r="AD37" s="212"/>
      <c r="AE37" s="212"/>
      <c r="AF37" s="212"/>
      <c r="AG37" s="212"/>
      <c r="AH37" s="213"/>
      <c r="AI37" s="212"/>
      <c r="AJ37" s="212"/>
      <c r="AK37" s="212"/>
      <c r="AL37" s="212"/>
      <c r="AM37" s="212"/>
      <c r="AN37" s="212"/>
      <c r="AO37" s="212"/>
      <c r="AP37" s="212">
        <f t="shared" ref="AP37" si="39">AP35/AO35-1</f>
        <v>5.3050397877984157E-2</v>
      </c>
      <c r="AQ37" s="212">
        <f t="shared" ref="AQ37" si="40">AQ35/AP35-1</f>
        <v>6.5491183879093251E-2</v>
      </c>
      <c r="AR37" s="212">
        <f t="shared" ref="AR37" si="41">AR35/AQ35-1</f>
        <v>-8.5106382978723416E-2</v>
      </c>
      <c r="AS37" s="212">
        <f t="shared" ref="AS37:AY37" si="42">AS35/AR35-1</f>
        <v>3.1007751937984551E-2</v>
      </c>
      <c r="AT37" s="212">
        <f t="shared" si="42"/>
        <v>4.0100250626566414E-2</v>
      </c>
      <c r="AU37" s="212">
        <f t="shared" si="42"/>
        <v>3.1325301204819356E-2</v>
      </c>
      <c r="AV37" s="212">
        <f t="shared" si="42"/>
        <v>3.971962616822422E-2</v>
      </c>
      <c r="AW37" s="212">
        <f t="shared" si="42"/>
        <v>4.7191011235955038E-2</v>
      </c>
      <c r="AX37" s="212">
        <f t="shared" si="42"/>
        <v>6.0085836909871349E-2</v>
      </c>
      <c r="AY37" s="212">
        <f t="shared" si="42"/>
        <v>5.4655870445344146E-2</v>
      </c>
      <c r="AZ37" s="212"/>
      <c r="BA37" s="212"/>
      <c r="BB37" s="212"/>
      <c r="BC37" s="212"/>
      <c r="BD37" s="212"/>
      <c r="BE37" s="212"/>
      <c r="BF37" s="212"/>
      <c r="BG37" s="212"/>
      <c r="BH37" s="212"/>
      <c r="BI37" s="212"/>
      <c r="BJ37" s="212"/>
      <c r="BK37" s="212"/>
    </row>
    <row r="38" spans="2:63" ht="13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5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</row>
    <row r="39" spans="2:63" s="183" customFormat="1" ht="13.5" customHeight="1">
      <c r="B39" s="209" t="s">
        <v>467</v>
      </c>
      <c r="C39" s="209"/>
      <c r="D39" s="209"/>
      <c r="E39" s="209"/>
      <c r="F39" s="209"/>
      <c r="G39" s="209"/>
      <c r="H39" s="209"/>
      <c r="I39" s="209"/>
      <c r="J39" s="209"/>
      <c r="K39" s="209"/>
      <c r="L39" s="209"/>
      <c r="M39" s="209"/>
      <c r="N39" s="209"/>
      <c r="O39" s="209"/>
      <c r="P39" s="209"/>
      <c r="Q39" s="209"/>
      <c r="R39" s="209"/>
      <c r="S39" s="209"/>
      <c r="T39" s="209"/>
      <c r="U39" s="209"/>
      <c r="V39" s="209"/>
      <c r="W39" s="209"/>
      <c r="X39" s="209"/>
      <c r="Y39" s="209"/>
      <c r="Z39" s="209"/>
      <c r="AA39" s="209"/>
      <c r="AB39" s="209">
        <v>26035</v>
      </c>
      <c r="AC39" s="209">
        <v>30837</v>
      </c>
      <c r="AD39" s="209">
        <v>31078</v>
      </c>
      <c r="AE39" s="209">
        <v>39466</v>
      </c>
      <c r="AF39" s="209">
        <v>43180</v>
      </c>
      <c r="AG39" s="209">
        <v>48196</v>
      </c>
      <c r="AH39" s="12">
        <v>58346</v>
      </c>
      <c r="AI39" s="209">
        <v>67282</v>
      </c>
      <c r="AJ39" s="209">
        <v>113296</v>
      </c>
      <c r="AK39" s="209">
        <v>129108</v>
      </c>
      <c r="AL39" s="209">
        <v>136960</v>
      </c>
      <c r="AM39" s="209">
        <v>143676</v>
      </c>
      <c r="AN39" s="209">
        <v>158352</v>
      </c>
      <c r="AO39" s="209">
        <v>169040</v>
      </c>
      <c r="AP39" s="209">
        <v>180746</v>
      </c>
      <c r="AQ39" s="209">
        <v>186000</v>
      </c>
      <c r="AR39" s="209">
        <v>195000</v>
      </c>
      <c r="AS39" s="209">
        <v>200000</v>
      </c>
      <c r="AT39" s="209">
        <v>205000</v>
      </c>
      <c r="AU39" s="209">
        <v>210000</v>
      </c>
      <c r="AV39" s="209">
        <v>215000</v>
      </c>
      <c r="AW39" s="209">
        <v>221000</v>
      </c>
      <c r="AX39" s="209">
        <v>230000</v>
      </c>
      <c r="AY39" s="209">
        <v>235000</v>
      </c>
      <c r="AZ39" s="209">
        <f>[1]Model!$GT$52</f>
        <v>253060</v>
      </c>
      <c r="BA39" s="209">
        <f>[1]Model!$GU$52</f>
        <v>265020</v>
      </c>
      <c r="BB39" s="209">
        <f>[1]Model!$GV$52</f>
        <v>281924</v>
      </c>
      <c r="BC39" s="209">
        <f>[1]Model!$GW$52</f>
        <v>284886</v>
      </c>
      <c r="BD39" s="209">
        <f>[1]Model!$GX$52</f>
        <v>290086</v>
      </c>
      <c r="BE39" s="209">
        <f>[1]Model!$GY$52</f>
        <v>284396</v>
      </c>
      <c r="BF39" s="209">
        <f>[1]Model!$GZ$47</f>
        <v>284396</v>
      </c>
      <c r="BG39" s="209"/>
      <c r="BH39" s="209"/>
      <c r="BI39" s="209"/>
      <c r="BJ39" s="209"/>
      <c r="BK39" s="209"/>
    </row>
    <row r="40" spans="2:63" s="184" customFormat="1" ht="13.5" customHeight="1">
      <c r="B40" s="208" t="s">
        <v>466</v>
      </c>
      <c r="C40" s="208"/>
      <c r="D40" s="208"/>
      <c r="E40" s="208"/>
      <c r="F40" s="208"/>
      <c r="G40" s="208"/>
      <c r="H40" s="208"/>
      <c r="I40" s="208"/>
      <c r="J40" s="208"/>
      <c r="K40" s="208"/>
      <c r="L40" s="208"/>
      <c r="M40" s="208"/>
      <c r="N40" s="208"/>
      <c r="O40" s="208"/>
      <c r="P40" s="208"/>
      <c r="Q40" s="208"/>
      <c r="R40" s="208"/>
      <c r="S40" s="208"/>
      <c r="T40" s="208"/>
      <c r="U40" s="208"/>
      <c r="V40" s="208"/>
      <c r="W40" s="208"/>
      <c r="X40" s="208"/>
      <c r="Y40" s="208"/>
      <c r="Z40" s="208"/>
      <c r="AA40" s="208"/>
      <c r="AB40" s="208">
        <f t="shared" ref="AB40:AG40" si="43">AB39-AA39</f>
        <v>26035</v>
      </c>
      <c r="AC40" s="208">
        <f t="shared" si="43"/>
        <v>4802</v>
      </c>
      <c r="AD40" s="208">
        <f t="shared" si="43"/>
        <v>241</v>
      </c>
      <c r="AE40" s="208">
        <f t="shared" si="43"/>
        <v>8388</v>
      </c>
      <c r="AF40" s="208">
        <f t="shared" si="43"/>
        <v>3714</v>
      </c>
      <c r="AG40" s="208">
        <f t="shared" si="43"/>
        <v>5016</v>
      </c>
      <c r="AH40" s="208">
        <f t="shared" ref="AH40" si="44">AH39-AG39</f>
        <v>10150</v>
      </c>
      <c r="AI40" s="208">
        <f t="shared" ref="AI40" si="45">AI39-AH39</f>
        <v>8936</v>
      </c>
      <c r="AJ40" s="208">
        <f t="shared" ref="AJ40" si="46">AJ39-AI39</f>
        <v>46014</v>
      </c>
      <c r="AK40" s="208">
        <f t="shared" ref="AK40:AL40" si="47">AK39-AJ39</f>
        <v>15812</v>
      </c>
      <c r="AL40" s="208">
        <f t="shared" si="47"/>
        <v>7852</v>
      </c>
      <c r="AM40" s="208">
        <f t="shared" ref="AM40" si="48">AM39-AL39</f>
        <v>6716</v>
      </c>
      <c r="AN40" s="208">
        <f t="shared" ref="AN40" si="49">AN39-AM39</f>
        <v>14676</v>
      </c>
      <c r="AO40" s="208">
        <f t="shared" ref="AO40" si="50">AO39-AN39</f>
        <v>10688</v>
      </c>
      <c r="AP40" s="208">
        <f t="shared" ref="AP40" si="51">AP39-AO39</f>
        <v>11706</v>
      </c>
      <c r="AQ40" s="208">
        <f t="shared" ref="AQ40" si="52">AQ39-AP39</f>
        <v>5254</v>
      </c>
      <c r="AR40" s="208">
        <f t="shared" ref="AR40" si="53">AR39-AQ39</f>
        <v>9000</v>
      </c>
      <c r="AS40" s="208">
        <f t="shared" ref="AS40:BA40" si="54">AS39-AR39</f>
        <v>5000</v>
      </c>
      <c r="AT40" s="208">
        <f t="shared" si="54"/>
        <v>5000</v>
      </c>
      <c r="AU40" s="208">
        <f t="shared" si="54"/>
        <v>5000</v>
      </c>
      <c r="AV40" s="208">
        <f t="shared" si="54"/>
        <v>5000</v>
      </c>
      <c r="AW40" s="208">
        <f t="shared" si="54"/>
        <v>6000</v>
      </c>
      <c r="AX40" s="208">
        <f t="shared" si="54"/>
        <v>9000</v>
      </c>
      <c r="AY40" s="208">
        <f t="shared" si="54"/>
        <v>5000</v>
      </c>
      <c r="AZ40" s="208">
        <f t="shared" si="54"/>
        <v>18060</v>
      </c>
      <c r="BA40" s="208">
        <f t="shared" si="54"/>
        <v>11960</v>
      </c>
      <c r="BB40" s="208">
        <f t="shared" ref="BB40" si="55">BB39-BA39</f>
        <v>16904</v>
      </c>
      <c r="BC40" s="208">
        <f t="shared" ref="BC40" si="56">BC39-BB39</f>
        <v>2962</v>
      </c>
      <c r="BD40" s="208">
        <f t="shared" ref="BD40" si="57">BD39-BC39</f>
        <v>5200</v>
      </c>
      <c r="BE40" s="208">
        <f t="shared" ref="BE40:BF40" si="58">BE39-BD39</f>
        <v>-5690</v>
      </c>
      <c r="BF40" s="208">
        <f t="shared" si="58"/>
        <v>0</v>
      </c>
      <c r="BG40" s="208"/>
      <c r="BH40" s="208"/>
      <c r="BI40" s="208"/>
      <c r="BJ40" s="208"/>
      <c r="BK40" s="208"/>
    </row>
    <row r="41" spans="2:63" s="211" customFormat="1" ht="13.5" customHeight="1">
      <c r="B41" s="212" t="s">
        <v>465</v>
      </c>
      <c r="C41" s="212"/>
      <c r="D41" s="212"/>
      <c r="E41" s="212"/>
      <c r="F41" s="212"/>
      <c r="G41" s="212"/>
      <c r="H41" s="212"/>
      <c r="I41" s="212"/>
      <c r="J41" s="212"/>
      <c r="K41" s="212"/>
      <c r="L41" s="212"/>
      <c r="M41" s="212"/>
      <c r="N41" s="212"/>
      <c r="O41" s="212"/>
      <c r="P41" s="212"/>
      <c r="Q41" s="212"/>
      <c r="R41" s="212"/>
      <c r="S41" s="212"/>
      <c r="T41" s="212"/>
      <c r="U41" s="212"/>
      <c r="V41" s="212"/>
      <c r="W41" s="212"/>
      <c r="X41" s="212"/>
      <c r="Y41" s="212"/>
      <c r="Z41" s="212"/>
      <c r="AA41" s="212"/>
      <c r="AB41" s="212"/>
      <c r="AC41" s="212">
        <f t="shared" ref="AC41:AK41" si="59">AC39/AB39-1</f>
        <v>0.18444401766852314</v>
      </c>
      <c r="AD41" s="212">
        <f t="shared" si="59"/>
        <v>7.8152868307552747E-3</v>
      </c>
      <c r="AE41" s="212">
        <f t="shared" si="59"/>
        <v>0.26990153806551254</v>
      </c>
      <c r="AF41" s="212">
        <f t="shared" si="59"/>
        <v>9.4106319363502777E-2</v>
      </c>
      <c r="AG41" s="212">
        <f t="shared" si="59"/>
        <v>0.11616489115331174</v>
      </c>
      <c r="AH41" s="212">
        <f t="shared" si="59"/>
        <v>0.21059838990787627</v>
      </c>
      <c r="AI41" s="212">
        <f t="shared" si="59"/>
        <v>0.15315531484591927</v>
      </c>
      <c r="AJ41" s="212">
        <f t="shared" si="59"/>
        <v>0.68389762492197015</v>
      </c>
      <c r="AK41" s="212">
        <f t="shared" si="59"/>
        <v>0.13956362095749197</v>
      </c>
      <c r="AL41" s="212">
        <f t="shared" ref="AL41:AM41" si="60">AL39/AK39-1</f>
        <v>6.0817300244756289E-2</v>
      </c>
      <c r="AM41" s="212">
        <f t="shared" si="60"/>
        <v>4.903621495327104E-2</v>
      </c>
      <c r="AN41" s="212">
        <f t="shared" ref="AN41" si="61">AN39/AM39-1</f>
        <v>0.10214649628330408</v>
      </c>
      <c r="AO41" s="212">
        <f t="shared" ref="AO41" si="62">AO39/AN39-1</f>
        <v>6.7495200565828029E-2</v>
      </c>
      <c r="AP41" s="212">
        <f t="shared" ref="AP41" si="63">AP39/AO39-1</f>
        <v>6.924988168480839E-2</v>
      </c>
      <c r="AQ41" s="212">
        <f t="shared" ref="AQ41" si="64">AQ39/AP39-1</f>
        <v>2.9068416451816459E-2</v>
      </c>
      <c r="AR41" s="212">
        <f t="shared" ref="AR41" si="65">AR39/AQ39-1</f>
        <v>4.8387096774193505E-2</v>
      </c>
      <c r="AS41" s="212">
        <f t="shared" ref="AS41:BA41" si="66">AS39/AR39-1</f>
        <v>2.564102564102555E-2</v>
      </c>
      <c r="AT41" s="212">
        <f t="shared" si="66"/>
        <v>2.4999999999999911E-2</v>
      </c>
      <c r="AU41" s="212">
        <f t="shared" si="66"/>
        <v>2.4390243902439046E-2</v>
      </c>
      <c r="AV41" s="212">
        <f t="shared" si="66"/>
        <v>2.3809523809523725E-2</v>
      </c>
      <c r="AW41" s="212">
        <f t="shared" si="66"/>
        <v>2.7906976744185963E-2</v>
      </c>
      <c r="AX41" s="212">
        <f t="shared" si="66"/>
        <v>4.0723981900452566E-2</v>
      </c>
      <c r="AY41" s="212">
        <f t="shared" si="66"/>
        <v>2.1739130434782705E-2</v>
      </c>
      <c r="AZ41" s="212">
        <f t="shared" si="66"/>
        <v>7.6851063829787236E-2</v>
      </c>
      <c r="BA41" s="212">
        <f t="shared" si="66"/>
        <v>4.7261519007349984E-2</v>
      </c>
      <c r="BB41" s="212">
        <f t="shared" ref="BB41" si="67">BB39/BA39-1</f>
        <v>6.3783865368651327E-2</v>
      </c>
      <c r="BC41" s="212">
        <f t="shared" ref="BC41" si="68">BC39/BB39-1</f>
        <v>1.0506377605312034E-2</v>
      </c>
      <c r="BD41" s="212">
        <f t="shared" ref="BD41" si="69">BD39/BC39-1</f>
        <v>1.8252915201168118E-2</v>
      </c>
      <c r="BE41" s="212">
        <f t="shared" ref="BE41:BF41" si="70">BE39/BD39-1</f>
        <v>-1.9614872830815644E-2</v>
      </c>
      <c r="BF41" s="212">
        <f t="shared" si="70"/>
        <v>0</v>
      </c>
      <c r="BG41" s="212"/>
      <c r="BH41" s="212"/>
      <c r="BI41" s="212"/>
      <c r="BJ41" s="212"/>
      <c r="BK41" s="212"/>
    </row>
    <row r="42" spans="2:63" ht="13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5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</row>
    <row r="43" spans="2:63" s="183" customFormat="1" ht="13.5" customHeight="1">
      <c r="B43" s="209" t="s">
        <v>814</v>
      </c>
      <c r="C43" s="209"/>
      <c r="D43" s="209"/>
      <c r="E43" s="209"/>
      <c r="F43" s="209"/>
      <c r="G43" s="209"/>
      <c r="H43" s="209"/>
      <c r="I43" s="209"/>
      <c r="J43" s="209"/>
      <c r="K43" s="209"/>
      <c r="L43" s="209"/>
      <c r="M43" s="209"/>
      <c r="N43" s="209"/>
      <c r="O43" s="209"/>
      <c r="P43" s="209"/>
      <c r="Q43" s="209"/>
      <c r="R43" s="209"/>
      <c r="S43" s="209"/>
      <c r="T43" s="209"/>
      <c r="U43" s="209"/>
      <c r="V43" s="209"/>
      <c r="W43" s="209"/>
      <c r="X43" s="209"/>
      <c r="Y43" s="209"/>
      <c r="Z43" s="209"/>
      <c r="AA43" s="209">
        <v>14811</v>
      </c>
      <c r="AB43" s="209">
        <v>15381</v>
      </c>
      <c r="AC43" s="230">
        <v>18107</v>
      </c>
      <c r="AD43" s="209">
        <v>31635</v>
      </c>
      <c r="AE43" s="209">
        <v>31325</v>
      </c>
      <c r="AF43" s="183">
        <v>32850</v>
      </c>
      <c r="AG43" s="209">
        <v>38100</v>
      </c>
      <c r="AH43" s="209">
        <v>47696</v>
      </c>
      <c r="AI43" s="12">
        <v>54946</v>
      </c>
      <c r="AJ43" s="209">
        <v>60146</v>
      </c>
      <c r="AK43" s="209">
        <v>62246</v>
      </c>
      <c r="AL43" s="209">
        <v>62546</v>
      </c>
      <c r="AM43" s="209">
        <v>71656</v>
      </c>
      <c r="AN43" s="209">
        <v>75306</v>
      </c>
      <c r="AO43" s="209">
        <v>82156</v>
      </c>
      <c r="AP43" s="209">
        <v>84050</v>
      </c>
      <c r="AQ43" s="209">
        <v>92300</v>
      </c>
      <c r="AR43" s="209">
        <v>92650</v>
      </c>
      <c r="AS43" s="209">
        <v>98650</v>
      </c>
      <c r="AT43" s="209">
        <v>98750</v>
      </c>
      <c r="AU43" s="209">
        <v>105750</v>
      </c>
      <c r="AV43" s="209">
        <v>112700</v>
      </c>
      <c r="AW43" s="209">
        <v>123370</v>
      </c>
      <c r="AX43" s="209">
        <f>[2]Model!$DB$162</f>
        <v>123960</v>
      </c>
      <c r="AY43" s="209">
        <f>[2]Model!$DE$162</f>
        <v>130429</v>
      </c>
      <c r="AZ43" s="209">
        <f>[2]Model!$DJ$162</f>
        <v>138485</v>
      </c>
      <c r="BA43" s="209">
        <f>[2]Model!$DN$162</f>
        <v>145547</v>
      </c>
      <c r="BB43" s="209">
        <f>[2]Model!$DR$162</f>
        <v>152322</v>
      </c>
      <c r="BC43" s="209">
        <f>[2]Model!$DV$162</f>
        <v>160222</v>
      </c>
      <c r="BD43" s="209">
        <f>[2]Model!$DZ$162</f>
        <v>157872</v>
      </c>
      <c r="BE43" s="209">
        <f>[2]Model!$ED$162</f>
        <v>162872</v>
      </c>
      <c r="BF43" s="209">
        <f>[2]Model!$EH$162</f>
        <v>162872</v>
      </c>
      <c r="BG43" s="209"/>
      <c r="BH43" s="209"/>
      <c r="BI43" s="209"/>
      <c r="BJ43" s="209"/>
      <c r="BK43" s="209"/>
    </row>
    <row r="44" spans="2:63" s="184" customFormat="1" ht="13.5" customHeight="1">
      <c r="B44" s="208" t="s">
        <v>466</v>
      </c>
      <c r="C44" s="208"/>
      <c r="D44" s="208"/>
      <c r="E44" s="208"/>
      <c r="F44" s="208"/>
      <c r="G44" s="208"/>
      <c r="H44" s="208"/>
      <c r="I44" s="208"/>
      <c r="J44" s="208"/>
      <c r="K44" s="208"/>
      <c r="L44" s="208"/>
      <c r="M44" s="208"/>
      <c r="N44" s="208"/>
      <c r="O44" s="208"/>
      <c r="P44" s="208"/>
      <c r="Q44" s="208"/>
      <c r="R44" s="208"/>
      <c r="S44" s="208"/>
      <c r="T44" s="208"/>
      <c r="U44" s="208"/>
      <c r="V44" s="208"/>
      <c r="W44" s="208"/>
      <c r="X44" s="208"/>
      <c r="Y44" s="208"/>
      <c r="Z44" s="208"/>
      <c r="AA44" s="208">
        <f t="shared" ref="AA44:AP44" si="71">AA43-Z43</f>
        <v>14811</v>
      </c>
      <c r="AB44" s="208">
        <f t="shared" si="71"/>
        <v>570</v>
      </c>
      <c r="AC44" s="208">
        <f t="shared" si="71"/>
        <v>2726</v>
      </c>
      <c r="AD44" s="208">
        <f t="shared" si="71"/>
        <v>13528</v>
      </c>
      <c r="AE44" s="208">
        <f t="shared" si="71"/>
        <v>-310</v>
      </c>
      <c r="AF44" s="208">
        <f t="shared" si="71"/>
        <v>1525</v>
      </c>
      <c r="AG44" s="208">
        <f t="shared" si="71"/>
        <v>5250</v>
      </c>
      <c r="AH44" s="208">
        <f t="shared" si="71"/>
        <v>9596</v>
      </c>
      <c r="AI44" s="208">
        <f t="shared" si="71"/>
        <v>7250</v>
      </c>
      <c r="AJ44" s="208">
        <f t="shared" si="71"/>
        <v>5200</v>
      </c>
      <c r="AK44" s="208">
        <f t="shared" si="71"/>
        <v>2100</v>
      </c>
      <c r="AL44" s="208">
        <f t="shared" si="71"/>
        <v>300</v>
      </c>
      <c r="AM44" s="208">
        <f t="shared" si="71"/>
        <v>9110</v>
      </c>
      <c r="AN44" s="208">
        <f t="shared" si="71"/>
        <v>3650</v>
      </c>
      <c r="AO44" s="208">
        <f t="shared" si="71"/>
        <v>6850</v>
      </c>
      <c r="AP44" s="208">
        <f t="shared" si="71"/>
        <v>1894</v>
      </c>
      <c r="AQ44" s="208">
        <f t="shared" ref="AQ44:AW44" si="72">AQ43-AP43</f>
        <v>8250</v>
      </c>
      <c r="AR44" s="208">
        <f t="shared" si="72"/>
        <v>350</v>
      </c>
      <c r="AS44" s="208">
        <f t="shared" si="72"/>
        <v>6000</v>
      </c>
      <c r="AT44" s="208">
        <f t="shared" si="72"/>
        <v>100</v>
      </c>
      <c r="AU44" s="208">
        <f t="shared" si="72"/>
        <v>7000</v>
      </c>
      <c r="AV44" s="208">
        <f t="shared" si="72"/>
        <v>6950</v>
      </c>
      <c r="AW44" s="208">
        <f t="shared" si="72"/>
        <v>10670</v>
      </c>
      <c r="AX44" s="208">
        <f t="shared" ref="AX44" si="73">AX43-AW43</f>
        <v>590</v>
      </c>
      <c r="AY44" s="208">
        <f t="shared" ref="AY44" si="74">AY43-AX43</f>
        <v>6469</v>
      </c>
      <c r="AZ44" s="208">
        <f t="shared" ref="AZ44" si="75">AZ43-AY43</f>
        <v>8056</v>
      </c>
      <c r="BA44" s="208">
        <f t="shared" ref="BA44" si="76">BA43-AZ43</f>
        <v>7062</v>
      </c>
      <c r="BB44" s="208">
        <f t="shared" ref="BB44" si="77">BB43-BA43</f>
        <v>6775</v>
      </c>
      <c r="BC44" s="208">
        <f t="shared" ref="BC44" si="78">BC43-BB43</f>
        <v>7900</v>
      </c>
      <c r="BD44" s="208">
        <f t="shared" ref="BD44" si="79">BD43-BC43</f>
        <v>-2350</v>
      </c>
      <c r="BE44" s="208">
        <f t="shared" ref="BE44" si="80">BE43-BD43</f>
        <v>5000</v>
      </c>
      <c r="BF44" s="208">
        <f t="shared" ref="BF44" si="81">BF43-BE43</f>
        <v>0</v>
      </c>
      <c r="BG44" s="208"/>
      <c r="BH44" s="208"/>
      <c r="BI44" s="208"/>
      <c r="BJ44" s="208"/>
      <c r="BK44" s="208"/>
    </row>
    <row r="45" spans="2:63" s="211" customFormat="1" ht="13.5" customHeight="1">
      <c r="B45" s="212" t="s">
        <v>465</v>
      </c>
      <c r="C45" s="212"/>
      <c r="D45" s="212"/>
      <c r="E45" s="212"/>
      <c r="F45" s="212"/>
      <c r="G45" s="212"/>
      <c r="H45" s="212"/>
      <c r="I45" s="212"/>
      <c r="J45" s="212"/>
      <c r="K45" s="212"/>
      <c r="L45" s="212"/>
      <c r="M45" s="212"/>
      <c r="N45" s="212"/>
      <c r="O45" s="212"/>
      <c r="P45" s="212"/>
      <c r="Q45" s="212"/>
      <c r="R45" s="212"/>
      <c r="S45" s="212"/>
      <c r="T45" s="212"/>
      <c r="U45" s="212"/>
      <c r="V45" s="212"/>
      <c r="W45" s="212"/>
      <c r="X45" s="212"/>
      <c r="Y45" s="212"/>
      <c r="Z45" s="212"/>
      <c r="AA45" s="212"/>
      <c r="AB45" s="212">
        <f t="shared" ref="AB45:AP45" si="82">AB44/AA43</f>
        <v>3.8484909864290054E-2</v>
      </c>
      <c r="AC45" s="212">
        <f t="shared" si="82"/>
        <v>0.17723164943761785</v>
      </c>
      <c r="AD45" s="212">
        <f t="shared" si="82"/>
        <v>0.74711437565582373</v>
      </c>
      <c r="AE45" s="212">
        <f t="shared" si="82"/>
        <v>-9.7992729571676936E-3</v>
      </c>
      <c r="AF45" s="212">
        <f t="shared" si="82"/>
        <v>4.8683160415003993E-2</v>
      </c>
      <c r="AG45" s="212">
        <f t="shared" si="82"/>
        <v>0.15981735159817351</v>
      </c>
      <c r="AH45" s="212">
        <f t="shared" si="82"/>
        <v>0.25186351706036747</v>
      </c>
      <c r="AI45" s="212">
        <f t="shared" si="82"/>
        <v>0.15200436095270042</v>
      </c>
      <c r="AJ45" s="212">
        <f t="shared" si="82"/>
        <v>9.463837221999781E-2</v>
      </c>
      <c r="AK45" s="212">
        <f t="shared" si="82"/>
        <v>3.4915040069165029E-2</v>
      </c>
      <c r="AL45" s="212">
        <f t="shared" si="82"/>
        <v>4.8195868007582816E-3</v>
      </c>
      <c r="AM45" s="212">
        <f t="shared" si="82"/>
        <v>0.14565279953953891</v>
      </c>
      <c r="AN45" s="212">
        <f t="shared" si="82"/>
        <v>5.0937814000223292E-2</v>
      </c>
      <c r="AO45" s="212">
        <f t="shared" si="82"/>
        <v>9.0962207526624705E-2</v>
      </c>
      <c r="AP45" s="212">
        <f t="shared" si="82"/>
        <v>2.3053702711913919E-2</v>
      </c>
      <c r="AQ45" s="212">
        <f t="shared" ref="AQ45:AW45" si="83">AQ44/AP43</f>
        <v>9.8155859607376564E-2</v>
      </c>
      <c r="AR45" s="212">
        <f t="shared" si="83"/>
        <v>3.791982665222102E-3</v>
      </c>
      <c r="AS45" s="212">
        <f t="shared" si="83"/>
        <v>6.4759848893685912E-2</v>
      </c>
      <c r="AT45" s="212">
        <f t="shared" si="83"/>
        <v>1.0136847440446021E-3</v>
      </c>
      <c r="AU45" s="212">
        <f t="shared" si="83"/>
        <v>7.0886075949367092E-2</v>
      </c>
      <c r="AV45" s="212">
        <f t="shared" si="83"/>
        <v>6.5721040189125293E-2</v>
      </c>
      <c r="AW45" s="212">
        <f t="shared" si="83"/>
        <v>9.4676131322094056E-2</v>
      </c>
      <c r="AX45" s="212">
        <f t="shared" ref="AX45" si="84">AX44/AW43</f>
        <v>4.7823620004863419E-3</v>
      </c>
      <c r="AY45" s="212">
        <f t="shared" ref="AY45" si="85">AY44/AX43</f>
        <v>5.218618909325589E-2</v>
      </c>
      <c r="AZ45" s="212">
        <f t="shared" ref="AZ45" si="86">AZ44/AY43</f>
        <v>6.1765404932952024E-2</v>
      </c>
      <c r="BA45" s="212">
        <f t="shared" ref="BA45" si="87">BA44/AZ43</f>
        <v>5.0994692565981874E-2</v>
      </c>
      <c r="BB45" s="212">
        <f t="shared" ref="BB45" si="88">BB44/BA43</f>
        <v>4.654853758579703E-2</v>
      </c>
      <c r="BC45" s="212">
        <f t="shared" ref="BC45" si="89">BC44/BB43</f>
        <v>5.1863814813355918E-2</v>
      </c>
      <c r="BD45" s="212">
        <f t="shared" ref="BD45" si="90">BD44/BC43</f>
        <v>-1.4667149330304203E-2</v>
      </c>
      <c r="BE45" s="212">
        <f t="shared" ref="BE45" si="91">BE44/BD43</f>
        <v>3.167122732340124E-2</v>
      </c>
      <c r="BF45" s="212">
        <f t="shared" ref="BF45" si="92">BF44/BE43</f>
        <v>0</v>
      </c>
      <c r="BG45" s="212"/>
      <c r="BH45" s="212"/>
      <c r="BI45" s="212"/>
      <c r="BJ45" s="212"/>
      <c r="BK45" s="212"/>
    </row>
    <row r="46" spans="2:63" ht="13.5" customHeight="1">
      <c r="AP46" s="185"/>
      <c r="AQ46" s="185"/>
      <c r="AR46" s="185"/>
      <c r="AS46" s="185"/>
      <c r="AT46" s="185"/>
      <c r="AU46" s="185"/>
      <c r="AV46" s="185"/>
      <c r="AW46" s="185"/>
      <c r="AX46" s="185"/>
      <c r="AY46" s="185"/>
    </row>
    <row r="48" spans="2:63" s="210" customFormat="1" ht="13.5" customHeight="1">
      <c r="B48" s="196" t="s">
        <v>817</v>
      </c>
      <c r="C48" s="199">
        <f t="shared" ref="C48:AV48" si="93">C$1</f>
        <v>25933</v>
      </c>
      <c r="D48" s="199">
        <f t="shared" si="93"/>
        <v>26298</v>
      </c>
      <c r="E48" s="199">
        <f t="shared" si="93"/>
        <v>26664</v>
      </c>
      <c r="F48" s="199">
        <f t="shared" si="93"/>
        <v>27029</v>
      </c>
      <c r="G48" s="199">
        <f t="shared" si="93"/>
        <v>27394</v>
      </c>
      <c r="H48" s="199">
        <f t="shared" si="93"/>
        <v>27759</v>
      </c>
      <c r="I48" s="199">
        <f t="shared" si="93"/>
        <v>28125</v>
      </c>
      <c r="J48" s="199">
        <f t="shared" si="93"/>
        <v>28490</v>
      </c>
      <c r="K48" s="199">
        <f t="shared" si="93"/>
        <v>28855</v>
      </c>
      <c r="L48" s="199">
        <f t="shared" si="93"/>
        <v>29220</v>
      </c>
      <c r="M48" s="199">
        <f t="shared" si="93"/>
        <v>29586</v>
      </c>
      <c r="N48" s="199">
        <f t="shared" si="93"/>
        <v>29951</v>
      </c>
      <c r="O48" s="199">
        <f t="shared" si="93"/>
        <v>30316</v>
      </c>
      <c r="P48" s="199">
        <f t="shared" si="93"/>
        <v>30681</v>
      </c>
      <c r="Q48" s="199">
        <f t="shared" si="93"/>
        <v>31047</v>
      </c>
      <c r="R48" s="199">
        <f t="shared" si="93"/>
        <v>31412</v>
      </c>
      <c r="S48" s="199">
        <f t="shared" si="93"/>
        <v>31777</v>
      </c>
      <c r="T48" s="199">
        <f t="shared" si="93"/>
        <v>32142</v>
      </c>
      <c r="U48" s="199">
        <f t="shared" si="93"/>
        <v>32508</v>
      </c>
      <c r="V48" s="199">
        <f t="shared" si="93"/>
        <v>32873</v>
      </c>
      <c r="W48" s="199">
        <f t="shared" si="93"/>
        <v>33238</v>
      </c>
      <c r="X48" s="199">
        <f t="shared" si="93"/>
        <v>33603</v>
      </c>
      <c r="Y48" s="199">
        <f t="shared" si="93"/>
        <v>33969</v>
      </c>
      <c r="Z48" s="199">
        <f t="shared" si="93"/>
        <v>34334</v>
      </c>
      <c r="AA48" s="199">
        <f t="shared" si="93"/>
        <v>34699</v>
      </c>
      <c r="AB48" s="199">
        <f t="shared" si="93"/>
        <v>35064</v>
      </c>
      <c r="AC48" s="199">
        <f t="shared" si="93"/>
        <v>35430</v>
      </c>
      <c r="AD48" s="199">
        <f t="shared" si="93"/>
        <v>35795</v>
      </c>
      <c r="AE48" s="199">
        <f t="shared" si="93"/>
        <v>36160</v>
      </c>
      <c r="AF48" s="199">
        <f t="shared" si="93"/>
        <v>36525</v>
      </c>
      <c r="AG48" s="199">
        <f t="shared" si="93"/>
        <v>36891</v>
      </c>
      <c r="AH48" s="199">
        <f t="shared" si="93"/>
        <v>37256</v>
      </c>
      <c r="AI48" s="199">
        <f t="shared" si="93"/>
        <v>37621</v>
      </c>
      <c r="AJ48" s="199">
        <f t="shared" si="93"/>
        <v>37986</v>
      </c>
      <c r="AK48" s="199">
        <f t="shared" si="93"/>
        <v>38352</v>
      </c>
      <c r="AL48" s="199">
        <f t="shared" si="93"/>
        <v>38717</v>
      </c>
      <c r="AM48" s="199">
        <f t="shared" si="93"/>
        <v>39082</v>
      </c>
      <c r="AN48" s="199">
        <f t="shared" si="93"/>
        <v>39447</v>
      </c>
      <c r="AO48" s="199">
        <f t="shared" si="93"/>
        <v>39813</v>
      </c>
      <c r="AP48" s="199">
        <f t="shared" si="93"/>
        <v>40178</v>
      </c>
      <c r="AQ48" s="199">
        <f t="shared" si="93"/>
        <v>40543</v>
      </c>
      <c r="AR48" s="199">
        <f t="shared" si="93"/>
        <v>40908</v>
      </c>
      <c r="AS48" s="199">
        <f t="shared" si="93"/>
        <v>41274</v>
      </c>
      <c r="AT48" s="199">
        <f t="shared" si="93"/>
        <v>41639</v>
      </c>
      <c r="AU48" s="199">
        <f t="shared" si="93"/>
        <v>42004</v>
      </c>
      <c r="AV48" s="199">
        <f t="shared" si="93"/>
        <v>42369</v>
      </c>
      <c r="AW48" s="199">
        <f>AW$1</f>
        <v>42735</v>
      </c>
      <c r="AX48" s="199">
        <f t="shared" ref="AX48:BK48" si="94">AX$1</f>
        <v>43100</v>
      </c>
      <c r="AY48" s="199">
        <f t="shared" si="94"/>
        <v>43465</v>
      </c>
      <c r="AZ48" s="199">
        <f t="shared" si="94"/>
        <v>43830</v>
      </c>
      <c r="BA48" s="199">
        <f t="shared" si="94"/>
        <v>44196</v>
      </c>
      <c r="BB48" s="199">
        <f t="shared" si="94"/>
        <v>44561</v>
      </c>
      <c r="BC48" s="199">
        <f t="shared" si="94"/>
        <v>44926</v>
      </c>
      <c r="BD48" s="199">
        <f t="shared" si="94"/>
        <v>45291</v>
      </c>
      <c r="BE48" s="199">
        <f t="shared" si="94"/>
        <v>45657</v>
      </c>
      <c r="BF48" s="199">
        <f t="shared" si="94"/>
        <v>46022</v>
      </c>
      <c r="BG48" s="199">
        <f t="shared" si="94"/>
        <v>46387</v>
      </c>
      <c r="BH48" s="199">
        <f t="shared" si="94"/>
        <v>46752</v>
      </c>
      <c r="BI48" s="199">
        <f t="shared" si="94"/>
        <v>47118</v>
      </c>
      <c r="BJ48" s="199">
        <f t="shared" si="94"/>
        <v>47483</v>
      </c>
      <c r="BK48" s="199">
        <f t="shared" si="94"/>
        <v>47848</v>
      </c>
    </row>
    <row r="49" spans="2:63" s="21" customFormat="1" ht="13.5" customHeight="1">
      <c r="B49" s="23" t="s">
        <v>818</v>
      </c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4"/>
      <c r="AI49" s="23"/>
      <c r="AJ49" s="227">
        <v>0.35099999999999998</v>
      </c>
      <c r="AK49" s="197"/>
      <c r="AL49" s="23"/>
      <c r="AM49" s="23"/>
      <c r="AN49" s="23"/>
      <c r="AO49" s="23"/>
      <c r="AP49" s="23"/>
      <c r="AQ49" s="23"/>
      <c r="AR49" s="23"/>
      <c r="AS49" s="23"/>
      <c r="AT49" s="197">
        <v>0.373</v>
      </c>
      <c r="AU49" s="197">
        <v>0.373</v>
      </c>
      <c r="AV49" s="197">
        <v>0.35499999999999998</v>
      </c>
      <c r="AW49" s="197">
        <v>0.33700000000000002</v>
      </c>
      <c r="AX49" s="197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</row>
    <row r="50" spans="2:63" s="21" customFormat="1" ht="13.5" customHeight="1">
      <c r="B50" s="23" t="s">
        <v>191</v>
      </c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4"/>
      <c r="AI50" s="23"/>
      <c r="AJ50" s="227">
        <v>0.13700000000000001</v>
      </c>
      <c r="AK50" s="197"/>
      <c r="AL50" s="23"/>
      <c r="AM50" s="23"/>
      <c r="AN50" s="23"/>
      <c r="AO50" s="23"/>
      <c r="AP50" s="23"/>
      <c r="AQ50" s="23"/>
      <c r="AR50" s="23"/>
      <c r="AS50" s="23"/>
      <c r="AT50" s="197">
        <v>0.19900000000000001</v>
      </c>
      <c r="AU50" s="197">
        <v>0.189</v>
      </c>
      <c r="AV50" s="197">
        <v>0.19500000000000001</v>
      </c>
      <c r="AW50" s="197">
        <v>0.187</v>
      </c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</row>
    <row r="51" spans="2:63" s="21" customFormat="1" ht="13.5" customHeight="1">
      <c r="B51" s="23" t="s">
        <v>537</v>
      </c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4"/>
      <c r="AI51" s="23"/>
      <c r="AJ51" s="227">
        <v>4.4999999999999998E-2</v>
      </c>
      <c r="AK51" s="197"/>
      <c r="AL51" s="23"/>
      <c r="AM51" s="23"/>
      <c r="AN51" s="23"/>
      <c r="AO51" s="23"/>
      <c r="AP51" s="23"/>
      <c r="AQ51" s="23"/>
      <c r="AR51" s="23"/>
      <c r="AS51" s="23"/>
      <c r="AT51" s="197">
        <v>9.8000000000000004E-2</v>
      </c>
      <c r="AU51" s="197">
        <v>0.111</v>
      </c>
      <c r="AV51" s="197">
        <v>0.106</v>
      </c>
      <c r="AW51" s="197">
        <v>0.11700000000000001</v>
      </c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</row>
    <row r="52" spans="2:63" s="21" customFormat="1" ht="13.5" customHeight="1">
      <c r="B52" s="23" t="s">
        <v>188</v>
      </c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4"/>
      <c r="AI52" s="23"/>
      <c r="AJ52" s="23"/>
      <c r="AK52" s="197"/>
      <c r="AL52" s="23"/>
      <c r="AM52" s="23"/>
      <c r="AN52" s="23"/>
      <c r="AO52" s="23"/>
      <c r="AP52" s="23"/>
      <c r="AQ52" s="23"/>
      <c r="AR52" s="23"/>
      <c r="AS52" s="23"/>
      <c r="AT52" s="197">
        <v>3.5999999999999997E-2</v>
      </c>
      <c r="AU52" s="197">
        <v>4.3999999999999997E-2</v>
      </c>
      <c r="AV52" s="197">
        <v>0.06</v>
      </c>
      <c r="AW52" s="197">
        <v>9.1999999999999998E-2</v>
      </c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</row>
    <row r="53" spans="2:63" s="21" customFormat="1" ht="13.5" customHeight="1">
      <c r="B53" s="23" t="s">
        <v>819</v>
      </c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4"/>
      <c r="AI53" s="23"/>
      <c r="AJ53" s="23"/>
      <c r="AK53" s="197"/>
      <c r="AL53" s="23"/>
      <c r="AM53" s="23"/>
      <c r="AN53" s="23"/>
      <c r="AO53" s="23"/>
      <c r="AP53" s="23"/>
      <c r="AQ53" s="23"/>
      <c r="AR53" s="23"/>
      <c r="AS53" s="23"/>
      <c r="AT53" s="197">
        <v>4.1000000000000002E-2</v>
      </c>
      <c r="AU53" s="197">
        <v>5.8999999999999997E-2</v>
      </c>
      <c r="AV53" s="197">
        <v>0.06</v>
      </c>
      <c r="AW53" s="197">
        <v>6.0999999999999999E-2</v>
      </c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</row>
    <row r="54" spans="2:63" s="21" customFormat="1" ht="13.5" customHeight="1">
      <c r="B54" s="23" t="s">
        <v>535</v>
      </c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4"/>
      <c r="AI54" s="23"/>
      <c r="AJ54" s="23"/>
      <c r="AK54" s="197"/>
      <c r="AL54" s="23"/>
      <c r="AM54" s="23"/>
      <c r="AN54" s="23"/>
      <c r="AO54" s="23"/>
      <c r="AP54" s="23"/>
      <c r="AQ54" s="23"/>
      <c r="AR54" s="23"/>
      <c r="AS54" s="23"/>
      <c r="AT54" s="197">
        <v>5.3999999999999999E-2</v>
      </c>
      <c r="AU54" s="197">
        <v>4.4999999999999998E-2</v>
      </c>
      <c r="AV54" s="197">
        <v>4.4999999999999998E-2</v>
      </c>
      <c r="AW54" s="197">
        <v>4.1000000000000002E-2</v>
      </c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</row>
    <row r="55" spans="2:63" s="21" customFormat="1" ht="13.5" customHeight="1">
      <c r="B55" s="23" t="s">
        <v>536</v>
      </c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4"/>
      <c r="AI55" s="23"/>
      <c r="AJ55" s="23"/>
      <c r="AK55" s="197"/>
      <c r="AL55" s="23"/>
      <c r="AM55" s="23"/>
      <c r="AN55" s="23"/>
      <c r="AO55" s="23"/>
      <c r="AP55" s="23"/>
      <c r="AQ55" s="23"/>
      <c r="AR55" s="23"/>
      <c r="AS55" s="23"/>
      <c r="AT55" s="197">
        <v>3.4000000000000002E-2</v>
      </c>
      <c r="AU55" s="197">
        <v>3.3000000000000002E-2</v>
      </c>
      <c r="AV55" s="197">
        <v>2.9000000000000001E-2</v>
      </c>
      <c r="AW55" s="197">
        <v>2.7E-2</v>
      </c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</row>
    <row r="56" spans="2:63" s="3" customFormat="1" ht="13.5" customHeight="1">
      <c r="B56" s="23" t="s">
        <v>832</v>
      </c>
      <c r="AH56" s="5"/>
      <c r="AK56" s="197"/>
    </row>
    <row r="57" spans="2:63" s="23" customFormat="1" ht="13.5" customHeight="1">
      <c r="B57" s="23" t="s">
        <v>417</v>
      </c>
      <c r="AH57" s="4"/>
      <c r="AK57" s="197"/>
      <c r="AT57" s="197">
        <f>AT58-SUM(AT49:AT56)</f>
        <v>0.16499999999999981</v>
      </c>
      <c r="AU57" s="197">
        <f>AU58-SUM(AU49:AU56)</f>
        <v>0.14599999999999991</v>
      </c>
      <c r="AV57" s="197">
        <f t="shared" ref="AV57:AW57" si="95">AV58-SUM(AV49:AV56)</f>
        <v>0.14999999999999991</v>
      </c>
      <c r="AW57" s="197">
        <f t="shared" si="95"/>
        <v>0.1379999999999999</v>
      </c>
    </row>
    <row r="58" spans="2:63" s="23" customFormat="1" ht="13.5" customHeight="1">
      <c r="B58" s="23" t="s">
        <v>295</v>
      </c>
      <c r="AH58" s="4"/>
      <c r="AK58" s="198">
        <v>1</v>
      </c>
      <c r="AT58" s="198">
        <v>1</v>
      </c>
      <c r="AU58" s="198">
        <v>1</v>
      </c>
      <c r="AV58" s="198">
        <v>1</v>
      </c>
      <c r="AW58" s="198">
        <v>1</v>
      </c>
    </row>
    <row r="59" spans="2:63" ht="13.5" customHeight="1">
      <c r="X59" s="184"/>
      <c r="Y59" s="184"/>
      <c r="Z59" s="184"/>
      <c r="AA59" s="184"/>
      <c r="AB59" s="184"/>
      <c r="AC59" s="184"/>
      <c r="AD59" s="184"/>
      <c r="AE59" s="184"/>
      <c r="AF59" s="184"/>
      <c r="AG59" s="184"/>
      <c r="AH59" s="184"/>
      <c r="AI59" s="184"/>
      <c r="AJ59" s="184"/>
      <c r="AK59" s="184"/>
      <c r="AL59" s="184"/>
      <c r="AM59" s="184"/>
      <c r="AN59" s="184"/>
      <c r="AS59" s="185"/>
      <c r="AT59" s="185"/>
      <c r="AU59" s="185"/>
      <c r="AV59" s="185"/>
      <c r="AW59" s="185"/>
      <c r="AX59" s="185"/>
      <c r="AY59" s="185"/>
    </row>
    <row r="60" spans="2:63" s="210" customFormat="1" ht="13.5" customHeight="1">
      <c r="B60" s="196" t="s">
        <v>817</v>
      </c>
      <c r="C60" s="199">
        <f t="shared" ref="C60:AV60" si="96">C$1</f>
        <v>25933</v>
      </c>
      <c r="D60" s="199">
        <f t="shared" si="96"/>
        <v>26298</v>
      </c>
      <c r="E60" s="199">
        <f t="shared" si="96"/>
        <v>26664</v>
      </c>
      <c r="F60" s="199">
        <f t="shared" si="96"/>
        <v>27029</v>
      </c>
      <c r="G60" s="199">
        <f t="shared" si="96"/>
        <v>27394</v>
      </c>
      <c r="H60" s="199">
        <f t="shared" si="96"/>
        <v>27759</v>
      </c>
      <c r="I60" s="199">
        <f t="shared" si="96"/>
        <v>28125</v>
      </c>
      <c r="J60" s="199">
        <f t="shared" si="96"/>
        <v>28490</v>
      </c>
      <c r="K60" s="199">
        <f t="shared" si="96"/>
        <v>28855</v>
      </c>
      <c r="L60" s="199">
        <f t="shared" si="96"/>
        <v>29220</v>
      </c>
      <c r="M60" s="199">
        <f t="shared" si="96"/>
        <v>29586</v>
      </c>
      <c r="N60" s="199">
        <f t="shared" si="96"/>
        <v>29951</v>
      </c>
      <c r="O60" s="199">
        <f t="shared" si="96"/>
        <v>30316</v>
      </c>
      <c r="P60" s="199">
        <f t="shared" si="96"/>
        <v>30681</v>
      </c>
      <c r="Q60" s="199">
        <f t="shared" si="96"/>
        <v>31047</v>
      </c>
      <c r="R60" s="199">
        <f t="shared" si="96"/>
        <v>31412</v>
      </c>
      <c r="S60" s="199">
        <f t="shared" si="96"/>
        <v>31777</v>
      </c>
      <c r="T60" s="199">
        <f t="shared" si="96"/>
        <v>32142</v>
      </c>
      <c r="U60" s="199">
        <f t="shared" si="96"/>
        <v>32508</v>
      </c>
      <c r="V60" s="199">
        <f t="shared" si="96"/>
        <v>32873</v>
      </c>
      <c r="W60" s="199">
        <f t="shared" si="96"/>
        <v>33238</v>
      </c>
      <c r="X60" s="199">
        <f t="shared" si="96"/>
        <v>33603</v>
      </c>
      <c r="Y60" s="199">
        <f t="shared" si="96"/>
        <v>33969</v>
      </c>
      <c r="Z60" s="199">
        <f t="shared" si="96"/>
        <v>34334</v>
      </c>
      <c r="AA60" s="199">
        <f t="shared" si="96"/>
        <v>34699</v>
      </c>
      <c r="AB60" s="199">
        <f t="shared" si="96"/>
        <v>35064</v>
      </c>
      <c r="AC60" s="199">
        <f t="shared" si="96"/>
        <v>35430</v>
      </c>
      <c r="AD60" s="199">
        <f t="shared" si="96"/>
        <v>35795</v>
      </c>
      <c r="AE60" s="199">
        <f t="shared" si="96"/>
        <v>36160</v>
      </c>
      <c r="AF60" s="199">
        <f t="shared" si="96"/>
        <v>36525</v>
      </c>
      <c r="AG60" s="199">
        <f t="shared" si="96"/>
        <v>36891</v>
      </c>
      <c r="AH60" s="199">
        <f t="shared" si="96"/>
        <v>37256</v>
      </c>
      <c r="AI60" s="199">
        <f t="shared" si="96"/>
        <v>37621</v>
      </c>
      <c r="AJ60" s="199">
        <f t="shared" si="96"/>
        <v>37986</v>
      </c>
      <c r="AK60" s="199">
        <f t="shared" si="96"/>
        <v>38352</v>
      </c>
      <c r="AL60" s="199">
        <f t="shared" si="96"/>
        <v>38717</v>
      </c>
      <c r="AM60" s="199">
        <f t="shared" si="96"/>
        <v>39082</v>
      </c>
      <c r="AN60" s="199">
        <f t="shared" si="96"/>
        <v>39447</v>
      </c>
      <c r="AO60" s="199">
        <f t="shared" si="96"/>
        <v>39813</v>
      </c>
      <c r="AP60" s="199">
        <f t="shared" si="96"/>
        <v>40178</v>
      </c>
      <c r="AQ60" s="199">
        <f t="shared" si="96"/>
        <v>40543</v>
      </c>
      <c r="AR60" s="199">
        <f t="shared" si="96"/>
        <v>40908</v>
      </c>
      <c r="AS60" s="199">
        <f t="shared" si="96"/>
        <v>41274</v>
      </c>
      <c r="AT60" s="199">
        <f t="shared" si="96"/>
        <v>41639</v>
      </c>
      <c r="AU60" s="199">
        <f t="shared" si="96"/>
        <v>42004</v>
      </c>
      <c r="AV60" s="199">
        <f t="shared" si="96"/>
        <v>42369</v>
      </c>
      <c r="AW60" s="199">
        <f>AW$1</f>
        <v>42735</v>
      </c>
      <c r="AX60" s="199">
        <f t="shared" ref="AX60:BK60" si="97">AX$1</f>
        <v>43100</v>
      </c>
      <c r="AY60" s="199">
        <f t="shared" si="97"/>
        <v>43465</v>
      </c>
      <c r="AZ60" s="199">
        <f t="shared" si="97"/>
        <v>43830</v>
      </c>
      <c r="BA60" s="199">
        <f t="shared" si="97"/>
        <v>44196</v>
      </c>
      <c r="BB60" s="199">
        <f t="shared" si="97"/>
        <v>44561</v>
      </c>
      <c r="BC60" s="199">
        <f t="shared" si="97"/>
        <v>44926</v>
      </c>
      <c r="BD60" s="199">
        <f t="shared" si="97"/>
        <v>45291</v>
      </c>
      <c r="BE60" s="199">
        <f t="shared" si="97"/>
        <v>45657</v>
      </c>
      <c r="BF60" s="199">
        <f t="shared" si="97"/>
        <v>46022</v>
      </c>
      <c r="BG60" s="199">
        <f t="shared" si="97"/>
        <v>46387</v>
      </c>
      <c r="BH60" s="199">
        <f t="shared" si="97"/>
        <v>46752</v>
      </c>
      <c r="BI60" s="199">
        <f t="shared" si="97"/>
        <v>47118</v>
      </c>
      <c r="BJ60" s="199">
        <f t="shared" si="97"/>
        <v>47483</v>
      </c>
      <c r="BK60" s="199">
        <f t="shared" si="97"/>
        <v>47848</v>
      </c>
    </row>
    <row r="61" spans="2:63" s="3" customFormat="1" ht="13.5" customHeight="1">
      <c r="B61" s="23" t="s">
        <v>818</v>
      </c>
      <c r="X61" s="208"/>
      <c r="Y61" s="208"/>
      <c r="Z61" s="208"/>
      <c r="AA61" s="208"/>
      <c r="AB61" s="208"/>
      <c r="AC61" s="208"/>
      <c r="AD61" s="208"/>
      <c r="AE61" s="208"/>
      <c r="AF61" s="208"/>
      <c r="AG61" s="208"/>
      <c r="AH61" s="208"/>
      <c r="AI61" s="208"/>
      <c r="AJ61" s="208"/>
      <c r="AK61" s="208"/>
      <c r="AL61" s="208"/>
      <c r="AM61" s="208"/>
      <c r="AN61" s="208"/>
      <c r="AS61" s="197"/>
      <c r="AT61" s="197"/>
      <c r="AU61" s="212">
        <f>(AU49*AU$35)/(AT49*AT$35)-1</f>
        <v>3.1325301204819356E-2</v>
      </c>
      <c r="AV61" s="212">
        <f>(AV49*AV$35)/(AU49*AU$35)-1</f>
        <v>-1.0454511287614987E-2</v>
      </c>
      <c r="AW61" s="212">
        <f>(AW49*AW$35)/(AV49*AV$35)-1</f>
        <v>-5.905997784459549E-3</v>
      </c>
      <c r="AX61" s="197"/>
      <c r="AY61" s="197"/>
    </row>
    <row r="62" spans="2:63" s="3" customFormat="1" ht="13.5" customHeight="1">
      <c r="B62" s="23" t="s">
        <v>191</v>
      </c>
      <c r="X62" s="208"/>
      <c r="Y62" s="208"/>
      <c r="Z62" s="208"/>
      <c r="AA62" s="208"/>
      <c r="AB62" s="208"/>
      <c r="AC62" s="208"/>
      <c r="AD62" s="208"/>
      <c r="AE62" s="208"/>
      <c r="AF62" s="208"/>
      <c r="AG62" s="208"/>
      <c r="AH62" s="208"/>
      <c r="AI62" s="208"/>
      <c r="AJ62" s="208"/>
      <c r="AK62" s="208"/>
      <c r="AL62" s="208"/>
      <c r="AM62" s="208"/>
      <c r="AN62" s="208"/>
      <c r="AS62" s="197"/>
      <c r="AT62" s="197"/>
      <c r="AU62" s="212">
        <f t="shared" ref="AU62:AW69" si="98">(AU50*AU$35)/(AT50*AT$35)-1</f>
        <v>-2.0500090815523397E-2</v>
      </c>
      <c r="AV62" s="212">
        <f t="shared" si="98"/>
        <v>7.2726598427532929E-2</v>
      </c>
      <c r="AW62" s="212">
        <f t="shared" si="98"/>
        <v>4.2293287237107346E-3</v>
      </c>
      <c r="AX62" s="197"/>
      <c r="AY62" s="197"/>
    </row>
    <row r="63" spans="2:63" s="3" customFormat="1" ht="13.5" customHeight="1">
      <c r="B63" s="23" t="s">
        <v>537</v>
      </c>
      <c r="X63" s="208"/>
      <c r="Y63" s="208"/>
      <c r="Z63" s="208"/>
      <c r="AA63" s="208"/>
      <c r="AB63" s="208"/>
      <c r="AC63" s="208"/>
      <c r="AD63" s="208"/>
      <c r="AE63" s="208"/>
      <c r="AF63" s="208"/>
      <c r="AG63" s="208"/>
      <c r="AH63" s="208"/>
      <c r="AI63" s="208"/>
      <c r="AJ63" s="208"/>
      <c r="AK63" s="208"/>
      <c r="AL63" s="208"/>
      <c r="AM63" s="208"/>
      <c r="AN63" s="208"/>
      <c r="AS63" s="197"/>
      <c r="AT63" s="197"/>
      <c r="AU63" s="212">
        <f t="shared" si="98"/>
        <v>0.16813375952790754</v>
      </c>
      <c r="AV63" s="212">
        <f t="shared" si="98"/>
        <v>-7.1145912267407407E-3</v>
      </c>
      <c r="AW63" s="212">
        <f t="shared" si="98"/>
        <v>0.15586177655289379</v>
      </c>
      <c r="AX63" s="197"/>
      <c r="AY63" s="197"/>
    </row>
    <row r="64" spans="2:63" s="3" customFormat="1" ht="13.5" customHeight="1">
      <c r="B64" s="23" t="s">
        <v>188</v>
      </c>
      <c r="X64" s="208"/>
      <c r="Y64" s="208"/>
      <c r="Z64" s="208"/>
      <c r="AA64" s="208"/>
      <c r="AB64" s="208"/>
      <c r="AC64" s="208"/>
      <c r="AD64" s="208"/>
      <c r="AE64" s="208"/>
      <c r="AF64" s="208"/>
      <c r="AG64" s="208"/>
      <c r="AH64" s="208"/>
      <c r="AI64" s="208"/>
      <c r="AJ64" s="208"/>
      <c r="AK64" s="208"/>
      <c r="AL64" s="208"/>
      <c r="AM64" s="208"/>
      <c r="AN64" s="208"/>
      <c r="AS64" s="197"/>
      <c r="AT64" s="197"/>
      <c r="AU64" s="212">
        <f t="shared" si="98"/>
        <v>0.26050870147255711</v>
      </c>
      <c r="AV64" s="212">
        <f t="shared" si="98"/>
        <v>0.41779949022939666</v>
      </c>
      <c r="AW64" s="212">
        <f t="shared" si="98"/>
        <v>0.60569288389513098</v>
      </c>
      <c r="AX64" s="197"/>
      <c r="AY64" s="197"/>
    </row>
    <row r="65" spans="2:63" s="3" customFormat="1" ht="13.5" customHeight="1">
      <c r="B65" s="23" t="s">
        <v>819</v>
      </c>
      <c r="X65" s="208"/>
      <c r="Y65" s="208"/>
      <c r="Z65" s="208"/>
      <c r="AA65" s="208"/>
      <c r="AB65" s="208"/>
      <c r="AC65" s="208"/>
      <c r="AD65" s="208"/>
      <c r="AE65" s="208"/>
      <c r="AF65" s="208"/>
      <c r="AG65" s="208"/>
      <c r="AH65" s="208"/>
      <c r="AI65" s="208"/>
      <c r="AJ65" s="208"/>
      <c r="AK65" s="208"/>
      <c r="AL65" s="208"/>
      <c r="AM65" s="208"/>
      <c r="AN65" s="208"/>
      <c r="AS65" s="197"/>
      <c r="AT65" s="197"/>
      <c r="AU65" s="212">
        <f t="shared" si="98"/>
        <v>0.48410226270937406</v>
      </c>
      <c r="AV65" s="212">
        <f t="shared" si="98"/>
        <v>5.734199271344842E-2</v>
      </c>
      <c r="AW65" s="212">
        <f t="shared" si="98"/>
        <v>6.4644194756554363E-2</v>
      </c>
      <c r="AX65" s="197"/>
      <c r="AY65" s="197"/>
    </row>
    <row r="66" spans="2:63" s="3" customFormat="1" ht="13.5" customHeight="1">
      <c r="B66" s="23" t="s">
        <v>535</v>
      </c>
      <c r="X66" s="208"/>
      <c r="Y66" s="208"/>
      <c r="Z66" s="208"/>
      <c r="AA66" s="208"/>
      <c r="AB66" s="208"/>
      <c r="AC66" s="208"/>
      <c r="AD66" s="208"/>
      <c r="AE66" s="208"/>
      <c r="AF66" s="208"/>
      <c r="AG66" s="208"/>
      <c r="AH66" s="208"/>
      <c r="AI66" s="208"/>
      <c r="AJ66" s="208"/>
      <c r="AK66" s="208"/>
      <c r="AL66" s="208"/>
      <c r="AM66" s="208"/>
      <c r="AN66" s="208"/>
      <c r="AS66" s="197"/>
      <c r="AT66" s="197"/>
      <c r="AU66" s="212">
        <f t="shared" si="98"/>
        <v>-0.14056224899598391</v>
      </c>
      <c r="AV66" s="212">
        <f t="shared" si="98"/>
        <v>3.971962616822422E-2</v>
      </c>
      <c r="AW66" s="212">
        <f t="shared" si="98"/>
        <v>-4.589263420724099E-2</v>
      </c>
      <c r="AX66" s="197"/>
      <c r="AY66" s="197"/>
    </row>
    <row r="67" spans="2:63" s="3" customFormat="1" ht="13.5" customHeight="1">
      <c r="B67" s="23" t="s">
        <v>536</v>
      </c>
      <c r="X67" s="208"/>
      <c r="Y67" s="208"/>
      <c r="Z67" s="208"/>
      <c r="AA67" s="208"/>
      <c r="AB67" s="208"/>
      <c r="AC67" s="208"/>
      <c r="AD67" s="208"/>
      <c r="AE67" s="208"/>
      <c r="AF67" s="208"/>
      <c r="AG67" s="208"/>
      <c r="AH67" s="208"/>
      <c r="AI67" s="208"/>
      <c r="AJ67" s="208"/>
      <c r="AK67" s="208"/>
      <c r="AL67" s="208"/>
      <c r="AM67" s="208"/>
      <c r="AN67" s="208"/>
      <c r="AS67" s="197"/>
      <c r="AT67" s="197"/>
      <c r="AU67" s="212">
        <f t="shared" si="98"/>
        <v>9.9220411055966906E-4</v>
      </c>
      <c r="AV67" s="212">
        <f t="shared" si="98"/>
        <v>-8.6306995185499891E-2</v>
      </c>
      <c r="AW67" s="212">
        <f t="shared" si="98"/>
        <v>-2.5029058504455692E-2</v>
      </c>
      <c r="AX67" s="197"/>
      <c r="AY67" s="197"/>
    </row>
    <row r="68" spans="2:63" s="3" customFormat="1" ht="13.5" customHeight="1">
      <c r="B68" s="23" t="s">
        <v>832</v>
      </c>
      <c r="X68" s="208"/>
      <c r="Y68" s="208"/>
      <c r="Z68" s="208"/>
      <c r="AA68" s="208"/>
      <c r="AB68" s="208"/>
      <c r="AC68" s="208"/>
      <c r="AD68" s="208"/>
      <c r="AE68" s="208"/>
      <c r="AF68" s="208"/>
      <c r="AG68" s="208"/>
      <c r="AH68" s="208"/>
      <c r="AI68" s="208"/>
      <c r="AJ68" s="208"/>
      <c r="AK68" s="208"/>
      <c r="AL68" s="208"/>
      <c r="AM68" s="208"/>
      <c r="AN68" s="208"/>
      <c r="AS68" s="197"/>
      <c r="AT68" s="197"/>
      <c r="AU68" s="212"/>
      <c r="AV68" s="212"/>
      <c r="AW68" s="212"/>
      <c r="AX68" s="197"/>
      <c r="AY68" s="197"/>
    </row>
    <row r="69" spans="2:63" s="3" customFormat="1" ht="13.5" customHeight="1">
      <c r="B69" s="23" t="s">
        <v>417</v>
      </c>
      <c r="X69" s="208"/>
      <c r="Y69" s="208"/>
      <c r="Z69" s="208"/>
      <c r="AA69" s="208"/>
      <c r="AB69" s="208"/>
      <c r="AC69" s="208"/>
      <c r="AD69" s="208"/>
      <c r="AE69" s="208"/>
      <c r="AF69" s="208"/>
      <c r="AG69" s="208"/>
      <c r="AH69" s="208"/>
      <c r="AI69" s="208"/>
      <c r="AJ69" s="208"/>
      <c r="AK69" s="208"/>
      <c r="AL69" s="208"/>
      <c r="AM69" s="208"/>
      <c r="AN69" s="208"/>
      <c r="AS69" s="197"/>
      <c r="AT69" s="197"/>
      <c r="AU69" s="212">
        <f t="shared" si="98"/>
        <v>-8.743336984300798E-2</v>
      </c>
      <c r="AV69" s="212">
        <f t="shared" si="98"/>
        <v>6.8205095378312652E-2</v>
      </c>
      <c r="AW69" s="212">
        <f t="shared" si="98"/>
        <v>-3.6584269662921387E-2</v>
      </c>
      <c r="AX69" s="197"/>
      <c r="AY69" s="197"/>
    </row>
    <row r="70" spans="2:63" ht="13.5" customHeight="1">
      <c r="B70" s="23" t="s">
        <v>295</v>
      </c>
      <c r="X70" s="184"/>
      <c r="Y70" s="184"/>
      <c r="Z70" s="184"/>
      <c r="AA70" s="184"/>
      <c r="AB70" s="184"/>
      <c r="AC70" s="184"/>
      <c r="AD70" s="184"/>
      <c r="AE70" s="184"/>
      <c r="AF70" s="184"/>
      <c r="AG70" s="184"/>
      <c r="AH70" s="184"/>
      <c r="AI70" s="184"/>
      <c r="AJ70" s="184"/>
      <c r="AK70" s="184"/>
      <c r="AL70" s="184"/>
      <c r="AM70" s="184"/>
      <c r="AN70" s="184"/>
      <c r="AS70" s="185"/>
      <c r="AT70" s="185"/>
      <c r="AU70" s="212">
        <f t="shared" ref="AU70:AW70" si="99">(AU58*AU$35)/(AT58*AT$35)-1</f>
        <v>3.1325301204819356E-2</v>
      </c>
      <c r="AV70" s="212">
        <f t="shared" si="99"/>
        <v>3.971962616822422E-2</v>
      </c>
      <c r="AW70" s="212">
        <f t="shared" si="99"/>
        <v>4.7191011235955038E-2</v>
      </c>
      <c r="AX70" s="185"/>
      <c r="AY70" s="185"/>
    </row>
    <row r="71" spans="2:63" ht="13.5" customHeight="1">
      <c r="X71" s="184"/>
      <c r="Y71" s="184"/>
      <c r="Z71" s="184"/>
      <c r="AA71" s="184"/>
      <c r="AB71" s="184"/>
      <c r="AC71" s="184"/>
      <c r="AD71" s="184"/>
      <c r="AE71" s="184"/>
      <c r="AF71" s="184"/>
      <c r="AG71" s="184"/>
      <c r="AH71" s="184"/>
      <c r="AI71" s="184"/>
      <c r="AJ71" s="184"/>
      <c r="AK71" s="184"/>
      <c r="AL71" s="184"/>
      <c r="AM71" s="184"/>
      <c r="AN71" s="184"/>
      <c r="AS71" s="185"/>
      <c r="AT71" s="185"/>
      <c r="AU71" s="208"/>
      <c r="AV71" s="208"/>
      <c r="AW71" s="212"/>
      <c r="AX71" s="185"/>
      <c r="AY71" s="185"/>
    </row>
    <row r="72" spans="2:63" ht="13.5" customHeight="1">
      <c r="X72" s="184"/>
      <c r="Y72" s="184"/>
      <c r="Z72" s="184"/>
      <c r="AA72" s="184"/>
      <c r="AB72" s="184"/>
      <c r="AC72" s="184"/>
      <c r="AD72" s="184"/>
      <c r="AE72" s="184"/>
      <c r="AF72" s="184"/>
      <c r="AG72" s="184"/>
      <c r="AH72" s="184"/>
      <c r="AI72" s="184"/>
      <c r="AJ72" s="184"/>
      <c r="AK72" s="184"/>
      <c r="AL72" s="184"/>
      <c r="AM72" s="184"/>
      <c r="AN72" s="184"/>
      <c r="AS72" s="185"/>
      <c r="AT72" s="185"/>
      <c r="AU72" s="208"/>
      <c r="AV72" s="208"/>
      <c r="AW72" s="208"/>
      <c r="AX72" s="185"/>
      <c r="AY72" s="185"/>
    </row>
    <row r="73" spans="2:63" ht="13.5" customHeight="1">
      <c r="X73" s="184"/>
      <c r="Y73" s="184"/>
      <c r="Z73" s="184"/>
      <c r="AA73" s="184"/>
      <c r="AB73" s="184"/>
      <c r="AC73" s="184"/>
      <c r="AD73" s="184"/>
      <c r="AE73" s="184"/>
      <c r="AF73" s="184"/>
      <c r="AG73" s="184"/>
      <c r="AH73" s="184"/>
      <c r="AI73" s="184"/>
      <c r="AJ73" s="184"/>
      <c r="AK73" s="184"/>
      <c r="AL73" s="184"/>
      <c r="AM73" s="184"/>
      <c r="AN73" s="184"/>
      <c r="AS73" s="185"/>
      <c r="AT73" s="185"/>
      <c r="AU73" s="185"/>
      <c r="AV73" s="185"/>
      <c r="AW73" s="185"/>
      <c r="AX73" s="185"/>
      <c r="AY73" s="185"/>
    </row>
    <row r="74" spans="2:63" ht="13.5" customHeight="1">
      <c r="X74" s="184"/>
      <c r="Y74" s="184"/>
      <c r="Z74" s="184"/>
      <c r="AA74" s="184"/>
      <c r="AB74" s="184"/>
      <c r="AC74" s="184"/>
      <c r="AD74" s="184"/>
      <c r="AE74" s="184"/>
      <c r="AF74" s="184"/>
      <c r="AG74" s="184"/>
      <c r="AH74" s="184"/>
      <c r="AI74" s="184"/>
      <c r="AJ74" s="184"/>
      <c r="AK74" s="184"/>
      <c r="AL74" s="184"/>
      <c r="AM74" s="184"/>
      <c r="AN74" s="184"/>
      <c r="AS74" s="185"/>
      <c r="AT74" s="185"/>
      <c r="AU74" s="185"/>
      <c r="AV74" s="185"/>
      <c r="AW74" s="185"/>
      <c r="AX74" s="185"/>
      <c r="AY74" s="185"/>
    </row>
    <row r="75" spans="2:63" ht="13.5" customHeight="1">
      <c r="X75" s="184"/>
      <c r="Y75" s="184"/>
      <c r="Z75" s="184"/>
      <c r="AA75" s="184"/>
      <c r="AB75" s="184"/>
      <c r="AC75" s="184"/>
      <c r="AD75" s="184"/>
      <c r="AE75" s="184"/>
      <c r="AF75" s="184"/>
      <c r="AG75" s="184"/>
      <c r="AH75" s="184"/>
      <c r="AI75" s="184"/>
      <c r="AJ75" s="184"/>
      <c r="AK75" s="184"/>
      <c r="AL75" s="184"/>
      <c r="AM75" s="184"/>
      <c r="AN75" s="184"/>
      <c r="AS75" s="185"/>
      <c r="AT75" s="185"/>
      <c r="AU75" s="185"/>
      <c r="AV75" s="185"/>
      <c r="AW75" s="185"/>
      <c r="AX75" s="185"/>
      <c r="AY75" s="185"/>
    </row>
    <row r="76" spans="2:63" ht="13.5" customHeight="1">
      <c r="X76" s="184"/>
      <c r="Y76" s="184"/>
      <c r="Z76" s="184"/>
      <c r="AA76" s="184"/>
      <c r="AB76" s="184"/>
      <c r="AC76" s="184"/>
      <c r="AD76" s="184"/>
      <c r="AE76" s="184"/>
      <c r="AF76" s="184"/>
      <c r="AG76" s="184"/>
      <c r="AH76" s="184"/>
      <c r="AI76" s="184"/>
      <c r="AJ76" s="184"/>
      <c r="AK76" s="184"/>
      <c r="AL76" s="184"/>
      <c r="AM76" s="184"/>
      <c r="AN76" s="184"/>
      <c r="AS76" s="185"/>
      <c r="AT76" s="185"/>
      <c r="AU76" s="185"/>
      <c r="AV76" s="185"/>
      <c r="AW76" s="185"/>
      <c r="AX76" s="185"/>
      <c r="AY76" s="185"/>
    </row>
    <row r="77" spans="2:63" ht="13.5" customHeight="1">
      <c r="X77" s="184"/>
      <c r="Y77" s="184"/>
      <c r="Z77" s="184"/>
      <c r="AA77" s="184"/>
      <c r="AB77" s="184"/>
      <c r="AC77" s="184"/>
      <c r="AD77" s="184"/>
      <c r="AE77" s="184"/>
      <c r="AF77" s="184"/>
      <c r="AG77" s="184"/>
      <c r="AH77" s="184"/>
      <c r="AI77" s="184"/>
      <c r="AJ77" s="184"/>
      <c r="AK77" s="184"/>
      <c r="AL77" s="184"/>
      <c r="AM77" s="184"/>
      <c r="AN77" s="184"/>
      <c r="AS77" s="185"/>
      <c r="AT77" s="185"/>
      <c r="AU77" s="185"/>
      <c r="AV77" s="185"/>
      <c r="AW77" s="185"/>
      <c r="AX77" s="185"/>
      <c r="AY77" s="185"/>
    </row>
    <row r="78" spans="2:63" s="210" customFormat="1" ht="13.5" customHeight="1">
      <c r="B78" s="196" t="s">
        <v>826</v>
      </c>
      <c r="C78" s="199">
        <f t="shared" ref="C78:AV78" si="100">C$1</f>
        <v>25933</v>
      </c>
      <c r="D78" s="199">
        <f t="shared" si="100"/>
        <v>26298</v>
      </c>
      <c r="E78" s="199">
        <f t="shared" si="100"/>
        <v>26664</v>
      </c>
      <c r="F78" s="199">
        <f t="shared" si="100"/>
        <v>27029</v>
      </c>
      <c r="G78" s="199">
        <f t="shared" si="100"/>
        <v>27394</v>
      </c>
      <c r="H78" s="199">
        <f t="shared" si="100"/>
        <v>27759</v>
      </c>
      <c r="I78" s="199">
        <f t="shared" si="100"/>
        <v>28125</v>
      </c>
      <c r="J78" s="199">
        <f t="shared" si="100"/>
        <v>28490</v>
      </c>
      <c r="K78" s="199">
        <f t="shared" si="100"/>
        <v>28855</v>
      </c>
      <c r="L78" s="199">
        <f t="shared" si="100"/>
        <v>29220</v>
      </c>
      <c r="M78" s="199">
        <f t="shared" si="100"/>
        <v>29586</v>
      </c>
      <c r="N78" s="199">
        <f t="shared" si="100"/>
        <v>29951</v>
      </c>
      <c r="O78" s="199">
        <f t="shared" si="100"/>
        <v>30316</v>
      </c>
      <c r="P78" s="199">
        <f t="shared" si="100"/>
        <v>30681</v>
      </c>
      <c r="Q78" s="199">
        <f t="shared" si="100"/>
        <v>31047</v>
      </c>
      <c r="R78" s="199">
        <f t="shared" si="100"/>
        <v>31412</v>
      </c>
      <c r="S78" s="199">
        <f t="shared" si="100"/>
        <v>31777</v>
      </c>
      <c r="T78" s="199">
        <f t="shared" si="100"/>
        <v>32142</v>
      </c>
      <c r="U78" s="199">
        <f t="shared" si="100"/>
        <v>32508</v>
      </c>
      <c r="V78" s="199">
        <f t="shared" si="100"/>
        <v>32873</v>
      </c>
      <c r="W78" s="199">
        <f t="shared" si="100"/>
        <v>33238</v>
      </c>
      <c r="X78" s="199">
        <f t="shared" si="100"/>
        <v>33603</v>
      </c>
      <c r="Y78" s="199">
        <f t="shared" si="100"/>
        <v>33969</v>
      </c>
      <c r="Z78" s="199">
        <f t="shared" si="100"/>
        <v>34334</v>
      </c>
      <c r="AA78" s="199">
        <f t="shared" si="100"/>
        <v>34699</v>
      </c>
      <c r="AB78" s="199">
        <f t="shared" si="100"/>
        <v>35064</v>
      </c>
      <c r="AC78" s="199">
        <f t="shared" si="100"/>
        <v>35430</v>
      </c>
      <c r="AD78" s="199">
        <f t="shared" si="100"/>
        <v>35795</v>
      </c>
      <c r="AE78" s="199">
        <f t="shared" si="100"/>
        <v>36160</v>
      </c>
      <c r="AF78" s="199">
        <f t="shared" si="100"/>
        <v>36525</v>
      </c>
      <c r="AG78" s="199">
        <f t="shared" si="100"/>
        <v>36891</v>
      </c>
      <c r="AH78" s="199">
        <f t="shared" si="100"/>
        <v>37256</v>
      </c>
      <c r="AI78" s="199">
        <f t="shared" si="100"/>
        <v>37621</v>
      </c>
      <c r="AJ78" s="199">
        <f t="shared" si="100"/>
        <v>37986</v>
      </c>
      <c r="AK78" s="199">
        <f t="shared" si="100"/>
        <v>38352</v>
      </c>
      <c r="AL78" s="199">
        <f t="shared" si="100"/>
        <v>38717</v>
      </c>
      <c r="AM78" s="199">
        <f t="shared" si="100"/>
        <v>39082</v>
      </c>
      <c r="AN78" s="199">
        <f t="shared" si="100"/>
        <v>39447</v>
      </c>
      <c r="AO78" s="199">
        <f t="shared" si="100"/>
        <v>39813</v>
      </c>
      <c r="AP78" s="199">
        <f t="shared" si="100"/>
        <v>40178</v>
      </c>
      <c r="AQ78" s="199">
        <f t="shared" si="100"/>
        <v>40543</v>
      </c>
      <c r="AR78" s="199">
        <f t="shared" si="100"/>
        <v>40908</v>
      </c>
      <c r="AS78" s="199">
        <f t="shared" si="100"/>
        <v>41274</v>
      </c>
      <c r="AT78" s="199">
        <f t="shared" si="100"/>
        <v>41639</v>
      </c>
      <c r="AU78" s="199">
        <f t="shared" si="100"/>
        <v>42004</v>
      </c>
      <c r="AV78" s="199">
        <f t="shared" si="100"/>
        <v>42369</v>
      </c>
      <c r="AW78" s="199">
        <f>AW$1</f>
        <v>42735</v>
      </c>
      <c r="AX78" s="199">
        <f t="shared" ref="AX78:BK78" si="101">AX$1</f>
        <v>43100</v>
      </c>
      <c r="AY78" s="199">
        <f t="shared" si="101"/>
        <v>43465</v>
      </c>
      <c r="AZ78" s="199">
        <f t="shared" si="101"/>
        <v>43830</v>
      </c>
      <c r="BA78" s="199">
        <f t="shared" si="101"/>
        <v>44196</v>
      </c>
      <c r="BB78" s="199">
        <f t="shared" si="101"/>
        <v>44561</v>
      </c>
      <c r="BC78" s="199">
        <f t="shared" si="101"/>
        <v>44926</v>
      </c>
      <c r="BD78" s="199">
        <f t="shared" si="101"/>
        <v>45291</v>
      </c>
      <c r="BE78" s="199">
        <f t="shared" si="101"/>
        <v>45657</v>
      </c>
      <c r="BF78" s="199">
        <f t="shared" si="101"/>
        <v>46022</v>
      </c>
      <c r="BG78" s="199">
        <f t="shared" si="101"/>
        <v>46387</v>
      </c>
      <c r="BH78" s="199">
        <f t="shared" si="101"/>
        <v>46752</v>
      </c>
      <c r="BI78" s="199">
        <f t="shared" si="101"/>
        <v>47118</v>
      </c>
      <c r="BJ78" s="199">
        <f t="shared" si="101"/>
        <v>47483</v>
      </c>
      <c r="BK78" s="199">
        <f t="shared" si="101"/>
        <v>47848</v>
      </c>
    </row>
    <row r="79" spans="2:63" s="184" customFormat="1" ht="13.5" customHeight="1">
      <c r="B79" s="220" t="s">
        <v>463</v>
      </c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>
        <v>3640</v>
      </c>
      <c r="X79" s="22">
        <v>3979</v>
      </c>
      <c r="Y79" s="22">
        <v>4136</v>
      </c>
      <c r="Z79" s="22">
        <v>4480</v>
      </c>
      <c r="AA79" s="22">
        <v>4448</v>
      </c>
      <c r="AB79" s="22">
        <v>4378</v>
      </c>
      <c r="AC79" s="22">
        <v>4659</v>
      </c>
      <c r="AD79" s="22">
        <v>5051</v>
      </c>
      <c r="AE79" s="22">
        <v>5432</v>
      </c>
      <c r="AF79" s="22">
        <v>5890</v>
      </c>
      <c r="AG79" s="22">
        <v>6886</v>
      </c>
      <c r="AH79" s="22">
        <v>6906</v>
      </c>
      <c r="AI79" s="22">
        <v>7640</v>
      </c>
      <c r="AJ79" s="22">
        <v>8195</v>
      </c>
      <c r="AK79" s="22">
        <v>9108</v>
      </c>
      <c r="AL79" s="208">
        <v>9909</v>
      </c>
      <c r="AM79" s="22">
        <v>10080</v>
      </c>
      <c r="AN79" s="22">
        <v>10247</v>
      </c>
      <c r="AO79" s="22">
        <v>10093</v>
      </c>
      <c r="AP79" s="22">
        <v>10198</v>
      </c>
      <c r="AQ79" s="22">
        <v>10450</v>
      </c>
      <c r="AR79" s="22">
        <v>11435</v>
      </c>
      <c r="AS79" s="22">
        <v>11641</v>
      </c>
      <c r="AT79" s="22">
        <v>11710</v>
      </c>
      <c r="AU79" s="22">
        <v>12269</v>
      </c>
      <c r="AV79" s="22">
        <v>12004</v>
      </c>
      <c r="AW79" s="221">
        <v>12581</v>
      </c>
      <c r="AX79" s="208"/>
      <c r="AY79" s="208"/>
      <c r="AZ79" s="208"/>
      <c r="BA79" s="208"/>
      <c r="BB79" s="208"/>
      <c r="BC79" s="208"/>
      <c r="BD79" s="208"/>
      <c r="BE79" s="208"/>
      <c r="BF79" s="208"/>
      <c r="BG79" s="208"/>
      <c r="BH79" s="208"/>
      <c r="BI79" s="208"/>
      <c r="BJ79" s="208"/>
      <c r="BK79" s="208"/>
    </row>
    <row r="80" spans="2:63" s="184" customFormat="1" ht="13.5" customHeight="1">
      <c r="B80" s="220" t="s">
        <v>836</v>
      </c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>
        <f>X79-W79</f>
        <v>339</v>
      </c>
      <c r="Y80" s="22">
        <f t="shared" ref="Y80:AW80" si="102">Y79-X79</f>
        <v>157</v>
      </c>
      <c r="Z80" s="22">
        <f t="shared" si="102"/>
        <v>344</v>
      </c>
      <c r="AA80" s="22">
        <f t="shared" si="102"/>
        <v>-32</v>
      </c>
      <c r="AB80" s="22">
        <f t="shared" si="102"/>
        <v>-70</v>
      </c>
      <c r="AC80" s="22">
        <f t="shared" si="102"/>
        <v>281</v>
      </c>
      <c r="AD80" s="22">
        <f t="shared" si="102"/>
        <v>392</v>
      </c>
      <c r="AE80" s="22">
        <f t="shared" si="102"/>
        <v>381</v>
      </c>
      <c r="AF80" s="22">
        <f t="shared" si="102"/>
        <v>458</v>
      </c>
      <c r="AG80" s="22">
        <f t="shared" si="102"/>
        <v>996</v>
      </c>
      <c r="AH80" s="22">
        <f t="shared" si="102"/>
        <v>20</v>
      </c>
      <c r="AI80" s="22">
        <f t="shared" si="102"/>
        <v>734</v>
      </c>
      <c r="AJ80" s="22">
        <f t="shared" si="102"/>
        <v>555</v>
      </c>
      <c r="AK80" s="22">
        <f t="shared" si="102"/>
        <v>913</v>
      </c>
      <c r="AL80" s="22">
        <f t="shared" si="102"/>
        <v>801</v>
      </c>
      <c r="AM80" s="22">
        <f t="shared" si="102"/>
        <v>171</v>
      </c>
      <c r="AN80" s="22">
        <f t="shared" si="102"/>
        <v>167</v>
      </c>
      <c r="AO80" s="22">
        <f t="shared" si="102"/>
        <v>-154</v>
      </c>
      <c r="AP80" s="22">
        <f t="shared" si="102"/>
        <v>105</v>
      </c>
      <c r="AQ80" s="22">
        <f t="shared" si="102"/>
        <v>252</v>
      </c>
      <c r="AR80" s="22">
        <f t="shared" si="102"/>
        <v>985</v>
      </c>
      <c r="AS80" s="22">
        <f t="shared" si="102"/>
        <v>206</v>
      </c>
      <c r="AT80" s="22">
        <f t="shared" si="102"/>
        <v>69</v>
      </c>
      <c r="AU80" s="22">
        <f t="shared" si="102"/>
        <v>559</v>
      </c>
      <c r="AV80" s="22">
        <f t="shared" si="102"/>
        <v>-265</v>
      </c>
      <c r="AW80" s="22">
        <f t="shared" si="102"/>
        <v>577</v>
      </c>
      <c r="AX80" s="208"/>
      <c r="AY80" s="208"/>
      <c r="AZ80" s="208"/>
      <c r="BA80" s="208"/>
      <c r="BB80" s="208"/>
      <c r="BC80" s="208"/>
      <c r="BD80" s="208"/>
      <c r="BE80" s="208"/>
      <c r="BF80" s="208"/>
      <c r="BG80" s="208"/>
      <c r="BH80" s="208"/>
      <c r="BI80" s="208"/>
      <c r="BJ80" s="208"/>
      <c r="BK80" s="208"/>
    </row>
    <row r="81" spans="2:63" s="211" customFormat="1" ht="13.5" customHeight="1">
      <c r="B81" s="212" t="s">
        <v>714</v>
      </c>
      <c r="C81" s="212"/>
      <c r="D81" s="212"/>
      <c r="E81" s="212"/>
      <c r="F81" s="212"/>
      <c r="G81" s="212"/>
      <c r="H81" s="212"/>
      <c r="I81" s="212"/>
      <c r="J81" s="212"/>
      <c r="K81" s="212"/>
      <c r="L81" s="212"/>
      <c r="M81" s="212"/>
      <c r="N81" s="212"/>
      <c r="O81" s="212"/>
      <c r="P81" s="212"/>
      <c r="Q81" s="212"/>
      <c r="R81" s="212"/>
      <c r="S81" s="212"/>
      <c r="T81" s="212"/>
      <c r="U81" s="212"/>
      <c r="V81" s="212"/>
      <c r="W81" s="212"/>
      <c r="X81" s="212">
        <f t="shared" ref="X81:AM81" si="103">(X79/W79-1)</f>
        <v>9.3131868131868023E-2</v>
      </c>
      <c r="Y81" s="212">
        <f t="shared" si="103"/>
        <v>3.9457150037697897E-2</v>
      </c>
      <c r="Z81" s="212">
        <f t="shared" si="103"/>
        <v>8.3172147001934205E-2</v>
      </c>
      <c r="AA81" s="212">
        <f t="shared" si="103"/>
        <v>-7.1428571428571175E-3</v>
      </c>
      <c r="AB81" s="212">
        <f t="shared" si="103"/>
        <v>-1.5737410071942404E-2</v>
      </c>
      <c r="AC81" s="212">
        <f t="shared" si="103"/>
        <v>6.4184559159433441E-2</v>
      </c>
      <c r="AD81" s="212">
        <f t="shared" si="103"/>
        <v>8.4138227087357853E-2</v>
      </c>
      <c r="AE81" s="212">
        <f t="shared" si="103"/>
        <v>7.5430607800435645E-2</v>
      </c>
      <c r="AF81" s="212">
        <f t="shared" si="103"/>
        <v>8.4315169366715681E-2</v>
      </c>
      <c r="AG81" s="212">
        <f t="shared" si="103"/>
        <v>0.16910016977928688</v>
      </c>
      <c r="AH81" s="213">
        <f t="shared" si="103"/>
        <v>2.9044437990124461E-3</v>
      </c>
      <c r="AI81" s="212">
        <f t="shared" si="103"/>
        <v>0.10628439038517223</v>
      </c>
      <c r="AJ81" s="212">
        <f t="shared" si="103"/>
        <v>7.2643979057591679E-2</v>
      </c>
      <c r="AK81" s="212">
        <f t="shared" si="103"/>
        <v>0.11140939597315436</v>
      </c>
      <c r="AL81" s="212">
        <f t="shared" si="103"/>
        <v>8.7944664031620601E-2</v>
      </c>
      <c r="AM81" s="212">
        <f t="shared" si="103"/>
        <v>1.72570390554041E-2</v>
      </c>
      <c r="AN81" s="212">
        <f t="shared" ref="AN81:AW81" si="104">AN79/AM79-1</f>
        <v>1.656746031746037E-2</v>
      </c>
      <c r="AO81" s="212">
        <f t="shared" si="104"/>
        <v>-1.5028788913828417E-2</v>
      </c>
      <c r="AP81" s="212">
        <f t="shared" si="104"/>
        <v>1.0403249777073187E-2</v>
      </c>
      <c r="AQ81" s="212">
        <f t="shared" si="104"/>
        <v>2.4710727593645787E-2</v>
      </c>
      <c r="AR81" s="212">
        <f t="shared" si="104"/>
        <v>9.4258373205741597E-2</v>
      </c>
      <c r="AS81" s="212">
        <f t="shared" si="104"/>
        <v>1.8014866637516391E-2</v>
      </c>
      <c r="AT81" s="212">
        <f t="shared" si="104"/>
        <v>5.9273258311141053E-3</v>
      </c>
      <c r="AU81" s="212">
        <f t="shared" si="104"/>
        <v>4.7736976942784004E-2</v>
      </c>
      <c r="AV81" s="212">
        <f t="shared" si="104"/>
        <v>-2.1599152335153637E-2</v>
      </c>
      <c r="AW81" s="212">
        <f t="shared" si="104"/>
        <v>4.8067310896367843E-2</v>
      </c>
      <c r="AX81" s="212"/>
      <c r="AY81" s="212"/>
      <c r="AZ81" s="212"/>
      <c r="BA81" s="212"/>
      <c r="BB81" s="212"/>
      <c r="BC81" s="212"/>
      <c r="BD81" s="212"/>
      <c r="BE81" s="212"/>
      <c r="BF81" s="212"/>
      <c r="BG81" s="212"/>
      <c r="BH81" s="212"/>
      <c r="BI81" s="212"/>
      <c r="BJ81" s="212"/>
      <c r="BK81" s="212"/>
    </row>
    <row r="82" spans="2:63" ht="3.95" customHeight="1">
      <c r="B82" s="206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3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</row>
    <row r="83" spans="2:63" s="184" customFormat="1" ht="13.5" customHeight="1">
      <c r="B83" s="220" t="s">
        <v>237</v>
      </c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>
        <v>2710</v>
      </c>
      <c r="AK83" s="22"/>
      <c r="AL83" s="208"/>
      <c r="AM83" s="22">
        <v>3460</v>
      </c>
      <c r="AN83" s="22">
        <v>4080</v>
      </c>
      <c r="AO83" s="22">
        <v>4470</v>
      </c>
      <c r="AP83" s="22">
        <v>5040</v>
      </c>
      <c r="AQ83" s="22">
        <v>5670</v>
      </c>
      <c r="AR83" s="22">
        <v>6150</v>
      </c>
      <c r="AS83" s="22">
        <v>6230</v>
      </c>
      <c r="AT83" s="22">
        <v>6430</v>
      </c>
      <c r="AU83" s="22">
        <v>6387</v>
      </c>
      <c r="AV83" s="22">
        <v>6587</v>
      </c>
      <c r="AW83" s="221">
        <v>6542</v>
      </c>
      <c r="AX83" s="208"/>
      <c r="AY83" s="208"/>
      <c r="AZ83" s="208"/>
      <c r="BA83" s="208"/>
      <c r="BB83" s="208"/>
      <c r="BC83" s="208"/>
      <c r="BD83" s="208"/>
      <c r="BE83" s="208"/>
      <c r="BF83" s="208"/>
      <c r="BG83" s="208"/>
      <c r="BH83" s="208"/>
      <c r="BI83" s="208"/>
      <c r="BJ83" s="208"/>
      <c r="BK83" s="208"/>
    </row>
    <row r="84" spans="2:63" s="211" customFormat="1" ht="13.5" customHeight="1">
      <c r="B84" s="212" t="s">
        <v>464</v>
      </c>
      <c r="C84" s="212"/>
      <c r="D84" s="212"/>
      <c r="E84" s="212"/>
      <c r="F84" s="212"/>
      <c r="G84" s="212"/>
      <c r="H84" s="212"/>
      <c r="I84" s="212"/>
      <c r="J84" s="212"/>
      <c r="K84" s="212"/>
      <c r="L84" s="212"/>
      <c r="M84" s="212"/>
      <c r="N84" s="212"/>
      <c r="O84" s="212"/>
      <c r="P84" s="212"/>
      <c r="Q84" s="212"/>
      <c r="R84" s="212"/>
      <c r="S84" s="212"/>
      <c r="T84" s="212"/>
      <c r="U84" s="212"/>
      <c r="V84" s="212"/>
      <c r="W84" s="212"/>
      <c r="X84" s="212"/>
      <c r="Y84" s="212"/>
      <c r="Z84" s="212"/>
      <c r="AA84" s="212"/>
      <c r="AB84" s="212"/>
      <c r="AC84" s="212"/>
      <c r="AD84" s="212"/>
      <c r="AE84" s="212"/>
      <c r="AF84" s="212"/>
      <c r="AG84" s="212"/>
      <c r="AH84" s="213"/>
      <c r="AI84" s="212"/>
      <c r="AJ84" s="212"/>
      <c r="AK84" s="212"/>
      <c r="AL84" s="212"/>
      <c r="AM84" s="212"/>
      <c r="AN84" s="212">
        <f t="shared" ref="AN84:AW84" si="105">AN83/AM83-1</f>
        <v>0.17919075144508678</v>
      </c>
      <c r="AO84" s="212">
        <f t="shared" si="105"/>
        <v>9.5588235294117752E-2</v>
      </c>
      <c r="AP84" s="212">
        <f t="shared" si="105"/>
        <v>0.12751677852348986</v>
      </c>
      <c r="AQ84" s="212">
        <f t="shared" si="105"/>
        <v>0.125</v>
      </c>
      <c r="AR84" s="212">
        <f t="shared" si="105"/>
        <v>8.4656084656084651E-2</v>
      </c>
      <c r="AS84" s="212">
        <f t="shared" si="105"/>
        <v>1.3008130081300751E-2</v>
      </c>
      <c r="AT84" s="212">
        <f t="shared" si="105"/>
        <v>3.2102728731942198E-2</v>
      </c>
      <c r="AU84" s="212">
        <f t="shared" si="105"/>
        <v>-6.6874027993779617E-3</v>
      </c>
      <c r="AV84" s="212">
        <f t="shared" si="105"/>
        <v>3.1313605761703389E-2</v>
      </c>
      <c r="AW84" s="212">
        <f t="shared" si="105"/>
        <v>-6.8316380749962047E-3</v>
      </c>
      <c r="AX84" s="212"/>
      <c r="AY84" s="212"/>
      <c r="AZ84" s="212"/>
      <c r="BA84" s="212"/>
      <c r="BB84" s="212"/>
      <c r="BC84" s="212"/>
      <c r="BD84" s="212"/>
      <c r="BE84" s="212"/>
      <c r="BF84" s="212"/>
      <c r="BG84" s="212"/>
      <c r="BH84" s="212"/>
      <c r="BI84" s="212"/>
      <c r="BJ84" s="212"/>
      <c r="BK84" s="212"/>
    </row>
    <row r="85" spans="2:63" ht="3.95" customHeight="1">
      <c r="B85" s="200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3"/>
      <c r="AM85" s="4"/>
      <c r="AN85" s="4"/>
      <c r="AO85" s="4"/>
      <c r="AP85" s="4"/>
      <c r="AQ85" s="4"/>
      <c r="AR85" s="4"/>
      <c r="AS85" s="26"/>
      <c r="AT85" s="26"/>
      <c r="AU85" s="26"/>
      <c r="AV85" s="26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</row>
    <row r="86" spans="2:63" s="184" customFormat="1" ht="13.5" customHeight="1">
      <c r="B86" s="220" t="s">
        <v>462</v>
      </c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08"/>
      <c r="AM86" s="22"/>
      <c r="AN86" s="22"/>
      <c r="AO86" s="22"/>
      <c r="AP86" s="22"/>
      <c r="AQ86" s="22"/>
      <c r="AR86" s="22">
        <v>1307</v>
      </c>
      <c r="AS86" s="22">
        <v>1474</v>
      </c>
      <c r="AT86" s="22">
        <v>2045</v>
      </c>
      <c r="AU86" s="22">
        <v>2382</v>
      </c>
      <c r="AV86" s="22">
        <v>3129</v>
      </c>
      <c r="AW86" s="221">
        <v>3636</v>
      </c>
      <c r="AX86" s="208"/>
      <c r="AY86" s="208"/>
      <c r="AZ86" s="208"/>
      <c r="BA86" s="208"/>
      <c r="BB86" s="208"/>
      <c r="BC86" s="208"/>
      <c r="BD86" s="208"/>
      <c r="BE86" s="208"/>
      <c r="BF86" s="208"/>
      <c r="BG86" s="208"/>
      <c r="BH86" s="208"/>
      <c r="BI86" s="208"/>
      <c r="BJ86" s="208"/>
      <c r="BK86" s="208"/>
    </row>
    <row r="87" spans="2:63" s="211" customFormat="1" ht="13.5" customHeight="1">
      <c r="B87" s="212" t="s">
        <v>464</v>
      </c>
      <c r="C87" s="212"/>
      <c r="D87" s="212"/>
      <c r="E87" s="212"/>
      <c r="F87" s="212"/>
      <c r="G87" s="212"/>
      <c r="H87" s="212"/>
      <c r="I87" s="212"/>
      <c r="J87" s="212"/>
      <c r="K87" s="212"/>
      <c r="L87" s="212"/>
      <c r="M87" s="212"/>
      <c r="N87" s="212"/>
      <c r="O87" s="212"/>
      <c r="P87" s="212"/>
      <c r="Q87" s="212"/>
      <c r="R87" s="212"/>
      <c r="S87" s="212"/>
      <c r="T87" s="212"/>
      <c r="U87" s="212"/>
      <c r="V87" s="212"/>
      <c r="W87" s="212"/>
      <c r="X87" s="212"/>
      <c r="Y87" s="212"/>
      <c r="Z87" s="212"/>
      <c r="AA87" s="212"/>
      <c r="AB87" s="212"/>
      <c r="AC87" s="212"/>
      <c r="AD87" s="212"/>
      <c r="AE87" s="212"/>
      <c r="AF87" s="212"/>
      <c r="AG87" s="212"/>
      <c r="AH87" s="213"/>
      <c r="AI87" s="212"/>
      <c r="AJ87" s="212"/>
      <c r="AK87" s="212"/>
      <c r="AL87" s="212"/>
      <c r="AM87" s="212"/>
      <c r="AN87" s="212"/>
      <c r="AO87" s="212"/>
      <c r="AP87" s="212"/>
      <c r="AQ87" s="212"/>
      <c r="AR87" s="212"/>
      <c r="AS87" s="212">
        <f>AS86/AR86-1</f>
        <v>0.12777352716143842</v>
      </c>
      <c r="AT87" s="212">
        <f>AT86/AS86-1</f>
        <v>0.38738127544097689</v>
      </c>
      <c r="AU87" s="212">
        <f>AU86/AT86-1</f>
        <v>0.16479217603911978</v>
      </c>
      <c r="AV87" s="212">
        <f>AV86/AU86-1</f>
        <v>0.31360201511335006</v>
      </c>
      <c r="AW87" s="212">
        <f>AW86/AV86-1</f>
        <v>0.16203259827420902</v>
      </c>
      <c r="AX87" s="212"/>
      <c r="AY87" s="212"/>
      <c r="AZ87" s="212"/>
      <c r="BA87" s="212"/>
      <c r="BB87" s="212"/>
      <c r="BC87" s="212"/>
      <c r="BD87" s="212"/>
      <c r="BE87" s="212"/>
      <c r="BF87" s="212"/>
      <c r="BG87" s="212"/>
      <c r="BH87" s="212"/>
      <c r="BI87" s="212"/>
      <c r="BJ87" s="212"/>
      <c r="BK87" s="212"/>
    </row>
    <row r="88" spans="2:63" ht="3.95" customHeight="1">
      <c r="B88" s="200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3"/>
      <c r="AM88" s="4"/>
      <c r="AN88" s="4"/>
      <c r="AO88" s="4"/>
      <c r="AP88" s="4"/>
      <c r="AQ88" s="4"/>
      <c r="AR88" s="4"/>
      <c r="AS88" s="26"/>
      <c r="AT88" s="26"/>
      <c r="AU88" s="26"/>
      <c r="AV88" s="26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</row>
    <row r="89" spans="2:63" s="184" customFormat="1" ht="13.5" customHeight="1">
      <c r="B89" s="220" t="s">
        <v>361</v>
      </c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6">
        <f t="shared" ref="AJ89:AP89" si="106">AJ92-AJ83-AJ79-AJ86</f>
        <v>2205</v>
      </c>
      <c r="AK89" s="226">
        <f t="shared" si="106"/>
        <v>4649</v>
      </c>
      <c r="AL89" s="226">
        <f t="shared" si="106"/>
        <v>4909</v>
      </c>
      <c r="AM89" s="226">
        <f t="shared" si="106"/>
        <v>1769</v>
      </c>
      <c r="AN89" s="226">
        <f t="shared" si="106"/>
        <v>2259</v>
      </c>
      <c r="AO89" s="226">
        <f t="shared" si="106"/>
        <v>2621</v>
      </c>
      <c r="AP89" s="226">
        <f t="shared" si="106"/>
        <v>2102</v>
      </c>
      <c r="AQ89" s="226">
        <f t="shared" ref="AQ89:AW89" si="107">AQ92-AQ83-AQ79-AQ86</f>
        <v>2680</v>
      </c>
      <c r="AR89" s="226">
        <f t="shared" si="107"/>
        <v>1335</v>
      </c>
      <c r="AS89" s="226">
        <f t="shared" si="107"/>
        <v>1468</v>
      </c>
      <c r="AT89" s="226">
        <f t="shared" si="107"/>
        <v>1158</v>
      </c>
      <c r="AU89" s="226">
        <f t="shared" si="107"/>
        <v>1001</v>
      </c>
      <c r="AV89" s="226">
        <f t="shared" si="107"/>
        <v>1253</v>
      </c>
      <c r="AW89" s="226">
        <f t="shared" si="107"/>
        <v>1941</v>
      </c>
      <c r="AX89" s="208"/>
      <c r="AY89" s="208"/>
      <c r="AZ89" s="208"/>
      <c r="BA89" s="208"/>
      <c r="BB89" s="208"/>
      <c r="BC89" s="208"/>
      <c r="BD89" s="208"/>
      <c r="BE89" s="208"/>
      <c r="BF89" s="208"/>
      <c r="BG89" s="208"/>
      <c r="BH89" s="208"/>
      <c r="BI89" s="208"/>
      <c r="BJ89" s="208"/>
      <c r="BK89" s="208"/>
    </row>
    <row r="90" spans="2:63" s="211" customFormat="1" ht="13.5" customHeight="1">
      <c r="B90" s="212" t="s">
        <v>464</v>
      </c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  <c r="N90" s="212"/>
      <c r="O90" s="212"/>
      <c r="P90" s="212"/>
      <c r="Q90" s="212"/>
      <c r="R90" s="212"/>
      <c r="S90" s="212"/>
      <c r="T90" s="212"/>
      <c r="U90" s="212"/>
      <c r="V90" s="212"/>
      <c r="W90" s="212"/>
      <c r="X90" s="212"/>
      <c r="Y90" s="212"/>
      <c r="Z90" s="212"/>
      <c r="AA90" s="212"/>
      <c r="AB90" s="212"/>
      <c r="AC90" s="212"/>
      <c r="AD90" s="212"/>
      <c r="AE90" s="212"/>
      <c r="AF90" s="212"/>
      <c r="AG90" s="212"/>
      <c r="AH90" s="213"/>
      <c r="AI90" s="212"/>
      <c r="AJ90" s="212"/>
      <c r="AK90" s="212"/>
      <c r="AL90" s="212"/>
      <c r="AM90" s="212"/>
      <c r="AN90" s="212"/>
      <c r="AO90" s="212"/>
      <c r="AP90" s="212"/>
      <c r="AQ90" s="212"/>
      <c r="AR90" s="212"/>
      <c r="AS90" s="212"/>
      <c r="AT90" s="212"/>
      <c r="AU90" s="212"/>
      <c r="AV90" s="212"/>
      <c r="AW90" s="212"/>
      <c r="AX90" s="212"/>
      <c r="AY90" s="212"/>
      <c r="AZ90" s="212"/>
      <c r="BA90" s="212"/>
      <c r="BB90" s="212"/>
      <c r="BC90" s="212"/>
      <c r="BD90" s="212"/>
      <c r="BE90" s="212"/>
      <c r="BF90" s="212"/>
      <c r="BG90" s="212"/>
      <c r="BH90" s="212"/>
      <c r="BI90" s="212"/>
      <c r="BJ90" s="212"/>
      <c r="BK90" s="212"/>
    </row>
    <row r="91" spans="2:63" ht="3.95" customHeight="1">
      <c r="B91" s="200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3"/>
      <c r="AM91" s="4"/>
      <c r="AN91" s="4"/>
      <c r="AO91" s="4"/>
      <c r="AP91" s="4"/>
      <c r="AQ91" s="201"/>
      <c r="AR91" s="201"/>
      <c r="AS91" s="201"/>
      <c r="AT91" s="201"/>
      <c r="AU91" s="201"/>
      <c r="AV91" s="3"/>
      <c r="AW91" s="201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</row>
    <row r="92" spans="2:63" s="184" customFormat="1" ht="13.5" customHeight="1">
      <c r="B92" s="222" t="s">
        <v>295</v>
      </c>
      <c r="C92" s="217"/>
      <c r="D92" s="217"/>
      <c r="E92" s="217"/>
      <c r="F92" s="217"/>
      <c r="G92" s="217"/>
      <c r="H92" s="217"/>
      <c r="I92" s="217"/>
      <c r="J92" s="217"/>
      <c r="K92" s="217"/>
      <c r="L92" s="217"/>
      <c r="M92" s="217"/>
      <c r="N92" s="217"/>
      <c r="O92" s="217"/>
      <c r="P92" s="217"/>
      <c r="Q92" s="217"/>
      <c r="R92" s="217"/>
      <c r="S92" s="217"/>
      <c r="T92" s="217"/>
      <c r="U92" s="217"/>
      <c r="V92" s="217"/>
      <c r="W92" s="217"/>
      <c r="X92" s="217"/>
      <c r="Y92" s="217"/>
      <c r="Z92" s="217"/>
      <c r="AA92" s="217"/>
      <c r="AB92" s="217"/>
      <c r="AC92" s="217"/>
      <c r="AD92" s="217"/>
      <c r="AE92" s="217"/>
      <c r="AF92" s="217"/>
      <c r="AG92" s="217"/>
      <c r="AH92" s="217"/>
      <c r="AI92" s="217"/>
      <c r="AJ92" s="223">
        <v>13110</v>
      </c>
      <c r="AK92" s="217">
        <v>13757</v>
      </c>
      <c r="AL92" s="175">
        <v>14818</v>
      </c>
      <c r="AM92" s="217">
        <v>15309</v>
      </c>
      <c r="AN92" s="217">
        <v>16586</v>
      </c>
      <c r="AO92" s="217">
        <v>17184</v>
      </c>
      <c r="AP92" s="217">
        <v>17340</v>
      </c>
      <c r="AQ92" s="217">
        <v>18800</v>
      </c>
      <c r="AR92" s="217">
        <v>20227</v>
      </c>
      <c r="AS92" s="217">
        <v>20813</v>
      </c>
      <c r="AT92" s="217">
        <v>21343</v>
      </c>
      <c r="AU92" s="217">
        <v>22039</v>
      </c>
      <c r="AV92" s="217">
        <v>22973</v>
      </c>
      <c r="AW92" s="217">
        <v>24700</v>
      </c>
      <c r="AX92" s="217">
        <v>25800</v>
      </c>
      <c r="AY92" s="219"/>
      <c r="AZ92" s="219"/>
      <c r="BA92" s="219"/>
      <c r="BB92" s="219"/>
      <c r="BC92" s="219"/>
      <c r="BD92" s="219"/>
      <c r="BE92" s="219"/>
      <c r="BF92" s="219"/>
      <c r="BG92" s="219"/>
      <c r="BH92" s="219"/>
      <c r="BI92" s="219"/>
      <c r="BJ92" s="219"/>
      <c r="BK92" s="219"/>
    </row>
    <row r="93" spans="2:63" s="211" customFormat="1" ht="13.5" customHeight="1">
      <c r="B93" s="212" t="s">
        <v>464</v>
      </c>
      <c r="C93" s="212"/>
      <c r="D93" s="212"/>
      <c r="E93" s="212"/>
      <c r="F93" s="212"/>
      <c r="G93" s="212"/>
      <c r="H93" s="212"/>
      <c r="I93" s="212"/>
      <c r="J93" s="212"/>
      <c r="K93" s="212"/>
      <c r="L93" s="212"/>
      <c r="M93" s="212"/>
      <c r="N93" s="212"/>
      <c r="O93" s="212"/>
      <c r="P93" s="212"/>
      <c r="Q93" s="212"/>
      <c r="R93" s="212"/>
      <c r="S93" s="212"/>
      <c r="T93" s="212"/>
      <c r="U93" s="212"/>
      <c r="V93" s="212"/>
      <c r="W93" s="212"/>
      <c r="X93" s="212"/>
      <c r="Y93" s="212"/>
      <c r="Z93" s="212"/>
      <c r="AA93" s="212"/>
      <c r="AB93" s="212"/>
      <c r="AC93" s="212"/>
      <c r="AD93" s="212"/>
      <c r="AE93" s="212"/>
      <c r="AF93" s="212"/>
      <c r="AG93" s="212"/>
      <c r="AH93" s="213"/>
      <c r="AI93" s="212"/>
      <c r="AJ93" s="212"/>
      <c r="AK93" s="212">
        <f t="shared" ref="AK93:AR93" si="108">AK92/AJ92-1</f>
        <v>4.9351639969488881E-2</v>
      </c>
      <c r="AL93" s="212">
        <f t="shared" si="108"/>
        <v>7.7124373046449035E-2</v>
      </c>
      <c r="AM93" s="212">
        <f t="shared" si="108"/>
        <v>3.3135375894182806E-2</v>
      </c>
      <c r="AN93" s="212">
        <f t="shared" si="108"/>
        <v>8.3414984649552659E-2</v>
      </c>
      <c r="AO93" s="212">
        <f t="shared" si="108"/>
        <v>3.6054503798384152E-2</v>
      </c>
      <c r="AP93" s="212">
        <f t="shared" si="108"/>
        <v>9.0782122905028739E-3</v>
      </c>
      <c r="AQ93" s="212">
        <f t="shared" si="108"/>
        <v>8.4198385236447626E-2</v>
      </c>
      <c r="AR93" s="212">
        <f t="shared" si="108"/>
        <v>7.5904255319148906E-2</v>
      </c>
      <c r="AS93" s="212">
        <f t="shared" ref="AS93:AX93" si="109">AS92/AR92-1</f>
        <v>2.8971177139466953E-2</v>
      </c>
      <c r="AT93" s="212">
        <f t="shared" si="109"/>
        <v>2.5464853697208412E-2</v>
      </c>
      <c r="AU93" s="212">
        <f t="shared" si="109"/>
        <v>3.2610223492479884E-2</v>
      </c>
      <c r="AV93" s="212">
        <f t="shared" si="109"/>
        <v>4.2379418303915894E-2</v>
      </c>
      <c r="AW93" s="212">
        <f t="shared" si="109"/>
        <v>7.5175205676228707E-2</v>
      </c>
      <c r="AX93" s="212">
        <f t="shared" si="109"/>
        <v>4.4534412955465674E-2</v>
      </c>
      <c r="AY93" s="212"/>
      <c r="AZ93" s="212"/>
      <c r="BA93" s="212"/>
      <c r="BB93" s="212"/>
      <c r="BC93" s="212"/>
      <c r="BD93" s="212"/>
      <c r="BE93" s="212"/>
      <c r="BF93" s="212"/>
      <c r="BG93" s="212"/>
      <c r="BH93" s="212"/>
      <c r="BI93" s="212"/>
      <c r="BJ93" s="212"/>
      <c r="BK93" s="212"/>
    </row>
    <row r="94" spans="2:63" ht="13.5" customHeight="1">
      <c r="B94" s="200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3"/>
      <c r="AM94" s="4"/>
      <c r="AN94" s="4"/>
      <c r="AO94" s="4"/>
      <c r="AP94" s="4"/>
      <c r="AQ94" s="4"/>
      <c r="AR94" s="4"/>
      <c r="AS94" s="26"/>
      <c r="AT94" s="26"/>
      <c r="AU94" s="26"/>
      <c r="AV94" s="26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</row>
    <row r="95" spans="2:63" s="184" customFormat="1" ht="13.5" customHeight="1">
      <c r="B95" s="220" t="s">
        <v>460</v>
      </c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>
        <v>953</v>
      </c>
      <c r="X95" s="22">
        <v>1100</v>
      </c>
      <c r="Y95" s="22">
        <v>1153</v>
      </c>
      <c r="Z95" s="22">
        <v>1154</v>
      </c>
      <c r="AA95" s="22">
        <v>1354</v>
      </c>
      <c r="AB95" s="22">
        <v>1543</v>
      </c>
      <c r="AC95" s="22">
        <v>1764</v>
      </c>
      <c r="AD95" s="22">
        <v>1945</v>
      </c>
      <c r="AE95" s="22">
        <v>2045</v>
      </c>
      <c r="AF95" s="22">
        <v>2366</v>
      </c>
      <c r="AG95" s="22">
        <v>2669</v>
      </c>
      <c r="AH95" s="22">
        <v>3385</v>
      </c>
      <c r="AI95" s="22">
        <v>3549</v>
      </c>
      <c r="AJ95" s="22">
        <v>5038</v>
      </c>
      <c r="AK95" s="22">
        <v>6306</v>
      </c>
      <c r="AL95" s="208">
        <v>6848</v>
      </c>
      <c r="AM95" s="22">
        <v>7008</v>
      </c>
      <c r="AN95" s="22">
        <v>7672</v>
      </c>
      <c r="AO95" s="22">
        <v>8183</v>
      </c>
      <c r="AP95" s="22">
        <v>8519</v>
      </c>
      <c r="AQ95" s="22">
        <v>9147</v>
      </c>
      <c r="AR95" s="22">
        <v>9559</v>
      </c>
      <c r="AS95" s="22">
        <v>9829</v>
      </c>
      <c r="AT95" s="22">
        <v>10061</v>
      </c>
      <c r="AU95" s="22">
        <v>10566</v>
      </c>
      <c r="AV95" s="22">
        <v>10837</v>
      </c>
      <c r="AW95" s="208"/>
      <c r="AX95" s="208"/>
      <c r="AY95" s="208"/>
      <c r="AZ95" s="208"/>
      <c r="BA95" s="208"/>
      <c r="BB95" s="208"/>
      <c r="BC95" s="208"/>
      <c r="BD95" s="208"/>
      <c r="BE95" s="208"/>
      <c r="BF95" s="208"/>
      <c r="BG95" s="208"/>
      <c r="BH95" s="208"/>
      <c r="BI95" s="208"/>
      <c r="BJ95" s="208"/>
      <c r="BK95" s="208"/>
    </row>
    <row r="96" spans="2:63" ht="13.5" customHeight="1">
      <c r="B96" s="206" t="s">
        <v>459</v>
      </c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>
        <f t="shared" ref="W96:AI96" si="110">W95/W79</f>
        <v>0.26181318681318683</v>
      </c>
      <c r="X96" s="26">
        <f t="shared" si="110"/>
        <v>0.27645136969087708</v>
      </c>
      <c r="Y96" s="26">
        <f t="shared" si="110"/>
        <v>0.27877176015473887</v>
      </c>
      <c r="Z96" s="26">
        <f t="shared" si="110"/>
        <v>0.25758928571428569</v>
      </c>
      <c r="AA96" s="26">
        <f t="shared" si="110"/>
        <v>0.30440647482014388</v>
      </c>
      <c r="AB96" s="26">
        <f t="shared" si="110"/>
        <v>0.3524440383736866</v>
      </c>
      <c r="AC96" s="26">
        <f t="shared" si="110"/>
        <v>0.37862202189311012</v>
      </c>
      <c r="AD96" s="26">
        <f t="shared" si="110"/>
        <v>0.38507226291823399</v>
      </c>
      <c r="AE96" s="26">
        <f t="shared" si="110"/>
        <v>0.37647275405007363</v>
      </c>
      <c r="AF96" s="26">
        <f t="shared" si="110"/>
        <v>0.40169779286926993</v>
      </c>
      <c r="AG96" s="26">
        <f t="shared" si="110"/>
        <v>0.38759802497821666</v>
      </c>
      <c r="AH96" s="26">
        <f t="shared" si="110"/>
        <v>0.49015348971908484</v>
      </c>
      <c r="AI96" s="26">
        <f t="shared" si="110"/>
        <v>0.46452879581151835</v>
      </c>
      <c r="AJ96" s="26">
        <f t="shared" ref="AJ96:AV96" si="111">AJ95/AJ92</f>
        <v>0.38428680396643783</v>
      </c>
      <c r="AK96" s="26">
        <f t="shared" si="111"/>
        <v>0.45838482227229777</v>
      </c>
      <c r="AL96" s="26">
        <f t="shared" si="111"/>
        <v>0.46214063976245107</v>
      </c>
      <c r="AM96" s="26">
        <f t="shared" si="111"/>
        <v>0.45776993925142073</v>
      </c>
      <c r="AN96" s="26">
        <f t="shared" si="111"/>
        <v>0.46255878451706256</v>
      </c>
      <c r="AO96" s="26">
        <f t="shared" si="111"/>
        <v>0.47619878957169459</v>
      </c>
      <c r="AP96" s="26">
        <f t="shared" si="111"/>
        <v>0.49129181084198387</v>
      </c>
      <c r="AQ96" s="26">
        <f t="shared" si="111"/>
        <v>0.48654255319148937</v>
      </c>
      <c r="AR96" s="26">
        <f t="shared" si="111"/>
        <v>0.47258614722895143</v>
      </c>
      <c r="AS96" s="26">
        <f t="shared" si="111"/>
        <v>0.47225291884879644</v>
      </c>
      <c r="AT96" s="26">
        <f t="shared" si="111"/>
        <v>0.47139577379000142</v>
      </c>
      <c r="AU96" s="26">
        <f t="shared" si="111"/>
        <v>0.47942284132673896</v>
      </c>
      <c r="AV96" s="26">
        <f t="shared" si="111"/>
        <v>0.4717276803203761</v>
      </c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</row>
    <row r="97" spans="2:63" ht="13.5" customHeight="1">
      <c r="B97" s="186"/>
      <c r="C97" s="191"/>
      <c r="D97" s="191"/>
      <c r="E97" s="191"/>
      <c r="F97" s="191"/>
      <c r="G97" s="191"/>
      <c r="H97" s="191"/>
      <c r="I97" s="191"/>
      <c r="J97" s="191"/>
      <c r="K97" s="191"/>
      <c r="L97" s="191"/>
      <c r="M97" s="191"/>
      <c r="N97" s="191"/>
      <c r="O97" s="191"/>
      <c r="P97" s="191"/>
      <c r="Q97" s="191"/>
      <c r="R97" s="191"/>
      <c r="S97" s="191"/>
      <c r="T97" s="191"/>
      <c r="U97" s="191"/>
      <c r="V97" s="191"/>
      <c r="W97" s="191"/>
      <c r="X97" s="191"/>
      <c r="Y97" s="191"/>
      <c r="Z97" s="191"/>
      <c r="AA97" s="191"/>
      <c r="AB97" s="191"/>
      <c r="AC97" s="191"/>
      <c r="AD97" s="191"/>
      <c r="AE97" s="191"/>
      <c r="AF97" s="191"/>
      <c r="AG97" s="191"/>
      <c r="AH97" s="191"/>
      <c r="AI97" s="191"/>
      <c r="AJ97" s="26"/>
      <c r="AK97" s="191"/>
      <c r="AM97" s="191"/>
      <c r="AN97" s="191"/>
      <c r="AO97" s="191"/>
      <c r="AP97" s="191"/>
      <c r="AQ97" s="191"/>
      <c r="AR97" s="191"/>
      <c r="AS97" s="190"/>
      <c r="AT97" s="190"/>
      <c r="AU97" s="190"/>
      <c r="AV97" s="190"/>
    </row>
    <row r="98" spans="2:63" ht="13.5" customHeight="1">
      <c r="B98" s="186"/>
      <c r="C98" s="191"/>
      <c r="D98" s="191"/>
      <c r="E98" s="191"/>
      <c r="F98" s="191"/>
      <c r="G98" s="191"/>
      <c r="H98" s="191"/>
      <c r="I98" s="191"/>
      <c r="J98" s="191"/>
      <c r="K98" s="191"/>
      <c r="L98" s="191"/>
      <c r="M98" s="191"/>
      <c r="N98" s="191"/>
      <c r="O98" s="191"/>
      <c r="P98" s="191"/>
      <c r="Q98" s="191"/>
      <c r="R98" s="191"/>
      <c r="S98" s="191"/>
      <c r="T98" s="191"/>
      <c r="U98" s="191"/>
      <c r="V98" s="191"/>
      <c r="W98" s="191"/>
      <c r="X98" s="191"/>
      <c r="Y98" s="191"/>
      <c r="Z98" s="191"/>
      <c r="AA98" s="191"/>
      <c r="AB98" s="191"/>
      <c r="AC98" s="191"/>
      <c r="AD98" s="191"/>
      <c r="AE98" s="191"/>
      <c r="AF98" s="191"/>
      <c r="AG98" s="191"/>
      <c r="AH98" s="191"/>
      <c r="AI98" s="191"/>
      <c r="AJ98" s="26"/>
      <c r="AK98" s="191"/>
      <c r="AM98" s="191"/>
      <c r="AN98" s="191"/>
      <c r="AO98" s="191"/>
      <c r="AP98" s="191"/>
      <c r="AQ98" s="191"/>
      <c r="AR98" s="191"/>
      <c r="AS98" s="190"/>
      <c r="AT98" s="190"/>
      <c r="AU98" s="190"/>
      <c r="AV98" s="190"/>
    </row>
    <row r="99" spans="2:63" ht="13.5" customHeight="1">
      <c r="B99" s="186" t="s">
        <v>835</v>
      </c>
      <c r="C99" s="191"/>
      <c r="D99" s="191"/>
      <c r="E99" s="191"/>
      <c r="F99" s="191"/>
      <c r="G99" s="191"/>
      <c r="H99" s="191"/>
      <c r="I99" s="191"/>
      <c r="J99" s="191"/>
      <c r="K99" s="191"/>
      <c r="L99" s="191"/>
      <c r="M99" s="191"/>
      <c r="N99" s="191"/>
      <c r="O99" s="191"/>
      <c r="P99" s="191"/>
      <c r="Q99" s="191"/>
      <c r="R99" s="191"/>
      <c r="S99" s="191"/>
      <c r="T99" s="191"/>
      <c r="U99" s="191"/>
      <c r="V99" s="191"/>
      <c r="W99" s="191"/>
      <c r="X99" s="191"/>
      <c r="Y99" s="191"/>
      <c r="Z99" s="191"/>
      <c r="AA99" s="191"/>
      <c r="AB99" s="191"/>
      <c r="AC99" s="191"/>
      <c r="AD99" s="191"/>
      <c r="AE99" s="191"/>
      <c r="AF99" s="191"/>
      <c r="AG99" s="191"/>
      <c r="AH99" s="191"/>
      <c r="AI99" s="191"/>
      <c r="AJ99" s="26"/>
      <c r="AK99" s="191"/>
      <c r="AM99" s="191"/>
      <c r="AN99" s="191"/>
      <c r="AO99" s="191"/>
      <c r="AP99" s="191"/>
      <c r="AQ99" s="191"/>
      <c r="AR99" s="191"/>
      <c r="AS99" s="190"/>
      <c r="AT99" s="190"/>
      <c r="AU99" s="190"/>
      <c r="AV99" s="190"/>
    </row>
    <row r="100" spans="2:63" ht="13.5" customHeight="1">
      <c r="B100" s="186" t="s">
        <v>463</v>
      </c>
      <c r="C100" s="191"/>
      <c r="D100" s="191"/>
      <c r="E100" s="191"/>
      <c r="F100" s="191"/>
      <c r="G100" s="191"/>
      <c r="H100" s="191"/>
      <c r="I100" s="191"/>
      <c r="J100" s="191"/>
      <c r="K100" s="191"/>
      <c r="L100" s="191"/>
      <c r="M100" s="191"/>
      <c r="N100" s="191"/>
      <c r="O100" s="191"/>
      <c r="P100" s="191"/>
      <c r="Q100" s="191"/>
      <c r="R100" s="191"/>
      <c r="S100" s="191"/>
      <c r="T100" s="191"/>
      <c r="U100" s="191"/>
      <c r="V100" s="191"/>
      <c r="W100" s="191"/>
      <c r="X100" s="191"/>
      <c r="Y100" s="191"/>
      <c r="Z100" s="191"/>
      <c r="AA100" s="191"/>
      <c r="AB100" s="191"/>
      <c r="AC100" s="191"/>
      <c r="AD100" s="191"/>
      <c r="AE100" s="191"/>
      <c r="AF100" s="191"/>
      <c r="AG100" s="191"/>
      <c r="AH100" s="191"/>
      <c r="AI100" s="191"/>
      <c r="AJ100" s="26"/>
      <c r="AK100" s="191"/>
      <c r="AM100" s="191"/>
      <c r="AN100" s="191"/>
      <c r="AO100" s="191"/>
      <c r="AP100" s="191"/>
      <c r="AQ100" s="191"/>
      <c r="AR100" s="191"/>
      <c r="AS100" s="190"/>
      <c r="AT100" s="190"/>
      <c r="AU100" s="190"/>
      <c r="AV100" s="190"/>
    </row>
    <row r="101" spans="2:63" ht="13.5" customHeight="1">
      <c r="B101" s="186" t="s">
        <v>244</v>
      </c>
      <c r="C101" s="191"/>
      <c r="D101" s="191"/>
      <c r="E101" s="191"/>
      <c r="F101" s="191"/>
      <c r="G101" s="191"/>
      <c r="H101" s="191"/>
      <c r="I101" s="191"/>
      <c r="J101" s="191"/>
      <c r="K101" s="191"/>
      <c r="L101" s="191"/>
      <c r="M101" s="191"/>
      <c r="N101" s="191"/>
      <c r="O101" s="191"/>
      <c r="P101" s="191"/>
      <c r="Q101" s="191"/>
      <c r="R101" s="191"/>
      <c r="S101" s="191"/>
      <c r="T101" s="191"/>
      <c r="U101" s="191"/>
      <c r="V101" s="191"/>
      <c r="W101" s="191"/>
      <c r="X101" s="191"/>
      <c r="Y101" s="191"/>
      <c r="Z101" s="191"/>
      <c r="AA101" s="191"/>
      <c r="AB101" s="191"/>
      <c r="AC101" s="191"/>
      <c r="AD101" s="191"/>
      <c r="AE101" s="191"/>
      <c r="AF101" s="191"/>
      <c r="AG101" s="191"/>
      <c r="AH101" s="191"/>
      <c r="AI101" s="191"/>
      <c r="AJ101" s="26"/>
      <c r="AK101" s="191"/>
      <c r="AM101" s="191"/>
      <c r="AN101" s="191"/>
      <c r="AO101" s="191"/>
      <c r="AP101" s="191"/>
      <c r="AQ101" s="191"/>
      <c r="AR101" s="191"/>
      <c r="AS101" s="190"/>
      <c r="AT101" s="190"/>
      <c r="AU101" s="190"/>
      <c r="AV101" s="190"/>
      <c r="AW101" s="221"/>
    </row>
    <row r="102" spans="2:63" ht="13.5" customHeight="1">
      <c r="B102" s="186"/>
      <c r="C102" s="191"/>
      <c r="D102" s="191"/>
      <c r="E102" s="191"/>
      <c r="F102" s="191"/>
      <c r="G102" s="191"/>
      <c r="H102" s="191"/>
      <c r="I102" s="191"/>
      <c r="J102" s="191"/>
      <c r="K102" s="191"/>
      <c r="L102" s="191"/>
      <c r="M102" s="191"/>
      <c r="N102" s="191"/>
      <c r="O102" s="191"/>
      <c r="P102" s="191"/>
      <c r="Q102" s="191"/>
      <c r="R102" s="191"/>
      <c r="S102" s="191"/>
      <c r="T102" s="191"/>
      <c r="U102" s="191"/>
      <c r="V102" s="191"/>
      <c r="W102" s="191"/>
      <c r="X102" s="191"/>
      <c r="Y102" s="191"/>
      <c r="Z102" s="191"/>
      <c r="AA102" s="191"/>
      <c r="AB102" s="191"/>
      <c r="AC102" s="191"/>
      <c r="AD102" s="191"/>
      <c r="AE102" s="191"/>
      <c r="AF102" s="191"/>
      <c r="AG102" s="191"/>
      <c r="AH102" s="191"/>
      <c r="AI102" s="191"/>
      <c r="AJ102" s="26"/>
      <c r="AK102" s="191"/>
      <c r="AM102" s="191"/>
      <c r="AN102" s="191"/>
      <c r="AO102" s="191"/>
      <c r="AP102" s="191"/>
      <c r="AQ102" s="191"/>
      <c r="AR102" s="191"/>
      <c r="AS102" s="190"/>
      <c r="AT102" s="190"/>
      <c r="AU102" s="190"/>
      <c r="AV102" s="190"/>
    </row>
    <row r="103" spans="2:63" ht="13.5" customHeight="1">
      <c r="B103" s="186"/>
      <c r="C103" s="191"/>
      <c r="D103" s="191"/>
      <c r="E103" s="191"/>
      <c r="F103" s="191"/>
      <c r="G103" s="191"/>
      <c r="H103" s="191"/>
      <c r="I103" s="191"/>
      <c r="J103" s="191"/>
      <c r="K103" s="191"/>
      <c r="L103" s="191"/>
      <c r="M103" s="191"/>
      <c r="N103" s="191"/>
      <c r="O103" s="191"/>
      <c r="P103" s="191"/>
      <c r="Q103" s="191"/>
      <c r="R103" s="191"/>
      <c r="S103" s="191"/>
      <c r="T103" s="191"/>
      <c r="U103" s="191"/>
      <c r="V103" s="191"/>
      <c r="W103" s="191"/>
      <c r="X103" s="191"/>
      <c r="Y103" s="191"/>
      <c r="Z103" s="191"/>
      <c r="AA103" s="191"/>
      <c r="AB103" s="191"/>
      <c r="AC103" s="191"/>
      <c r="AD103" s="191"/>
      <c r="AE103" s="191"/>
      <c r="AF103" s="191"/>
      <c r="AG103" s="191"/>
      <c r="AH103" s="191"/>
      <c r="AI103" s="191"/>
      <c r="AJ103" s="26"/>
      <c r="AK103" s="191"/>
      <c r="AM103" s="191"/>
      <c r="AN103" s="191"/>
      <c r="AO103" s="191"/>
      <c r="AP103" s="191"/>
      <c r="AQ103" s="191"/>
      <c r="AR103" s="191"/>
      <c r="AS103" s="190"/>
      <c r="AT103" s="190"/>
      <c r="AU103" s="190"/>
      <c r="AV103" s="190"/>
    </row>
    <row r="104" spans="2:63" ht="13.5" customHeight="1">
      <c r="B104" s="186"/>
      <c r="C104" s="191"/>
      <c r="D104" s="191"/>
      <c r="E104" s="191"/>
      <c r="F104" s="191"/>
      <c r="G104" s="191"/>
      <c r="H104" s="191"/>
      <c r="I104" s="191"/>
      <c r="J104" s="191"/>
      <c r="K104" s="191"/>
      <c r="L104" s="191"/>
      <c r="M104" s="191"/>
      <c r="N104" s="191"/>
      <c r="O104" s="191"/>
      <c r="P104" s="191"/>
      <c r="Q104" s="191"/>
      <c r="R104" s="191"/>
      <c r="S104" s="191"/>
      <c r="T104" s="191"/>
      <c r="U104" s="191"/>
      <c r="V104" s="191"/>
      <c r="W104" s="191"/>
      <c r="X104" s="191"/>
      <c r="Y104" s="191"/>
      <c r="Z104" s="191"/>
      <c r="AA104" s="191"/>
      <c r="AB104" s="191"/>
      <c r="AC104" s="191"/>
      <c r="AD104" s="191"/>
      <c r="AE104" s="191"/>
      <c r="AF104" s="191"/>
      <c r="AG104" s="191"/>
      <c r="AH104" s="191"/>
      <c r="AI104" s="191"/>
      <c r="AJ104" s="26"/>
      <c r="AK104" s="191"/>
      <c r="AM104" s="191"/>
      <c r="AN104" s="191"/>
      <c r="AO104" s="191"/>
      <c r="AP104" s="191"/>
      <c r="AQ104" s="191"/>
      <c r="AR104" s="191"/>
      <c r="AS104" s="190"/>
      <c r="AT104" s="190"/>
      <c r="AU104" s="190"/>
      <c r="AV104" s="190"/>
    </row>
    <row r="105" spans="2:63" ht="13.5" customHeight="1">
      <c r="B105" s="186"/>
      <c r="C105" s="191"/>
      <c r="D105" s="191"/>
      <c r="E105" s="191"/>
      <c r="F105" s="191"/>
      <c r="G105" s="191"/>
      <c r="H105" s="191"/>
      <c r="I105" s="191"/>
      <c r="J105" s="191"/>
      <c r="K105" s="191"/>
      <c r="L105" s="191"/>
      <c r="M105" s="191"/>
      <c r="N105" s="191"/>
      <c r="O105" s="191"/>
      <c r="P105" s="191"/>
      <c r="Q105" s="191"/>
      <c r="R105" s="191"/>
      <c r="S105" s="191"/>
      <c r="T105" s="191"/>
      <c r="U105" s="191"/>
      <c r="V105" s="191"/>
      <c r="W105" s="191"/>
      <c r="X105" s="191"/>
      <c r="Y105" s="191"/>
      <c r="Z105" s="191"/>
      <c r="AA105" s="191"/>
      <c r="AB105" s="191"/>
      <c r="AC105" s="191"/>
      <c r="AD105" s="191"/>
      <c r="AE105" s="191"/>
      <c r="AF105" s="191"/>
      <c r="AG105" s="191"/>
      <c r="AH105" s="191"/>
      <c r="AI105" s="191"/>
      <c r="AJ105" s="26"/>
      <c r="AK105" s="191"/>
      <c r="AM105" s="191"/>
      <c r="AN105" s="191"/>
      <c r="AO105" s="191"/>
      <c r="AP105" s="191"/>
      <c r="AQ105" s="191"/>
      <c r="AR105" s="191"/>
      <c r="AS105" s="190"/>
      <c r="AT105" s="190"/>
      <c r="AU105" s="190"/>
      <c r="AV105" s="190"/>
    </row>
    <row r="106" spans="2:63" ht="13.5" customHeight="1">
      <c r="B106" s="187"/>
      <c r="C106" s="191"/>
      <c r="D106" s="191"/>
      <c r="E106" s="191"/>
      <c r="F106" s="191"/>
      <c r="G106" s="191"/>
      <c r="H106" s="191"/>
      <c r="I106" s="191"/>
      <c r="J106" s="191"/>
      <c r="K106" s="191"/>
      <c r="L106" s="191"/>
      <c r="M106" s="191"/>
      <c r="N106" s="191"/>
      <c r="O106" s="191"/>
      <c r="P106" s="191"/>
      <c r="Q106" s="191"/>
      <c r="R106" s="191"/>
      <c r="S106" s="191"/>
      <c r="T106" s="191"/>
      <c r="U106" s="191"/>
      <c r="V106" s="191"/>
      <c r="W106" s="191"/>
      <c r="X106" s="191"/>
      <c r="Y106" s="191"/>
      <c r="Z106" s="191"/>
      <c r="AA106" s="191"/>
      <c r="AB106" s="191"/>
      <c r="AC106" s="191"/>
      <c r="AD106" s="191"/>
      <c r="AE106" s="191"/>
      <c r="AF106" s="191"/>
      <c r="AG106" s="191"/>
      <c r="AH106" s="191"/>
      <c r="AI106" s="191"/>
      <c r="AJ106" s="191"/>
      <c r="AK106" s="191"/>
      <c r="AM106" s="191"/>
      <c r="AN106" s="191"/>
      <c r="AO106" s="191"/>
      <c r="AP106" s="191"/>
      <c r="AQ106" s="191"/>
      <c r="AR106" s="191"/>
      <c r="AS106" s="191"/>
      <c r="AT106" s="191"/>
      <c r="AU106" s="191"/>
      <c r="AV106" s="191"/>
    </row>
    <row r="107" spans="2:63" s="210" customFormat="1" ht="13.5" customHeight="1">
      <c r="B107" s="196" t="s">
        <v>828</v>
      </c>
      <c r="C107" s="199">
        <f t="shared" ref="C107:AV107" si="112">C$1</f>
        <v>25933</v>
      </c>
      <c r="D107" s="199">
        <f t="shared" si="112"/>
        <v>26298</v>
      </c>
      <c r="E107" s="199">
        <f t="shared" si="112"/>
        <v>26664</v>
      </c>
      <c r="F107" s="199">
        <f t="shared" si="112"/>
        <v>27029</v>
      </c>
      <c r="G107" s="199">
        <f t="shared" si="112"/>
        <v>27394</v>
      </c>
      <c r="H107" s="199">
        <f t="shared" si="112"/>
        <v>27759</v>
      </c>
      <c r="I107" s="199">
        <f t="shared" si="112"/>
        <v>28125</v>
      </c>
      <c r="J107" s="199">
        <f t="shared" si="112"/>
        <v>28490</v>
      </c>
      <c r="K107" s="199">
        <f t="shared" si="112"/>
        <v>28855</v>
      </c>
      <c r="L107" s="199">
        <f t="shared" si="112"/>
        <v>29220</v>
      </c>
      <c r="M107" s="199">
        <f t="shared" si="112"/>
        <v>29586</v>
      </c>
      <c r="N107" s="199">
        <f t="shared" si="112"/>
        <v>29951</v>
      </c>
      <c r="O107" s="199">
        <f t="shared" si="112"/>
        <v>30316</v>
      </c>
      <c r="P107" s="199">
        <f t="shared" si="112"/>
        <v>30681</v>
      </c>
      <c r="Q107" s="199">
        <f t="shared" si="112"/>
        <v>31047</v>
      </c>
      <c r="R107" s="199">
        <f t="shared" si="112"/>
        <v>31412</v>
      </c>
      <c r="S107" s="199">
        <f t="shared" si="112"/>
        <v>31777</v>
      </c>
      <c r="T107" s="199">
        <f t="shared" si="112"/>
        <v>32142</v>
      </c>
      <c r="U107" s="199">
        <f t="shared" si="112"/>
        <v>32508</v>
      </c>
      <c r="V107" s="199">
        <f t="shared" si="112"/>
        <v>32873</v>
      </c>
      <c r="W107" s="199">
        <f t="shared" si="112"/>
        <v>33238</v>
      </c>
      <c r="X107" s="199">
        <f t="shared" si="112"/>
        <v>33603</v>
      </c>
      <c r="Y107" s="199">
        <f t="shared" si="112"/>
        <v>33969</v>
      </c>
      <c r="Z107" s="199">
        <f t="shared" si="112"/>
        <v>34334</v>
      </c>
      <c r="AA107" s="199">
        <f t="shared" si="112"/>
        <v>34699</v>
      </c>
      <c r="AB107" s="199">
        <f t="shared" si="112"/>
        <v>35064</v>
      </c>
      <c r="AC107" s="199">
        <f t="shared" si="112"/>
        <v>35430</v>
      </c>
      <c r="AD107" s="199">
        <f t="shared" si="112"/>
        <v>35795</v>
      </c>
      <c r="AE107" s="199">
        <f t="shared" si="112"/>
        <v>36160</v>
      </c>
      <c r="AF107" s="199">
        <f t="shared" si="112"/>
        <v>36525</v>
      </c>
      <c r="AG107" s="199">
        <f t="shared" si="112"/>
        <v>36891</v>
      </c>
      <c r="AH107" s="199">
        <f t="shared" si="112"/>
        <v>37256</v>
      </c>
      <c r="AI107" s="199">
        <f t="shared" si="112"/>
        <v>37621</v>
      </c>
      <c r="AJ107" s="199">
        <f t="shared" si="112"/>
        <v>37986</v>
      </c>
      <c r="AK107" s="199">
        <f t="shared" si="112"/>
        <v>38352</v>
      </c>
      <c r="AL107" s="199">
        <f t="shared" si="112"/>
        <v>38717</v>
      </c>
      <c r="AM107" s="199">
        <f t="shared" si="112"/>
        <v>39082</v>
      </c>
      <c r="AN107" s="199">
        <f t="shared" si="112"/>
        <v>39447</v>
      </c>
      <c r="AO107" s="199">
        <f t="shared" si="112"/>
        <v>39813</v>
      </c>
      <c r="AP107" s="199">
        <f t="shared" si="112"/>
        <v>40178</v>
      </c>
      <c r="AQ107" s="199">
        <f t="shared" si="112"/>
        <v>40543</v>
      </c>
      <c r="AR107" s="199">
        <f t="shared" si="112"/>
        <v>40908</v>
      </c>
      <c r="AS107" s="199">
        <f t="shared" si="112"/>
        <v>41274</v>
      </c>
      <c r="AT107" s="199">
        <f t="shared" si="112"/>
        <v>41639</v>
      </c>
      <c r="AU107" s="199">
        <f t="shared" si="112"/>
        <v>42004</v>
      </c>
      <c r="AV107" s="199">
        <f t="shared" si="112"/>
        <v>42369</v>
      </c>
      <c r="AW107" s="199">
        <f>AW$1</f>
        <v>42735</v>
      </c>
      <c r="AX107" s="199">
        <f t="shared" ref="AX107:BK107" si="113">AX$1</f>
        <v>43100</v>
      </c>
      <c r="AY107" s="199">
        <f t="shared" si="113"/>
        <v>43465</v>
      </c>
      <c r="AZ107" s="199">
        <f t="shared" si="113"/>
        <v>43830</v>
      </c>
      <c r="BA107" s="199">
        <f t="shared" si="113"/>
        <v>44196</v>
      </c>
      <c r="BB107" s="199">
        <f t="shared" si="113"/>
        <v>44561</v>
      </c>
      <c r="BC107" s="199">
        <f t="shared" si="113"/>
        <v>44926</v>
      </c>
      <c r="BD107" s="199">
        <f t="shared" si="113"/>
        <v>45291</v>
      </c>
      <c r="BE107" s="199">
        <f t="shared" si="113"/>
        <v>45657</v>
      </c>
      <c r="BF107" s="199">
        <f t="shared" si="113"/>
        <v>46022</v>
      </c>
      <c r="BG107" s="199">
        <f t="shared" si="113"/>
        <v>46387</v>
      </c>
      <c r="BH107" s="199">
        <f t="shared" si="113"/>
        <v>46752</v>
      </c>
      <c r="BI107" s="199">
        <f t="shared" si="113"/>
        <v>47118</v>
      </c>
      <c r="BJ107" s="199">
        <f t="shared" si="113"/>
        <v>47483</v>
      </c>
      <c r="BK107" s="199">
        <f t="shared" si="113"/>
        <v>47848</v>
      </c>
    </row>
    <row r="108" spans="2:63" s="184" customFormat="1" ht="13.5" customHeight="1">
      <c r="B108" s="214" t="s">
        <v>820</v>
      </c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08"/>
      <c r="AM108" s="22"/>
      <c r="AN108" s="22"/>
      <c r="AO108" s="22"/>
      <c r="AP108" s="22"/>
      <c r="AQ108" s="22"/>
      <c r="AR108" s="214"/>
      <c r="AS108" s="214"/>
      <c r="AT108" s="214">
        <v>10920</v>
      </c>
      <c r="AU108" s="214">
        <v>11210</v>
      </c>
      <c r="AV108" s="214"/>
      <c r="AW108" s="214">
        <v>11520</v>
      </c>
      <c r="AX108" s="208"/>
      <c r="AY108" s="208"/>
      <c r="AZ108" s="208"/>
      <c r="BA108" s="208"/>
      <c r="BB108" s="208"/>
      <c r="BC108" s="208"/>
      <c r="BD108" s="208"/>
      <c r="BE108" s="208"/>
      <c r="BF108" s="208"/>
      <c r="BG108" s="208"/>
      <c r="BH108" s="208"/>
      <c r="BI108" s="208"/>
      <c r="BJ108" s="208"/>
      <c r="BK108" s="208"/>
    </row>
    <row r="109" spans="2:63" s="184" customFormat="1" ht="13.5" customHeight="1">
      <c r="B109" s="214" t="s">
        <v>639</v>
      </c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08"/>
      <c r="AM109" s="22"/>
      <c r="AN109" s="22"/>
      <c r="AO109" s="22"/>
      <c r="AP109" s="22"/>
      <c r="AQ109" s="22"/>
      <c r="AR109" s="214"/>
      <c r="AS109" s="214"/>
      <c r="AT109" s="214">
        <v>770</v>
      </c>
      <c r="AU109" s="214">
        <v>800</v>
      </c>
      <c r="AV109" s="214"/>
      <c r="AW109" s="214">
        <v>750</v>
      </c>
      <c r="AX109" s="208"/>
      <c r="AY109" s="208"/>
      <c r="AZ109" s="208"/>
      <c r="BA109" s="208"/>
      <c r="BB109" s="208"/>
      <c r="BC109" s="208"/>
      <c r="BD109" s="208"/>
      <c r="BE109" s="208"/>
      <c r="BF109" s="208"/>
      <c r="BG109" s="208"/>
      <c r="BH109" s="208"/>
      <c r="BI109" s="208"/>
      <c r="BJ109" s="208"/>
      <c r="BK109" s="208"/>
    </row>
    <row r="110" spans="2:63" s="184" customFormat="1" ht="13.5" customHeight="1">
      <c r="B110" s="214" t="s">
        <v>821</v>
      </c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08"/>
      <c r="AM110" s="22"/>
      <c r="AN110" s="22"/>
      <c r="AO110" s="22"/>
      <c r="AP110" s="22"/>
      <c r="AQ110" s="22"/>
      <c r="AR110" s="214"/>
      <c r="AS110" s="214"/>
      <c r="AT110" s="214">
        <v>1730</v>
      </c>
      <c r="AU110" s="214">
        <v>1610</v>
      </c>
      <c r="AV110" s="214"/>
      <c r="AW110" s="214">
        <v>1890</v>
      </c>
      <c r="AX110" s="208"/>
      <c r="AY110" s="208"/>
      <c r="AZ110" s="208"/>
      <c r="BA110" s="208"/>
      <c r="BB110" s="208"/>
      <c r="BC110" s="208"/>
      <c r="BD110" s="208"/>
      <c r="BE110" s="208"/>
      <c r="BF110" s="208"/>
      <c r="BG110" s="208"/>
      <c r="BH110" s="208"/>
      <c r="BI110" s="208"/>
      <c r="BJ110" s="208"/>
      <c r="BK110" s="208"/>
    </row>
    <row r="111" spans="2:63" s="184" customFormat="1" ht="13.5" customHeight="1">
      <c r="B111" s="214" t="s">
        <v>643</v>
      </c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08"/>
      <c r="AM111" s="22"/>
      <c r="AN111" s="22"/>
      <c r="AO111" s="22"/>
      <c r="AP111" s="22"/>
      <c r="AQ111" s="22"/>
      <c r="AR111" s="214"/>
      <c r="AS111" s="214"/>
      <c r="AT111" s="214">
        <v>1690</v>
      </c>
      <c r="AU111" s="214">
        <v>1770</v>
      </c>
      <c r="AV111" s="214"/>
      <c r="AW111" s="214">
        <v>2020</v>
      </c>
      <c r="AX111" s="208"/>
      <c r="AY111" s="208"/>
      <c r="AZ111" s="208"/>
      <c r="BA111" s="208"/>
      <c r="BB111" s="208"/>
      <c r="BC111" s="208"/>
      <c r="BD111" s="208"/>
      <c r="BE111" s="208"/>
      <c r="BF111" s="208"/>
      <c r="BG111" s="208"/>
      <c r="BH111" s="208"/>
      <c r="BI111" s="208"/>
      <c r="BJ111" s="208"/>
      <c r="BK111" s="208"/>
    </row>
    <row r="112" spans="2:63" s="184" customFormat="1" ht="13.5" customHeight="1">
      <c r="B112" s="214" t="s">
        <v>644</v>
      </c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08"/>
      <c r="AM112" s="22"/>
      <c r="AN112" s="22"/>
      <c r="AO112" s="22"/>
      <c r="AP112" s="22"/>
      <c r="AQ112" s="22"/>
      <c r="AR112" s="214"/>
      <c r="AS112" s="214"/>
      <c r="AT112" s="214">
        <v>870</v>
      </c>
      <c r="AU112" s="214">
        <v>840</v>
      </c>
      <c r="AV112" s="214"/>
      <c r="AW112" s="214">
        <v>750</v>
      </c>
      <c r="AX112" s="208"/>
      <c r="AY112" s="208"/>
      <c r="AZ112" s="208"/>
      <c r="BA112" s="208"/>
      <c r="BB112" s="208"/>
      <c r="BC112" s="208"/>
      <c r="BD112" s="208"/>
      <c r="BE112" s="208"/>
      <c r="BF112" s="208"/>
      <c r="BG112" s="208"/>
      <c r="BH112" s="208"/>
      <c r="BI112" s="208"/>
      <c r="BJ112" s="208"/>
      <c r="BK112" s="208"/>
    </row>
    <row r="113" spans="2:63" s="184" customFormat="1" ht="13.5" customHeight="1">
      <c r="B113" s="214" t="s">
        <v>642</v>
      </c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08"/>
      <c r="AM113" s="22"/>
      <c r="AN113" s="22"/>
      <c r="AO113" s="22"/>
      <c r="AP113" s="22"/>
      <c r="AQ113" s="22"/>
      <c r="AR113" s="214"/>
      <c r="AS113" s="214"/>
      <c r="AT113" s="214">
        <v>540</v>
      </c>
      <c r="AU113" s="214">
        <v>590</v>
      </c>
      <c r="AV113" s="214"/>
      <c r="AW113" s="214">
        <v>570</v>
      </c>
      <c r="AX113" s="208"/>
      <c r="AY113" s="208"/>
      <c r="AZ113" s="208"/>
      <c r="BA113" s="208"/>
      <c r="BB113" s="208"/>
      <c r="BC113" s="208"/>
      <c r="BD113" s="208"/>
      <c r="BE113" s="208"/>
      <c r="BF113" s="208"/>
      <c r="BG113" s="208"/>
      <c r="BH113" s="208"/>
      <c r="BI113" s="208"/>
      <c r="BJ113" s="208"/>
      <c r="BK113" s="208"/>
    </row>
    <row r="114" spans="2:63" s="184" customFormat="1" ht="13.5" customHeight="1">
      <c r="B114" s="214" t="s">
        <v>641</v>
      </c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08"/>
      <c r="AM114" s="22"/>
      <c r="AN114" s="22"/>
      <c r="AO114" s="22"/>
      <c r="AP114" s="22"/>
      <c r="AQ114" s="22"/>
      <c r="AR114" s="214"/>
      <c r="AS114" s="214"/>
      <c r="AT114" s="214">
        <v>480</v>
      </c>
      <c r="AU114" s="214">
        <v>450</v>
      </c>
      <c r="AV114" s="214"/>
      <c r="AW114" s="214">
        <v>490</v>
      </c>
      <c r="AX114" s="208"/>
      <c r="AY114" s="208"/>
      <c r="AZ114" s="208"/>
      <c r="BA114" s="208"/>
      <c r="BB114" s="208"/>
      <c r="BC114" s="208"/>
      <c r="BD114" s="208"/>
      <c r="BE114" s="208"/>
      <c r="BF114" s="208"/>
      <c r="BG114" s="208"/>
      <c r="BH114" s="208"/>
      <c r="BI114" s="208"/>
      <c r="BJ114" s="208"/>
      <c r="BK114" s="208"/>
    </row>
    <row r="115" spans="2:63" s="184" customFormat="1" ht="13.5" customHeight="1">
      <c r="B115" s="214" t="s">
        <v>833</v>
      </c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08"/>
      <c r="AM115" s="22"/>
      <c r="AN115" s="22"/>
      <c r="AO115" s="22"/>
      <c r="AP115" s="22"/>
      <c r="AQ115" s="22"/>
      <c r="AR115" s="214"/>
      <c r="AS115" s="214"/>
      <c r="AT115" s="214">
        <v>553</v>
      </c>
      <c r="AU115" s="214">
        <v>180</v>
      </c>
      <c r="AV115" s="214"/>
      <c r="AW115" s="214">
        <v>0</v>
      </c>
      <c r="AX115" s="208"/>
      <c r="AY115" s="208"/>
      <c r="AZ115" s="208"/>
      <c r="BA115" s="208"/>
      <c r="BB115" s="208"/>
      <c r="BC115" s="208"/>
      <c r="BD115" s="208"/>
      <c r="BE115" s="208"/>
      <c r="BF115" s="208"/>
      <c r="BG115" s="208"/>
      <c r="BH115" s="208"/>
      <c r="BI115" s="208"/>
      <c r="BJ115" s="208"/>
      <c r="BK115" s="208"/>
    </row>
    <row r="116" spans="2:63" s="184" customFormat="1" ht="13.5" customHeight="1">
      <c r="B116" s="214" t="s">
        <v>645</v>
      </c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08"/>
      <c r="AM116" s="22"/>
      <c r="AN116" s="22"/>
      <c r="AO116" s="22"/>
      <c r="AP116" s="22"/>
      <c r="AQ116" s="22"/>
      <c r="AR116" s="214"/>
      <c r="AS116" s="214"/>
      <c r="AT116" s="214">
        <v>727</v>
      </c>
      <c r="AU116" s="214">
        <v>700</v>
      </c>
      <c r="AV116" s="214"/>
      <c r="AW116" s="214">
        <v>2100</v>
      </c>
      <c r="AX116" s="208"/>
      <c r="AY116" s="208"/>
      <c r="AZ116" s="208"/>
      <c r="BA116" s="208"/>
      <c r="BB116" s="208"/>
      <c r="BC116" s="208"/>
      <c r="BD116" s="208"/>
      <c r="BE116" s="208"/>
      <c r="BF116" s="208"/>
      <c r="BG116" s="208"/>
      <c r="BH116" s="208"/>
      <c r="BI116" s="208"/>
      <c r="BJ116" s="208"/>
      <c r="BK116" s="208"/>
    </row>
    <row r="117" spans="2:63" s="184" customFormat="1" ht="13.5" customHeight="1">
      <c r="B117" s="214" t="s">
        <v>210</v>
      </c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>
        <v>158.41499999999999</v>
      </c>
      <c r="AL117" s="208"/>
      <c r="AM117" s="22"/>
      <c r="AN117" s="22"/>
      <c r="AO117" s="22"/>
      <c r="AP117" s="22"/>
      <c r="AQ117" s="22"/>
      <c r="AR117" s="214"/>
      <c r="AS117" s="214"/>
      <c r="AT117" s="214">
        <v>833</v>
      </c>
      <c r="AU117" s="214">
        <v>1003.256</v>
      </c>
      <c r="AV117" s="214"/>
      <c r="AW117" s="214">
        <v>1290</v>
      </c>
      <c r="AX117" s="208"/>
      <c r="AY117" s="208"/>
      <c r="AZ117" s="208"/>
      <c r="BA117" s="208"/>
      <c r="BB117" s="208"/>
      <c r="BC117" s="208"/>
      <c r="BD117" s="208"/>
      <c r="BE117" s="208"/>
      <c r="BF117" s="208"/>
      <c r="BG117" s="208"/>
      <c r="BH117" s="208"/>
      <c r="BI117" s="208"/>
      <c r="BJ117" s="208"/>
      <c r="BK117" s="208"/>
    </row>
    <row r="118" spans="2:63" s="184" customFormat="1" ht="13.5" customHeight="1">
      <c r="B118" s="214" t="s">
        <v>822</v>
      </c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08"/>
      <c r="AM118" s="22"/>
      <c r="AN118" s="22"/>
      <c r="AO118" s="22"/>
      <c r="AP118" s="22"/>
      <c r="AQ118" s="22"/>
      <c r="AR118" s="214"/>
      <c r="AS118" s="214"/>
      <c r="AT118" s="214">
        <v>732</v>
      </c>
      <c r="AU118" s="214"/>
      <c r="AV118" s="214"/>
      <c r="AW118" s="214">
        <v>490</v>
      </c>
      <c r="AX118" s="208"/>
      <c r="AY118" s="208"/>
      <c r="AZ118" s="208"/>
      <c r="BA118" s="208"/>
      <c r="BB118" s="208"/>
      <c r="BC118" s="208"/>
      <c r="BD118" s="208"/>
      <c r="BE118" s="208"/>
      <c r="BF118" s="208"/>
      <c r="BG118" s="208"/>
      <c r="BH118" s="208"/>
      <c r="BI118" s="208"/>
      <c r="BJ118" s="208"/>
      <c r="BK118" s="208"/>
    </row>
    <row r="119" spans="2:63" s="184" customFormat="1" ht="13.5" customHeight="1">
      <c r="B119" s="214" t="s">
        <v>823</v>
      </c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08"/>
      <c r="AM119" s="22"/>
      <c r="AN119" s="22"/>
      <c r="AO119" s="22"/>
      <c r="AP119" s="22"/>
      <c r="AQ119" s="22"/>
      <c r="AR119" s="215"/>
      <c r="AS119" s="215"/>
      <c r="AT119" s="215">
        <f>AT120-SUM(AT108:AT118)</f>
        <v>1465</v>
      </c>
      <c r="AU119" s="215">
        <f>AU120-SUM(AU108:AU118)</f>
        <v>3186.7439999999988</v>
      </c>
      <c r="AV119" s="215"/>
      <c r="AW119" s="215">
        <f>AW120-SUM(AW108:AW118)</f>
        <v>2830</v>
      </c>
      <c r="AX119" s="208"/>
      <c r="AY119" s="208"/>
      <c r="AZ119" s="208"/>
      <c r="BA119" s="208"/>
      <c r="BB119" s="208"/>
      <c r="BC119" s="208"/>
      <c r="BD119" s="208"/>
      <c r="BE119" s="208"/>
      <c r="BF119" s="208"/>
      <c r="BG119" s="208"/>
      <c r="BH119" s="208"/>
      <c r="BI119" s="208"/>
      <c r="BJ119" s="208"/>
      <c r="BK119" s="208"/>
    </row>
    <row r="120" spans="2:63" s="183" customFormat="1" ht="13.5" customHeight="1">
      <c r="B120" s="216" t="s">
        <v>244</v>
      </c>
      <c r="C120" s="217"/>
      <c r="D120" s="217"/>
      <c r="E120" s="217"/>
      <c r="F120" s="217"/>
      <c r="G120" s="217"/>
      <c r="H120" s="217"/>
      <c r="I120" s="217"/>
      <c r="J120" s="217"/>
      <c r="K120" s="217"/>
      <c r="L120" s="217"/>
      <c r="M120" s="217"/>
      <c r="N120" s="217"/>
      <c r="O120" s="217"/>
      <c r="P120" s="217"/>
      <c r="Q120" s="217"/>
      <c r="R120" s="217"/>
      <c r="S120" s="217"/>
      <c r="T120" s="217"/>
      <c r="U120" s="217"/>
      <c r="V120" s="217"/>
      <c r="W120" s="217"/>
      <c r="X120" s="217"/>
      <c r="Y120" s="217"/>
      <c r="Z120" s="217"/>
      <c r="AA120" s="217"/>
      <c r="AB120" s="217"/>
      <c r="AC120" s="217"/>
      <c r="AD120" s="217"/>
      <c r="AE120" s="217"/>
      <c r="AF120" s="217"/>
      <c r="AG120" s="217"/>
      <c r="AH120" s="217"/>
      <c r="AI120" s="217"/>
      <c r="AJ120" s="217"/>
      <c r="AK120" s="217"/>
      <c r="AL120" s="175"/>
      <c r="AM120" s="217"/>
      <c r="AN120" s="217"/>
      <c r="AO120" s="217"/>
      <c r="AP120" s="217"/>
      <c r="AQ120" s="217"/>
      <c r="AR120" s="218"/>
      <c r="AS120" s="218"/>
      <c r="AT120" s="218">
        <v>21310</v>
      </c>
      <c r="AU120" s="218">
        <v>22340</v>
      </c>
      <c r="AV120" s="218"/>
      <c r="AW120" s="218">
        <v>24700</v>
      </c>
      <c r="AX120" s="175"/>
      <c r="AY120" s="175"/>
      <c r="AZ120" s="175"/>
      <c r="BA120" s="175"/>
      <c r="BB120" s="175"/>
      <c r="BC120" s="175"/>
      <c r="BD120" s="175"/>
      <c r="BE120" s="175"/>
      <c r="BF120" s="175"/>
      <c r="BG120" s="175"/>
      <c r="BH120" s="175"/>
      <c r="BI120" s="175"/>
      <c r="BJ120" s="175"/>
      <c r="BK120" s="175"/>
    </row>
    <row r="121" spans="2:63" ht="13.5" customHeight="1">
      <c r="B121" s="187"/>
      <c r="C121" s="191"/>
      <c r="D121" s="191"/>
      <c r="E121" s="191"/>
      <c r="F121" s="191"/>
      <c r="G121" s="191"/>
      <c r="H121" s="191"/>
      <c r="I121" s="191"/>
      <c r="J121" s="191"/>
      <c r="K121" s="191"/>
      <c r="L121" s="191"/>
      <c r="M121" s="191"/>
      <c r="N121" s="191"/>
      <c r="O121" s="191"/>
      <c r="P121" s="191"/>
      <c r="Q121" s="191"/>
      <c r="R121" s="191"/>
      <c r="S121" s="191"/>
      <c r="T121" s="191"/>
      <c r="U121" s="191"/>
      <c r="V121" s="191"/>
      <c r="W121" s="191"/>
      <c r="X121" s="191"/>
      <c r="Y121" s="191"/>
      <c r="Z121" s="191"/>
      <c r="AA121" s="191"/>
      <c r="AB121" s="191"/>
      <c r="AC121" s="191"/>
      <c r="AD121" s="191"/>
      <c r="AE121" s="191"/>
      <c r="AF121" s="191"/>
      <c r="AG121" s="191"/>
      <c r="AH121" s="191"/>
      <c r="AI121" s="191"/>
      <c r="AJ121" s="191"/>
      <c r="AK121" s="191"/>
      <c r="AM121" s="191"/>
      <c r="AN121" s="191"/>
      <c r="AO121" s="191"/>
      <c r="AP121" s="191"/>
      <c r="AQ121" s="191"/>
      <c r="AR121" s="191"/>
      <c r="AS121" s="191"/>
      <c r="AT121" s="191"/>
      <c r="AU121" s="191"/>
      <c r="AV121" s="191"/>
    </row>
    <row r="122" spans="2:63" ht="13.5" customHeight="1">
      <c r="B122" s="187"/>
      <c r="C122" s="191"/>
      <c r="D122" s="191"/>
      <c r="E122" s="191"/>
      <c r="F122" s="191"/>
      <c r="G122" s="191"/>
      <c r="H122" s="191"/>
      <c r="I122" s="191"/>
      <c r="J122" s="191"/>
      <c r="K122" s="191"/>
      <c r="L122" s="191"/>
      <c r="M122" s="191"/>
      <c r="N122" s="191"/>
      <c r="O122" s="191"/>
      <c r="P122" s="191"/>
      <c r="Q122" s="191"/>
      <c r="R122" s="191"/>
      <c r="S122" s="191"/>
      <c r="T122" s="191"/>
      <c r="U122" s="191"/>
      <c r="V122" s="191"/>
      <c r="W122" s="191"/>
      <c r="X122" s="191"/>
      <c r="Y122" s="191"/>
      <c r="Z122" s="191"/>
      <c r="AA122" s="191"/>
      <c r="AB122" s="191"/>
      <c r="AC122" s="191"/>
      <c r="AD122" s="191"/>
      <c r="AE122" s="191"/>
      <c r="AF122" s="191"/>
      <c r="AG122" s="191"/>
      <c r="AH122" s="191"/>
      <c r="AI122" s="191"/>
      <c r="AJ122" s="191"/>
      <c r="AK122" s="191"/>
      <c r="AM122" s="191"/>
      <c r="AN122" s="191"/>
      <c r="AO122" s="191"/>
      <c r="AP122" s="191"/>
      <c r="AQ122" s="191"/>
      <c r="AR122" s="191"/>
      <c r="AS122" s="191"/>
      <c r="AT122" s="191"/>
      <c r="AU122" s="191"/>
      <c r="AV122" s="191"/>
    </row>
    <row r="123" spans="2:63" s="210" customFormat="1" ht="13.5" customHeight="1">
      <c r="B123" s="196" t="s">
        <v>827</v>
      </c>
      <c r="C123" s="199">
        <f t="shared" ref="C123:AV123" si="114">C$1</f>
        <v>25933</v>
      </c>
      <c r="D123" s="199">
        <f t="shared" si="114"/>
        <v>26298</v>
      </c>
      <c r="E123" s="199">
        <f t="shared" si="114"/>
        <v>26664</v>
      </c>
      <c r="F123" s="199">
        <f t="shared" si="114"/>
        <v>27029</v>
      </c>
      <c r="G123" s="199">
        <f t="shared" si="114"/>
        <v>27394</v>
      </c>
      <c r="H123" s="199">
        <f t="shared" si="114"/>
        <v>27759</v>
      </c>
      <c r="I123" s="199">
        <f t="shared" si="114"/>
        <v>28125</v>
      </c>
      <c r="J123" s="199">
        <f t="shared" si="114"/>
        <v>28490</v>
      </c>
      <c r="K123" s="199">
        <f t="shared" si="114"/>
        <v>28855</v>
      </c>
      <c r="L123" s="199">
        <f t="shared" si="114"/>
        <v>29220</v>
      </c>
      <c r="M123" s="199">
        <f t="shared" si="114"/>
        <v>29586</v>
      </c>
      <c r="N123" s="199">
        <f t="shared" si="114"/>
        <v>29951</v>
      </c>
      <c r="O123" s="199">
        <f t="shared" si="114"/>
        <v>30316</v>
      </c>
      <c r="P123" s="199">
        <f t="shared" si="114"/>
        <v>30681</v>
      </c>
      <c r="Q123" s="199">
        <f t="shared" si="114"/>
        <v>31047</v>
      </c>
      <c r="R123" s="199">
        <f t="shared" si="114"/>
        <v>31412</v>
      </c>
      <c r="S123" s="199">
        <f t="shared" si="114"/>
        <v>31777</v>
      </c>
      <c r="T123" s="199">
        <f t="shared" si="114"/>
        <v>32142</v>
      </c>
      <c r="U123" s="199">
        <f t="shared" si="114"/>
        <v>32508</v>
      </c>
      <c r="V123" s="199">
        <f t="shared" si="114"/>
        <v>32873</v>
      </c>
      <c r="W123" s="199">
        <f t="shared" si="114"/>
        <v>33238</v>
      </c>
      <c r="X123" s="199">
        <f t="shared" si="114"/>
        <v>33603</v>
      </c>
      <c r="Y123" s="199">
        <f t="shared" si="114"/>
        <v>33969</v>
      </c>
      <c r="Z123" s="199">
        <f t="shared" si="114"/>
        <v>34334</v>
      </c>
      <c r="AA123" s="199">
        <f t="shared" si="114"/>
        <v>34699</v>
      </c>
      <c r="AB123" s="199">
        <f t="shared" si="114"/>
        <v>35064</v>
      </c>
      <c r="AC123" s="199">
        <f t="shared" si="114"/>
        <v>35430</v>
      </c>
      <c r="AD123" s="199">
        <f t="shared" si="114"/>
        <v>35795</v>
      </c>
      <c r="AE123" s="199">
        <f t="shared" si="114"/>
        <v>36160</v>
      </c>
      <c r="AF123" s="199">
        <f t="shared" si="114"/>
        <v>36525</v>
      </c>
      <c r="AG123" s="199">
        <f t="shared" si="114"/>
        <v>36891</v>
      </c>
      <c r="AH123" s="199">
        <f t="shared" si="114"/>
        <v>37256</v>
      </c>
      <c r="AI123" s="199">
        <f t="shared" si="114"/>
        <v>37621</v>
      </c>
      <c r="AJ123" s="199">
        <f t="shared" si="114"/>
        <v>37986</v>
      </c>
      <c r="AK123" s="199">
        <f t="shared" si="114"/>
        <v>38352</v>
      </c>
      <c r="AL123" s="199">
        <f t="shared" si="114"/>
        <v>38717</v>
      </c>
      <c r="AM123" s="199">
        <f t="shared" si="114"/>
        <v>39082</v>
      </c>
      <c r="AN123" s="199">
        <f t="shared" si="114"/>
        <v>39447</v>
      </c>
      <c r="AO123" s="199">
        <f t="shared" si="114"/>
        <v>39813</v>
      </c>
      <c r="AP123" s="199">
        <f t="shared" si="114"/>
        <v>40178</v>
      </c>
      <c r="AQ123" s="199">
        <f t="shared" si="114"/>
        <v>40543</v>
      </c>
      <c r="AR123" s="199">
        <f t="shared" si="114"/>
        <v>40908</v>
      </c>
      <c r="AS123" s="199">
        <f t="shared" si="114"/>
        <v>41274</v>
      </c>
      <c r="AT123" s="199">
        <f t="shared" si="114"/>
        <v>41639</v>
      </c>
      <c r="AU123" s="199">
        <f t="shared" si="114"/>
        <v>42004</v>
      </c>
      <c r="AV123" s="199">
        <f t="shared" si="114"/>
        <v>42369</v>
      </c>
      <c r="AW123" s="199">
        <f>AW$1</f>
        <v>42735</v>
      </c>
      <c r="AX123" s="199">
        <f t="shared" ref="AX123:BK123" si="115">AX$1</f>
        <v>43100</v>
      </c>
      <c r="AY123" s="199">
        <f t="shared" si="115"/>
        <v>43465</v>
      </c>
      <c r="AZ123" s="199">
        <f t="shared" si="115"/>
        <v>43830</v>
      </c>
      <c r="BA123" s="199">
        <f t="shared" si="115"/>
        <v>44196</v>
      </c>
      <c r="BB123" s="199">
        <f t="shared" si="115"/>
        <v>44561</v>
      </c>
      <c r="BC123" s="199">
        <f t="shared" si="115"/>
        <v>44926</v>
      </c>
      <c r="BD123" s="199">
        <f t="shared" si="115"/>
        <v>45291</v>
      </c>
      <c r="BE123" s="199">
        <f t="shared" si="115"/>
        <v>45657</v>
      </c>
      <c r="BF123" s="199">
        <f t="shared" si="115"/>
        <v>46022</v>
      </c>
      <c r="BG123" s="199">
        <f t="shared" si="115"/>
        <v>46387</v>
      </c>
      <c r="BH123" s="199">
        <f t="shared" si="115"/>
        <v>46752</v>
      </c>
      <c r="BI123" s="199">
        <f t="shared" si="115"/>
        <v>47118</v>
      </c>
      <c r="BJ123" s="199">
        <f t="shared" si="115"/>
        <v>47483</v>
      </c>
      <c r="BK123" s="199">
        <f t="shared" si="115"/>
        <v>47848</v>
      </c>
    </row>
    <row r="124" spans="2:63" ht="13.5" customHeight="1">
      <c r="B124" s="200" t="s">
        <v>463</v>
      </c>
      <c r="C124" s="201"/>
      <c r="D124" s="201"/>
      <c r="E124" s="201"/>
      <c r="F124" s="201"/>
      <c r="G124" s="201"/>
      <c r="H124" s="201"/>
      <c r="I124" s="201"/>
      <c r="J124" s="201"/>
      <c r="K124" s="201"/>
      <c r="L124" s="201"/>
      <c r="M124" s="201"/>
      <c r="N124" s="201"/>
      <c r="O124" s="201"/>
      <c r="P124" s="201"/>
      <c r="Q124" s="201"/>
      <c r="R124" s="201"/>
      <c r="S124" s="201"/>
      <c r="T124" s="201"/>
      <c r="U124" s="201"/>
      <c r="V124" s="201"/>
      <c r="W124" s="201"/>
      <c r="X124" s="201"/>
      <c r="Y124" s="201"/>
      <c r="Z124" s="201"/>
      <c r="AA124" s="201"/>
      <c r="AB124" s="201"/>
      <c r="AC124" s="201"/>
      <c r="AD124" s="201"/>
      <c r="AE124" s="201"/>
      <c r="AF124" s="202"/>
      <c r="AG124" s="202"/>
      <c r="AH124" s="202"/>
      <c r="AI124" s="202"/>
      <c r="AJ124" s="202"/>
      <c r="AK124" s="202"/>
      <c r="AL124" s="203"/>
      <c r="AM124" s="202"/>
      <c r="AN124" s="202"/>
      <c r="AO124" s="202"/>
      <c r="AP124" s="202">
        <v>0.03</v>
      </c>
      <c r="AQ124" s="202">
        <v>3.1E-2</v>
      </c>
      <c r="AR124" s="202">
        <v>3.3000000000000002E-2</v>
      </c>
      <c r="AS124" s="202">
        <v>3.3300000000000003E-2</v>
      </c>
      <c r="AT124" s="202">
        <v>3.32E-2</v>
      </c>
      <c r="AU124" s="202">
        <v>3.4599999999999999E-2</v>
      </c>
      <c r="AV124" s="202">
        <v>3.3599999999999998E-2</v>
      </c>
      <c r="AW124" s="202">
        <v>3.49E-2</v>
      </c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</row>
    <row r="125" spans="2:63" s="184" customFormat="1" ht="13.5" customHeight="1">
      <c r="B125" s="220" t="s">
        <v>461</v>
      </c>
      <c r="C125" s="224"/>
      <c r="D125" s="224"/>
      <c r="E125" s="224"/>
      <c r="F125" s="224"/>
      <c r="G125" s="224"/>
      <c r="H125" s="224"/>
      <c r="I125" s="224"/>
      <c r="J125" s="224"/>
      <c r="K125" s="224"/>
      <c r="L125" s="224"/>
      <c r="M125" s="224"/>
      <c r="N125" s="224"/>
      <c r="O125" s="224"/>
      <c r="P125" s="224"/>
      <c r="Q125" s="224"/>
      <c r="R125" s="224"/>
      <c r="S125" s="224"/>
      <c r="T125" s="224"/>
      <c r="U125" s="224"/>
      <c r="V125" s="224"/>
      <c r="W125" s="22"/>
      <c r="X125" s="224"/>
      <c r="Y125" s="224"/>
      <c r="Z125" s="224"/>
      <c r="AA125" s="224"/>
      <c r="AB125" s="224"/>
      <c r="AC125" s="224"/>
      <c r="AD125" s="224"/>
      <c r="AE125" s="224"/>
      <c r="AF125" s="224"/>
      <c r="AG125" s="224"/>
      <c r="AH125" s="224"/>
      <c r="AI125" s="22"/>
      <c r="AJ125" s="22"/>
      <c r="AK125" s="22"/>
      <c r="AL125" s="208"/>
      <c r="AM125" s="22"/>
      <c r="AN125" s="22"/>
      <c r="AO125" s="22"/>
      <c r="AP125" s="22"/>
      <c r="AQ125" s="224">
        <f t="shared" ref="AQ125:AV125" si="116">(AQ124-AP124)*10000</f>
        <v>10.000000000000009</v>
      </c>
      <c r="AR125" s="224">
        <f t="shared" si="116"/>
        <v>20.000000000000018</v>
      </c>
      <c r="AS125" s="224">
        <f t="shared" si="116"/>
        <v>3.0000000000000164</v>
      </c>
      <c r="AT125" s="224">
        <f t="shared" si="116"/>
        <v>-1.0000000000000286</v>
      </c>
      <c r="AU125" s="224">
        <f t="shared" si="116"/>
        <v>13.999999999999984</v>
      </c>
      <c r="AV125" s="224">
        <f t="shared" si="116"/>
        <v>-10.000000000000009</v>
      </c>
      <c r="AW125" s="224">
        <f>(AW124-AV124)*10000</f>
        <v>13.000000000000025</v>
      </c>
      <c r="AX125" s="208"/>
      <c r="AY125" s="208"/>
      <c r="AZ125" s="208"/>
      <c r="BA125" s="208"/>
      <c r="BB125" s="208"/>
      <c r="BC125" s="208"/>
      <c r="BD125" s="208"/>
      <c r="BE125" s="208"/>
      <c r="BF125" s="208"/>
      <c r="BG125" s="208"/>
      <c r="BH125" s="208"/>
      <c r="BI125" s="208"/>
      <c r="BJ125" s="208"/>
      <c r="BK125" s="208"/>
    </row>
    <row r="126" spans="2:63" ht="13.5" customHeight="1">
      <c r="B126" s="206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202"/>
      <c r="AG126" s="202"/>
      <c r="AH126" s="202"/>
      <c r="AI126" s="202"/>
      <c r="AJ126" s="202"/>
      <c r="AK126" s="202"/>
      <c r="AL126" s="203"/>
      <c r="AM126" s="202"/>
      <c r="AN126" s="202"/>
      <c r="AO126" s="202"/>
      <c r="AP126" s="202"/>
      <c r="AQ126" s="202"/>
      <c r="AR126" s="202"/>
      <c r="AS126" s="202"/>
      <c r="AT126" s="202"/>
      <c r="AU126" s="202"/>
      <c r="AV126" s="202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</row>
    <row r="127" spans="2:63" ht="13.5" customHeight="1">
      <c r="B127" s="200" t="s">
        <v>237</v>
      </c>
      <c r="C127" s="201"/>
      <c r="D127" s="201"/>
      <c r="E127" s="201"/>
      <c r="F127" s="201"/>
      <c r="G127" s="201"/>
      <c r="H127" s="201"/>
      <c r="I127" s="201"/>
      <c r="J127" s="201"/>
      <c r="K127" s="201"/>
      <c r="L127" s="201"/>
      <c r="M127" s="201"/>
      <c r="N127" s="201"/>
      <c r="O127" s="201"/>
      <c r="P127" s="201"/>
      <c r="Q127" s="201"/>
      <c r="R127" s="201"/>
      <c r="S127" s="201"/>
      <c r="T127" s="201"/>
      <c r="U127" s="201"/>
      <c r="V127" s="201"/>
      <c r="W127" s="201"/>
      <c r="X127" s="201"/>
      <c r="Y127" s="201"/>
      <c r="Z127" s="201"/>
      <c r="AA127" s="201"/>
      <c r="AB127" s="201"/>
      <c r="AC127" s="201"/>
      <c r="AD127" s="201"/>
      <c r="AE127" s="201"/>
      <c r="AF127" s="202"/>
      <c r="AG127" s="202"/>
      <c r="AH127" s="202"/>
      <c r="AI127" s="202"/>
      <c r="AJ127" s="202"/>
      <c r="AK127" s="202"/>
      <c r="AL127" s="203"/>
      <c r="AM127" s="202"/>
      <c r="AN127" s="202"/>
      <c r="AO127" s="202"/>
      <c r="AP127" s="202">
        <v>0.01</v>
      </c>
      <c r="AQ127" s="202">
        <v>1.0999999999999999E-2</v>
      </c>
      <c r="AR127" s="202">
        <v>1.2E-2</v>
      </c>
      <c r="AS127" s="202">
        <v>1.21E-2</v>
      </c>
      <c r="AT127" s="202">
        <v>1.24E-2</v>
      </c>
      <c r="AU127" s="202">
        <v>1.23E-2</v>
      </c>
      <c r="AV127" s="202">
        <v>1.24E-2</v>
      </c>
      <c r="AW127" s="202">
        <v>1.24E-2</v>
      </c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</row>
    <row r="128" spans="2:63" s="184" customFormat="1" ht="13.5" customHeight="1">
      <c r="B128" s="220" t="s">
        <v>461</v>
      </c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08"/>
      <c r="AM128" s="22"/>
      <c r="AN128" s="22"/>
      <c r="AO128" s="22"/>
      <c r="AP128" s="22"/>
      <c r="AQ128" s="22"/>
      <c r="AR128" s="22"/>
      <c r="AS128" s="224">
        <f>(AS127-AR127)*100000</f>
        <v>9.9999999999999396</v>
      </c>
      <c r="AT128" s="224">
        <f>(AT127-AS127)*100000</f>
        <v>29.999999999999993</v>
      </c>
      <c r="AU128" s="224">
        <f>(AU127-AT127)*100000</f>
        <v>-9.9999999999999396</v>
      </c>
      <c r="AV128" s="224">
        <f>(AV127-AU127)*100000</f>
        <v>9.9999999999999396</v>
      </c>
      <c r="AW128" s="224">
        <f>(AW127-AV127)*100000</f>
        <v>0</v>
      </c>
      <c r="AX128" s="208"/>
      <c r="AY128" s="208"/>
      <c r="AZ128" s="208"/>
      <c r="BA128" s="208"/>
      <c r="BB128" s="208"/>
      <c r="BC128" s="208"/>
      <c r="BD128" s="208"/>
      <c r="BE128" s="208"/>
      <c r="BF128" s="208"/>
      <c r="BG128" s="208"/>
      <c r="BH128" s="208"/>
      <c r="BI128" s="208"/>
      <c r="BJ128" s="208"/>
      <c r="BK128" s="208"/>
    </row>
    <row r="129" spans="2:63" ht="13.5" customHeight="1">
      <c r="B129" s="200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202"/>
      <c r="AG129" s="202"/>
      <c r="AH129" s="202"/>
      <c r="AI129" s="202"/>
      <c r="AJ129" s="202"/>
      <c r="AK129" s="202"/>
      <c r="AL129" s="203"/>
      <c r="AM129" s="202"/>
      <c r="AN129" s="202"/>
      <c r="AO129" s="202"/>
      <c r="AP129" s="202"/>
      <c r="AQ129" s="202"/>
      <c r="AR129" s="202"/>
      <c r="AS129" s="204"/>
      <c r="AT129" s="204"/>
      <c r="AU129" s="204"/>
      <c r="AV129" s="204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</row>
    <row r="130" spans="2:63" ht="13.5" customHeight="1">
      <c r="B130" s="200" t="s">
        <v>462</v>
      </c>
      <c r="C130" s="201"/>
      <c r="D130" s="201"/>
      <c r="E130" s="201"/>
      <c r="F130" s="201"/>
      <c r="G130" s="201"/>
      <c r="H130" s="201"/>
      <c r="I130" s="201"/>
      <c r="J130" s="201"/>
      <c r="K130" s="201"/>
      <c r="L130" s="201"/>
      <c r="M130" s="201"/>
      <c r="N130" s="201"/>
      <c r="O130" s="201"/>
      <c r="P130" s="201"/>
      <c r="Q130" s="201"/>
      <c r="R130" s="201"/>
      <c r="S130" s="201"/>
      <c r="T130" s="201"/>
      <c r="U130" s="201"/>
      <c r="V130" s="201"/>
      <c r="W130" s="201"/>
      <c r="X130" s="201"/>
      <c r="Y130" s="201"/>
      <c r="Z130" s="201"/>
      <c r="AA130" s="201"/>
      <c r="AB130" s="201"/>
      <c r="AC130" s="201"/>
      <c r="AD130" s="201"/>
      <c r="AE130" s="201"/>
      <c r="AF130" s="202"/>
      <c r="AG130" s="202"/>
      <c r="AH130" s="202"/>
      <c r="AI130" s="202"/>
      <c r="AJ130" s="202"/>
      <c r="AK130" s="202"/>
      <c r="AL130" s="203"/>
      <c r="AM130" s="202"/>
      <c r="AN130" s="202"/>
      <c r="AO130" s="202"/>
      <c r="AP130" s="202"/>
      <c r="AQ130" s="202"/>
      <c r="AR130" s="202">
        <v>2.9999999999999997E-4</v>
      </c>
      <c r="AS130" s="202">
        <v>4.0000000000000002E-4</v>
      </c>
      <c r="AT130" s="202">
        <v>5.0000000000000001E-4</v>
      </c>
      <c r="AU130" s="202">
        <v>5.9999999999999995E-4</v>
      </c>
      <c r="AV130" s="202">
        <v>8.0000000000000004E-4</v>
      </c>
      <c r="AW130" s="203">
        <v>8.9999999999999998E-4</v>
      </c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</row>
    <row r="131" spans="2:63" s="184" customFormat="1" ht="13.5" customHeight="1">
      <c r="B131" s="220" t="s">
        <v>461</v>
      </c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08"/>
      <c r="AM131" s="22"/>
      <c r="AN131" s="22"/>
      <c r="AO131" s="22"/>
      <c r="AP131" s="22"/>
      <c r="AQ131" s="22"/>
      <c r="AR131" s="22"/>
      <c r="AS131" s="224">
        <f>(AS130-AR130)*100000</f>
        <v>10.000000000000005</v>
      </c>
      <c r="AT131" s="224">
        <f>(AT130-AS130)*100000</f>
        <v>10</v>
      </c>
      <c r="AU131" s="224">
        <f>(AU130-AT130)*100000</f>
        <v>9.9999999999999929</v>
      </c>
      <c r="AV131" s="224">
        <f>(AV130-AU130)*100000</f>
        <v>20.000000000000011</v>
      </c>
      <c r="AW131" s="224">
        <f>(AW130-AV130)*100000</f>
        <v>9.9999999999999929</v>
      </c>
      <c r="AX131" s="208"/>
      <c r="AY131" s="208"/>
      <c r="AZ131" s="208"/>
      <c r="BA131" s="208"/>
      <c r="BB131" s="208"/>
      <c r="BC131" s="208"/>
      <c r="BD131" s="208"/>
      <c r="BE131" s="208"/>
      <c r="BF131" s="208"/>
      <c r="BG131" s="208"/>
      <c r="BH131" s="208"/>
      <c r="BI131" s="208"/>
      <c r="BJ131" s="208"/>
      <c r="BK131" s="208"/>
    </row>
    <row r="132" spans="2:63" s="3" customFormat="1" ht="13.5" customHeight="1">
      <c r="B132" s="200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202"/>
      <c r="AG132" s="202"/>
      <c r="AH132" s="202"/>
      <c r="AI132" s="202"/>
      <c r="AJ132" s="202"/>
      <c r="AK132" s="202"/>
      <c r="AL132" s="203"/>
      <c r="AM132" s="202"/>
      <c r="AN132" s="202"/>
      <c r="AO132" s="202"/>
      <c r="AP132" s="202"/>
      <c r="AQ132" s="202"/>
      <c r="AR132" s="202"/>
      <c r="AS132" s="205"/>
      <c r="AT132" s="205"/>
      <c r="AU132" s="205"/>
      <c r="AV132" s="205"/>
      <c r="AW132" s="205"/>
    </row>
    <row r="133" spans="2:63" s="3" customFormat="1" ht="13.5" customHeight="1">
      <c r="B133" s="206" t="s">
        <v>458</v>
      </c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207">
        <v>7.0000000000000007E-2</v>
      </c>
      <c r="AD133" s="4"/>
      <c r="AE133" s="4"/>
      <c r="AF133" s="4"/>
      <c r="AG133" s="4"/>
      <c r="AH133" s="4"/>
      <c r="AI133" s="4"/>
      <c r="AJ133" s="4"/>
      <c r="AK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</row>
    <row r="134" spans="2:63" s="3" customFormat="1" ht="13.5" customHeight="1">
      <c r="B134" s="206" t="s">
        <v>457</v>
      </c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207">
        <v>0.02</v>
      </c>
      <c r="AD134" s="4"/>
      <c r="AE134" s="4"/>
      <c r="AF134" s="4"/>
      <c r="AG134" s="4"/>
      <c r="AH134" s="4"/>
      <c r="AI134" s="4"/>
      <c r="AJ134" s="4"/>
      <c r="AK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</row>
    <row r="136" spans="2:63" ht="13.5" customHeight="1">
      <c r="B136" s="187"/>
      <c r="C136" s="191"/>
      <c r="D136" s="191"/>
      <c r="E136" s="191"/>
      <c r="F136" s="191"/>
      <c r="G136" s="191"/>
      <c r="H136" s="191"/>
      <c r="I136" s="191"/>
      <c r="J136" s="191"/>
      <c r="K136" s="191"/>
      <c r="L136" s="191"/>
      <c r="M136" s="191"/>
      <c r="N136" s="191"/>
      <c r="O136" s="191"/>
      <c r="P136" s="191"/>
      <c r="Q136" s="191"/>
      <c r="R136" s="191"/>
      <c r="S136" s="191"/>
      <c r="T136" s="191"/>
      <c r="U136" s="191"/>
      <c r="V136" s="191"/>
      <c r="W136" s="191"/>
      <c r="X136" s="191"/>
      <c r="Y136" s="191"/>
      <c r="Z136" s="191"/>
      <c r="AA136" s="191"/>
      <c r="AB136" s="191"/>
      <c r="AC136" s="191"/>
      <c r="AD136" s="191"/>
      <c r="AE136" s="191"/>
      <c r="AF136" s="191"/>
      <c r="AG136" s="191"/>
      <c r="AH136" s="191"/>
      <c r="AI136" s="191"/>
      <c r="AJ136" s="191"/>
      <c r="AK136" s="191"/>
      <c r="AM136" s="191"/>
      <c r="AN136" s="191"/>
      <c r="AO136" s="191"/>
      <c r="AP136" s="191"/>
      <c r="AQ136" s="191"/>
      <c r="AR136" s="191"/>
      <c r="AS136" s="191"/>
      <c r="AT136" s="191"/>
      <c r="AU136" s="191"/>
      <c r="AV136" s="191"/>
    </row>
    <row r="137" spans="2:63" ht="13.5" customHeight="1">
      <c r="B137" s="187"/>
      <c r="C137" s="191"/>
      <c r="D137" s="191"/>
      <c r="E137" s="191"/>
      <c r="F137" s="191"/>
      <c r="G137" s="191"/>
      <c r="H137" s="191"/>
      <c r="I137" s="191"/>
      <c r="J137" s="191"/>
      <c r="K137" s="191"/>
      <c r="L137" s="191"/>
      <c r="M137" s="191"/>
      <c r="N137" s="191"/>
      <c r="O137" s="191"/>
      <c r="P137" s="191"/>
      <c r="Q137" s="191"/>
      <c r="R137" s="191"/>
      <c r="S137" s="191"/>
      <c r="T137" s="191"/>
      <c r="U137" s="191"/>
      <c r="V137" s="191"/>
      <c r="W137" s="191"/>
      <c r="X137" s="191"/>
      <c r="Y137" s="191"/>
      <c r="Z137" s="191"/>
      <c r="AA137" s="191"/>
      <c r="AB137" s="191"/>
      <c r="AC137" s="191"/>
      <c r="AD137" s="191"/>
      <c r="AE137" s="191"/>
      <c r="AF137" s="191"/>
      <c r="AG137" s="191"/>
      <c r="AH137" s="191"/>
      <c r="AI137" s="191"/>
      <c r="AJ137" s="191"/>
      <c r="AK137" s="191"/>
      <c r="AM137" s="191"/>
      <c r="AN137" s="191"/>
      <c r="AO137" s="191"/>
      <c r="AP137" s="191"/>
      <c r="AQ137" s="191"/>
      <c r="AR137" s="191"/>
      <c r="AS137" s="191"/>
      <c r="AT137" s="191"/>
      <c r="AU137" s="191"/>
      <c r="AV137" s="191"/>
    </row>
    <row r="138" spans="2:63" s="210" customFormat="1" ht="13.5" customHeight="1">
      <c r="B138" s="196" t="s">
        <v>829</v>
      </c>
      <c r="C138" s="199">
        <f t="shared" ref="C138:AV138" si="117">C$1</f>
        <v>25933</v>
      </c>
      <c r="D138" s="199">
        <f t="shared" si="117"/>
        <v>26298</v>
      </c>
      <c r="E138" s="199">
        <f t="shared" si="117"/>
        <v>26664</v>
      </c>
      <c r="F138" s="199">
        <f t="shared" si="117"/>
        <v>27029</v>
      </c>
      <c r="G138" s="199">
        <f t="shared" si="117"/>
        <v>27394</v>
      </c>
      <c r="H138" s="199">
        <f t="shared" si="117"/>
        <v>27759</v>
      </c>
      <c r="I138" s="199">
        <f t="shared" si="117"/>
        <v>28125</v>
      </c>
      <c r="J138" s="199">
        <f t="shared" si="117"/>
        <v>28490</v>
      </c>
      <c r="K138" s="199">
        <f t="shared" si="117"/>
        <v>28855</v>
      </c>
      <c r="L138" s="199">
        <f t="shared" si="117"/>
        <v>29220</v>
      </c>
      <c r="M138" s="199">
        <f t="shared" si="117"/>
        <v>29586</v>
      </c>
      <c r="N138" s="199">
        <f t="shared" si="117"/>
        <v>29951</v>
      </c>
      <c r="O138" s="199">
        <f t="shared" si="117"/>
        <v>30316</v>
      </c>
      <c r="P138" s="199">
        <f t="shared" si="117"/>
        <v>30681</v>
      </c>
      <c r="Q138" s="199">
        <f t="shared" si="117"/>
        <v>31047</v>
      </c>
      <c r="R138" s="199">
        <f t="shared" si="117"/>
        <v>31412</v>
      </c>
      <c r="S138" s="199">
        <f t="shared" si="117"/>
        <v>31777</v>
      </c>
      <c r="T138" s="199">
        <f t="shared" si="117"/>
        <v>32142</v>
      </c>
      <c r="U138" s="199">
        <f t="shared" si="117"/>
        <v>32508</v>
      </c>
      <c r="V138" s="199">
        <f t="shared" si="117"/>
        <v>32873</v>
      </c>
      <c r="W138" s="199">
        <f t="shared" si="117"/>
        <v>33238</v>
      </c>
      <c r="X138" s="199">
        <f t="shared" si="117"/>
        <v>33603</v>
      </c>
      <c r="Y138" s="199">
        <f t="shared" si="117"/>
        <v>33969</v>
      </c>
      <c r="Z138" s="199">
        <f t="shared" si="117"/>
        <v>34334</v>
      </c>
      <c r="AA138" s="199">
        <f t="shared" si="117"/>
        <v>34699</v>
      </c>
      <c r="AB138" s="199">
        <f t="shared" si="117"/>
        <v>35064</v>
      </c>
      <c r="AC138" s="199">
        <f t="shared" si="117"/>
        <v>35430</v>
      </c>
      <c r="AD138" s="199">
        <f t="shared" si="117"/>
        <v>35795</v>
      </c>
      <c r="AE138" s="199">
        <f t="shared" si="117"/>
        <v>36160</v>
      </c>
      <c r="AF138" s="199">
        <f t="shared" si="117"/>
        <v>36525</v>
      </c>
      <c r="AG138" s="199">
        <f t="shared" si="117"/>
        <v>36891</v>
      </c>
      <c r="AH138" s="199">
        <f t="shared" si="117"/>
        <v>37256</v>
      </c>
      <c r="AI138" s="199">
        <f t="shared" si="117"/>
        <v>37621</v>
      </c>
      <c r="AJ138" s="199">
        <f t="shared" si="117"/>
        <v>37986</v>
      </c>
      <c r="AK138" s="199">
        <f t="shared" si="117"/>
        <v>38352</v>
      </c>
      <c r="AL138" s="199">
        <f t="shared" si="117"/>
        <v>38717</v>
      </c>
      <c r="AM138" s="199">
        <f t="shared" si="117"/>
        <v>39082</v>
      </c>
      <c r="AN138" s="199">
        <f t="shared" si="117"/>
        <v>39447</v>
      </c>
      <c r="AO138" s="199">
        <f t="shared" si="117"/>
        <v>39813</v>
      </c>
      <c r="AP138" s="199">
        <f t="shared" si="117"/>
        <v>40178</v>
      </c>
      <c r="AQ138" s="199">
        <f t="shared" si="117"/>
        <v>40543</v>
      </c>
      <c r="AR138" s="199">
        <f t="shared" si="117"/>
        <v>40908</v>
      </c>
      <c r="AS138" s="199">
        <f t="shared" si="117"/>
        <v>41274</v>
      </c>
      <c r="AT138" s="199">
        <f t="shared" si="117"/>
        <v>41639</v>
      </c>
      <c r="AU138" s="199">
        <f t="shared" si="117"/>
        <v>42004</v>
      </c>
      <c r="AV138" s="199">
        <f t="shared" si="117"/>
        <v>42369</v>
      </c>
      <c r="AW138" s="199">
        <f>AW$1</f>
        <v>42735</v>
      </c>
      <c r="AX138" s="199">
        <f t="shared" ref="AX138:BK138" si="118">AX$1</f>
        <v>43100</v>
      </c>
      <c r="AY138" s="199">
        <f t="shared" si="118"/>
        <v>43465</v>
      </c>
      <c r="AZ138" s="199">
        <f t="shared" si="118"/>
        <v>43830</v>
      </c>
      <c r="BA138" s="199">
        <f t="shared" si="118"/>
        <v>44196</v>
      </c>
      <c r="BB138" s="199">
        <f t="shared" si="118"/>
        <v>44561</v>
      </c>
      <c r="BC138" s="199">
        <f t="shared" si="118"/>
        <v>44926</v>
      </c>
      <c r="BD138" s="199">
        <f t="shared" si="118"/>
        <v>45291</v>
      </c>
      <c r="BE138" s="199">
        <f t="shared" si="118"/>
        <v>45657</v>
      </c>
      <c r="BF138" s="199">
        <f t="shared" si="118"/>
        <v>46022</v>
      </c>
      <c r="BG138" s="199">
        <f t="shared" si="118"/>
        <v>46387</v>
      </c>
      <c r="BH138" s="199">
        <f t="shared" si="118"/>
        <v>46752</v>
      </c>
      <c r="BI138" s="199">
        <f t="shared" si="118"/>
        <v>47118</v>
      </c>
      <c r="BJ138" s="199">
        <f t="shared" si="118"/>
        <v>47483</v>
      </c>
      <c r="BK138" s="199">
        <f t="shared" si="118"/>
        <v>47848</v>
      </c>
    </row>
    <row r="139" spans="2:63" s="3" customFormat="1" ht="13.5" customHeight="1">
      <c r="B139" s="1" t="s">
        <v>463</v>
      </c>
      <c r="AH139" s="5"/>
    </row>
    <row r="140" spans="2:63" s="3" customFormat="1" ht="13.5" customHeight="1">
      <c r="B140" s="206" t="s">
        <v>830</v>
      </c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M140" s="4"/>
      <c r="AN140" s="4"/>
      <c r="AO140" s="4"/>
      <c r="AP140" s="4"/>
      <c r="AQ140" s="4"/>
      <c r="AR140" s="4"/>
      <c r="AS140" s="4"/>
      <c r="AT140" s="4"/>
      <c r="AU140" s="207">
        <v>0.62</v>
      </c>
      <c r="AV140" s="4"/>
    </row>
    <row r="141" spans="2:63" s="3" customFormat="1" ht="13.5" customHeight="1">
      <c r="B141" s="206" t="s">
        <v>831</v>
      </c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M141" s="4"/>
      <c r="AN141" s="4"/>
      <c r="AO141" s="4"/>
      <c r="AP141" s="4"/>
      <c r="AQ141" s="4"/>
      <c r="AR141" s="4"/>
      <c r="AS141" s="4"/>
      <c r="AT141" s="4"/>
      <c r="AU141" s="207">
        <v>0.38</v>
      </c>
      <c r="AV141" s="4"/>
    </row>
    <row r="142" spans="2:63" ht="13.5" customHeight="1">
      <c r="B142" s="187"/>
      <c r="C142" s="191"/>
      <c r="D142" s="191"/>
      <c r="E142" s="191"/>
      <c r="F142" s="191"/>
      <c r="G142" s="191"/>
      <c r="H142" s="191"/>
      <c r="I142" s="191"/>
      <c r="J142" s="191"/>
      <c r="K142" s="191"/>
      <c r="L142" s="191"/>
      <c r="M142" s="191"/>
      <c r="N142" s="191"/>
      <c r="O142" s="191"/>
      <c r="P142" s="191"/>
      <c r="Q142" s="191"/>
      <c r="R142" s="191"/>
      <c r="S142" s="191"/>
      <c r="T142" s="191"/>
      <c r="U142" s="191"/>
      <c r="V142" s="191"/>
      <c r="W142" s="191"/>
      <c r="X142" s="191"/>
      <c r="Y142" s="191"/>
      <c r="Z142" s="191"/>
      <c r="AA142" s="191"/>
      <c r="AB142" s="191"/>
      <c r="AC142" s="191"/>
      <c r="AD142" s="191"/>
      <c r="AE142" s="191"/>
      <c r="AF142" s="191"/>
      <c r="AG142" s="191"/>
      <c r="AH142" s="191"/>
      <c r="AI142" s="191"/>
      <c r="AJ142" s="191"/>
      <c r="AK142" s="191"/>
      <c r="AM142" s="191"/>
      <c r="AN142" s="191"/>
      <c r="AO142" s="191"/>
      <c r="AP142" s="191"/>
      <c r="AQ142" s="191"/>
      <c r="AR142" s="191"/>
      <c r="AS142" s="191"/>
      <c r="AT142" s="191"/>
      <c r="AU142" s="191"/>
      <c r="AV142" s="191"/>
    </row>
    <row r="143" spans="2:63" ht="13.5" customHeight="1">
      <c r="B143" s="187"/>
      <c r="C143" s="191"/>
      <c r="D143" s="191"/>
      <c r="E143" s="191"/>
      <c r="F143" s="191"/>
      <c r="G143" s="191"/>
      <c r="H143" s="191"/>
      <c r="I143" s="191"/>
      <c r="J143" s="191"/>
      <c r="K143" s="191"/>
      <c r="L143" s="191"/>
      <c r="M143" s="191"/>
      <c r="N143" s="191"/>
      <c r="O143" s="191"/>
      <c r="P143" s="191"/>
      <c r="Q143" s="191"/>
      <c r="R143" s="191"/>
      <c r="S143" s="191"/>
      <c r="T143" s="191"/>
      <c r="U143" s="191"/>
      <c r="V143" s="191"/>
      <c r="W143" s="191"/>
      <c r="X143" s="191"/>
      <c r="Y143" s="191"/>
      <c r="Z143" s="191"/>
      <c r="AA143" s="191"/>
      <c r="AB143" s="191"/>
      <c r="AC143" s="191"/>
      <c r="AD143" s="191"/>
      <c r="AE143" s="191"/>
      <c r="AF143" s="191"/>
      <c r="AG143" s="191"/>
      <c r="AH143" s="191"/>
      <c r="AI143" s="191"/>
      <c r="AJ143" s="191"/>
      <c r="AK143" s="191"/>
      <c r="AM143" s="191"/>
      <c r="AN143" s="191"/>
      <c r="AO143" s="191"/>
      <c r="AP143" s="191"/>
      <c r="AQ143" s="191"/>
      <c r="AR143" s="191"/>
      <c r="AS143" s="191"/>
      <c r="AT143" s="191"/>
      <c r="AU143" s="191"/>
      <c r="AV143" s="191"/>
    </row>
    <row r="144" spans="2:63" ht="13.5" customHeight="1">
      <c r="B144" s="187"/>
      <c r="C144" s="191"/>
      <c r="D144" s="191"/>
      <c r="E144" s="191"/>
      <c r="F144" s="191"/>
      <c r="G144" s="191"/>
      <c r="H144" s="191"/>
      <c r="I144" s="191"/>
      <c r="J144" s="191"/>
      <c r="K144" s="191"/>
      <c r="L144" s="191"/>
      <c r="M144" s="191"/>
      <c r="N144" s="191"/>
      <c r="O144" s="191"/>
      <c r="P144" s="191"/>
      <c r="Q144" s="191"/>
      <c r="R144" s="191"/>
      <c r="S144" s="191"/>
      <c r="T144" s="191"/>
      <c r="U144" s="191"/>
      <c r="V144" s="191"/>
      <c r="W144" s="191"/>
      <c r="X144" s="191"/>
      <c r="Y144" s="191"/>
      <c r="Z144" s="191"/>
      <c r="AA144" s="191"/>
      <c r="AB144" s="191"/>
      <c r="AC144" s="191"/>
      <c r="AD144" s="191"/>
      <c r="AE144" s="191"/>
      <c r="AF144" s="191"/>
      <c r="AG144" s="191"/>
      <c r="AH144" s="191"/>
      <c r="AI144" s="191"/>
      <c r="AJ144" s="191"/>
      <c r="AK144" s="191"/>
      <c r="AM144" s="191"/>
      <c r="AN144" s="191"/>
      <c r="AO144" s="191"/>
      <c r="AP144" s="191"/>
      <c r="AQ144" s="191"/>
      <c r="AR144" s="191"/>
      <c r="AS144" s="191"/>
      <c r="AT144" s="191"/>
      <c r="AU144" s="191"/>
      <c r="AV144" s="191"/>
    </row>
    <row r="145" spans="2:55" ht="13.5" customHeight="1">
      <c r="B145" s="187"/>
      <c r="C145" s="191"/>
      <c r="D145" s="191"/>
      <c r="E145" s="191"/>
      <c r="F145" s="191"/>
      <c r="G145" s="191"/>
      <c r="H145" s="191"/>
      <c r="I145" s="191"/>
      <c r="J145" s="191"/>
      <c r="K145" s="191"/>
      <c r="L145" s="191"/>
      <c r="M145" s="191"/>
      <c r="N145" s="191"/>
      <c r="O145" s="191"/>
      <c r="P145" s="191"/>
      <c r="Q145" s="191"/>
      <c r="R145" s="191"/>
      <c r="S145" s="191"/>
      <c r="T145" s="191"/>
      <c r="U145" s="191"/>
      <c r="V145" s="191"/>
      <c r="W145" s="191"/>
      <c r="X145" s="191"/>
      <c r="Y145" s="191"/>
      <c r="Z145" s="191"/>
      <c r="AA145" s="191"/>
      <c r="AB145" s="191"/>
      <c r="AC145" s="191"/>
      <c r="AD145" s="191"/>
      <c r="AE145" s="191"/>
      <c r="AF145" s="191"/>
      <c r="AG145" s="191"/>
      <c r="AH145" s="191"/>
      <c r="AI145" s="191"/>
      <c r="AJ145" s="191"/>
      <c r="AK145" s="191"/>
      <c r="AM145" s="191"/>
      <c r="AN145" s="191"/>
      <c r="AO145" s="191"/>
      <c r="AP145" s="191"/>
      <c r="AQ145" s="191"/>
      <c r="AR145" s="191"/>
      <c r="AS145" s="191"/>
      <c r="AT145" s="191"/>
      <c r="AU145" s="191"/>
      <c r="AV145" s="191"/>
    </row>
    <row r="146" spans="2:55" ht="13.5" customHeight="1">
      <c r="B146" s="187"/>
      <c r="C146" s="191"/>
      <c r="D146" s="191"/>
      <c r="E146" s="191"/>
      <c r="F146" s="191"/>
      <c r="G146" s="191"/>
      <c r="H146" s="191"/>
      <c r="I146" s="191"/>
      <c r="J146" s="191"/>
      <c r="K146" s="191"/>
      <c r="L146" s="191"/>
      <c r="M146" s="191"/>
      <c r="N146" s="191"/>
      <c r="O146" s="191"/>
      <c r="P146" s="191"/>
      <c r="Q146" s="191"/>
      <c r="R146" s="191"/>
      <c r="S146" s="191"/>
      <c r="T146" s="191"/>
      <c r="U146" s="191"/>
      <c r="V146" s="191"/>
      <c r="W146" s="191"/>
      <c r="X146" s="191"/>
      <c r="Y146" s="191"/>
      <c r="Z146" s="191"/>
      <c r="AA146" s="191"/>
      <c r="AB146" s="191"/>
      <c r="AC146" s="191"/>
      <c r="AD146" s="191"/>
      <c r="AE146" s="191"/>
      <c r="AF146" s="191"/>
      <c r="AG146" s="191"/>
      <c r="AH146" s="191"/>
      <c r="AI146" s="191"/>
      <c r="AJ146" s="191"/>
      <c r="AK146" s="191"/>
      <c r="AM146" s="191"/>
      <c r="AN146" s="191"/>
      <c r="AO146" s="191"/>
      <c r="AP146" s="191"/>
      <c r="AQ146" s="191"/>
      <c r="AR146" s="191"/>
      <c r="AS146" s="191"/>
      <c r="AT146" s="191"/>
      <c r="AU146" s="191"/>
      <c r="AV146" s="191"/>
    </row>
    <row r="147" spans="2:55" ht="13.5" customHeight="1">
      <c r="B147" s="187"/>
      <c r="C147" s="191"/>
      <c r="D147" s="191"/>
      <c r="E147" s="191"/>
      <c r="F147" s="191"/>
      <c r="G147" s="191"/>
      <c r="H147" s="191"/>
      <c r="I147" s="191"/>
      <c r="J147" s="191"/>
      <c r="K147" s="191"/>
      <c r="L147" s="191"/>
      <c r="M147" s="191"/>
      <c r="N147" s="191"/>
      <c r="O147" s="191"/>
      <c r="P147" s="191"/>
      <c r="Q147" s="191"/>
      <c r="R147" s="191"/>
      <c r="S147" s="191"/>
      <c r="T147" s="191"/>
      <c r="U147" s="191"/>
      <c r="V147" s="191"/>
      <c r="W147" s="191"/>
      <c r="X147" s="191"/>
      <c r="Y147" s="191"/>
      <c r="Z147" s="191"/>
      <c r="AA147" s="191"/>
      <c r="AB147" s="191"/>
      <c r="AC147" s="191"/>
      <c r="AD147" s="191"/>
      <c r="AE147" s="191"/>
      <c r="AF147" s="191"/>
      <c r="AG147" s="191"/>
      <c r="AH147" s="191"/>
      <c r="AI147" s="191"/>
      <c r="AJ147" s="191"/>
      <c r="AK147" s="191"/>
      <c r="AM147" s="191"/>
      <c r="AN147" s="191"/>
      <c r="AO147" s="191"/>
      <c r="AP147" s="191"/>
      <c r="AQ147" s="191"/>
      <c r="AR147" s="191"/>
      <c r="AS147" s="191"/>
      <c r="AT147" s="191"/>
      <c r="AU147" s="191"/>
      <c r="AV147" s="191"/>
    </row>
    <row r="148" spans="2:55" ht="13.5" customHeight="1">
      <c r="B148" s="187"/>
      <c r="C148" s="191"/>
      <c r="D148" s="191"/>
      <c r="E148" s="191"/>
      <c r="F148" s="191"/>
      <c r="G148" s="191"/>
      <c r="H148" s="191"/>
      <c r="I148" s="191"/>
      <c r="J148" s="191"/>
      <c r="K148" s="191"/>
      <c r="L148" s="191"/>
      <c r="M148" s="191"/>
      <c r="N148" s="191"/>
      <c r="O148" s="191"/>
      <c r="P148" s="191"/>
      <c r="Q148" s="191"/>
      <c r="R148" s="191"/>
      <c r="S148" s="191"/>
      <c r="T148" s="191"/>
      <c r="U148" s="191"/>
      <c r="V148" s="191"/>
      <c r="W148" s="191"/>
      <c r="X148" s="191"/>
      <c r="Y148" s="191"/>
      <c r="Z148" s="191"/>
      <c r="AA148" s="191"/>
      <c r="AB148" s="191"/>
      <c r="AC148" s="191"/>
      <c r="AD148" s="191"/>
      <c r="AE148" s="191"/>
      <c r="AF148" s="191"/>
      <c r="AG148" s="191"/>
      <c r="AH148" s="191"/>
      <c r="AI148" s="191"/>
      <c r="AJ148" s="191"/>
      <c r="AK148" s="191"/>
      <c r="AM148" s="191"/>
      <c r="AN148" s="191"/>
      <c r="AO148" s="191"/>
      <c r="AP148" s="191"/>
      <c r="AQ148" s="191"/>
      <c r="AR148" s="191"/>
      <c r="AS148" s="191"/>
      <c r="AT148" s="191"/>
      <c r="AU148" s="191"/>
      <c r="AV148" s="191"/>
    </row>
    <row r="149" spans="2:55" ht="13.5" customHeight="1">
      <c r="B149" s="187"/>
      <c r="C149" s="191"/>
      <c r="D149" s="191"/>
      <c r="E149" s="191"/>
      <c r="F149" s="191"/>
      <c r="G149" s="191"/>
      <c r="H149" s="191"/>
      <c r="I149" s="191"/>
      <c r="J149" s="191"/>
      <c r="K149" s="191"/>
      <c r="L149" s="191"/>
      <c r="M149" s="191"/>
      <c r="N149" s="191"/>
      <c r="O149" s="191"/>
      <c r="P149" s="191"/>
      <c r="Q149" s="191"/>
      <c r="R149" s="191"/>
      <c r="S149" s="191"/>
      <c r="T149" s="191"/>
      <c r="U149" s="191"/>
      <c r="V149" s="191"/>
      <c r="W149" s="191"/>
      <c r="X149" s="191"/>
      <c r="Y149" s="191"/>
      <c r="Z149" s="191"/>
      <c r="AA149" s="191"/>
      <c r="AB149" s="191"/>
      <c r="AC149" s="191"/>
      <c r="AD149" s="191"/>
      <c r="AE149" s="191"/>
      <c r="AF149" s="191"/>
      <c r="AG149" s="191"/>
      <c r="AH149" s="191"/>
      <c r="AI149" s="191"/>
      <c r="AJ149" s="191"/>
      <c r="AK149" s="191"/>
      <c r="AM149" s="191"/>
      <c r="AN149" s="191"/>
      <c r="AO149" s="191"/>
      <c r="AP149" s="191"/>
      <c r="AQ149" s="191"/>
      <c r="AR149" s="191"/>
      <c r="AS149" s="191"/>
      <c r="AT149" s="191"/>
      <c r="AU149" s="191"/>
      <c r="AV149" s="191"/>
    </row>
    <row r="150" spans="2:55" ht="13.5" customHeight="1">
      <c r="B150" s="187"/>
      <c r="C150" s="191"/>
      <c r="D150" s="191"/>
      <c r="E150" s="191"/>
      <c r="F150" s="191"/>
      <c r="G150" s="191"/>
      <c r="H150" s="191"/>
      <c r="I150" s="191"/>
      <c r="J150" s="191"/>
      <c r="K150" s="191"/>
      <c r="L150" s="191"/>
      <c r="M150" s="191"/>
      <c r="N150" s="191"/>
      <c r="O150" s="191"/>
      <c r="P150" s="191"/>
      <c r="Q150" s="191"/>
      <c r="R150" s="191"/>
      <c r="S150" s="191"/>
      <c r="T150" s="191"/>
      <c r="U150" s="191"/>
      <c r="V150" s="191"/>
      <c r="W150" s="191"/>
      <c r="X150" s="191"/>
      <c r="Y150" s="191"/>
      <c r="Z150" s="191"/>
      <c r="AA150" s="191"/>
      <c r="AB150" s="191"/>
      <c r="AC150" s="191"/>
      <c r="AD150" s="191"/>
      <c r="AE150" s="191"/>
      <c r="AF150" s="191"/>
      <c r="AG150" s="191"/>
      <c r="AH150" s="191"/>
      <c r="AI150" s="191"/>
      <c r="AJ150" s="191"/>
      <c r="AK150" s="191"/>
      <c r="AM150" s="191"/>
      <c r="AN150" s="191"/>
      <c r="AO150" s="191"/>
      <c r="AP150" s="191"/>
      <c r="AQ150" s="191"/>
      <c r="AR150" s="191"/>
      <c r="AS150" s="191"/>
      <c r="AT150" s="191"/>
      <c r="AU150" s="191"/>
      <c r="AV150" s="191"/>
    </row>
    <row r="151" spans="2:55" ht="13.5" customHeight="1">
      <c r="B151" s="187"/>
      <c r="C151" s="191"/>
      <c r="D151" s="191"/>
      <c r="E151" s="191"/>
      <c r="F151" s="191"/>
      <c r="G151" s="191"/>
      <c r="H151" s="191"/>
      <c r="I151" s="191"/>
      <c r="J151" s="191"/>
      <c r="K151" s="191"/>
      <c r="L151" s="191"/>
      <c r="M151" s="191"/>
      <c r="N151" s="191"/>
      <c r="O151" s="191"/>
      <c r="P151" s="191"/>
      <c r="Q151" s="191"/>
      <c r="R151" s="191"/>
      <c r="S151" s="191"/>
      <c r="T151" s="191"/>
      <c r="U151" s="191"/>
      <c r="V151" s="191"/>
      <c r="W151" s="191"/>
      <c r="X151" s="191"/>
      <c r="Y151" s="191"/>
      <c r="Z151" s="191"/>
      <c r="AA151" s="191"/>
      <c r="AB151" s="191"/>
      <c r="AC151" s="191"/>
      <c r="AD151" s="191"/>
      <c r="AE151" s="191"/>
      <c r="AF151" s="191"/>
      <c r="AG151" s="191"/>
      <c r="AH151" s="191"/>
      <c r="AI151" s="191"/>
      <c r="AJ151" s="191"/>
      <c r="AK151" s="191"/>
      <c r="AM151" s="191"/>
      <c r="AN151" s="191"/>
      <c r="AO151" s="191"/>
      <c r="AP151" s="191"/>
      <c r="AQ151" s="191"/>
      <c r="AR151" s="191"/>
      <c r="AS151" s="191"/>
      <c r="AT151" s="191"/>
      <c r="AU151" s="191"/>
      <c r="AV151" s="191"/>
    </row>
    <row r="152" spans="2:55" ht="13.5" customHeight="1">
      <c r="B152" s="187"/>
      <c r="C152" s="191"/>
      <c r="D152" s="191"/>
      <c r="E152" s="191"/>
      <c r="F152" s="191"/>
      <c r="G152" s="191"/>
      <c r="H152" s="191"/>
      <c r="I152" s="191"/>
      <c r="J152" s="191"/>
      <c r="K152" s="191"/>
      <c r="L152" s="191"/>
      <c r="M152" s="191"/>
      <c r="N152" s="191"/>
      <c r="O152" s="191"/>
      <c r="P152" s="191"/>
      <c r="Q152" s="191"/>
      <c r="R152" s="191"/>
      <c r="S152" s="191"/>
      <c r="T152" s="191"/>
      <c r="U152" s="191"/>
      <c r="V152" s="191"/>
      <c r="W152" s="191"/>
      <c r="X152" s="191"/>
      <c r="Y152" s="191"/>
      <c r="Z152" s="191"/>
      <c r="AA152" s="191"/>
      <c r="AB152" s="191"/>
      <c r="AC152" s="191"/>
      <c r="AD152" s="191"/>
      <c r="AE152" s="191"/>
      <c r="AF152" s="191"/>
      <c r="AG152" s="191"/>
      <c r="AH152" s="191"/>
      <c r="AI152" s="191"/>
      <c r="AJ152" s="191"/>
      <c r="AK152" s="191"/>
      <c r="AM152" s="191"/>
      <c r="AN152" s="191"/>
      <c r="AO152" s="191"/>
      <c r="AP152" s="191"/>
      <c r="AQ152" s="191"/>
      <c r="AR152" s="191"/>
      <c r="AS152" s="191"/>
      <c r="AT152" s="191"/>
      <c r="AU152" s="191"/>
      <c r="AV152" s="191"/>
    </row>
    <row r="155" spans="2:55" s="16" customFormat="1" ht="13.5" customHeight="1">
      <c r="B155" s="16" t="s">
        <v>456</v>
      </c>
      <c r="C155" s="182"/>
      <c r="D155" s="182"/>
      <c r="E155" s="182"/>
      <c r="F155" s="182"/>
      <c r="G155" s="182"/>
      <c r="H155" s="182"/>
      <c r="I155" s="182"/>
      <c r="J155" s="182"/>
      <c r="K155" s="182"/>
      <c r="L155" s="182"/>
      <c r="M155" s="182"/>
      <c r="N155" s="182"/>
      <c r="O155" s="182"/>
      <c r="P155" s="182"/>
      <c r="Q155" s="182"/>
      <c r="R155" s="182"/>
      <c r="S155" s="182"/>
      <c r="T155" s="182"/>
      <c r="U155" s="182"/>
      <c r="V155" s="182"/>
      <c r="W155" s="182">
        <f t="shared" ref="W155:BC155" si="119">W$1</f>
        <v>33238</v>
      </c>
      <c r="X155" s="182">
        <f t="shared" si="119"/>
        <v>33603</v>
      </c>
      <c r="Y155" s="182">
        <f t="shared" si="119"/>
        <v>33969</v>
      </c>
      <c r="Z155" s="182">
        <f t="shared" si="119"/>
        <v>34334</v>
      </c>
      <c r="AA155" s="182">
        <f t="shared" si="119"/>
        <v>34699</v>
      </c>
      <c r="AB155" s="182">
        <f t="shared" si="119"/>
        <v>35064</v>
      </c>
      <c r="AC155" s="182">
        <f t="shared" si="119"/>
        <v>35430</v>
      </c>
      <c r="AD155" s="182">
        <f t="shared" si="119"/>
        <v>35795</v>
      </c>
      <c r="AE155" s="182">
        <f t="shared" si="119"/>
        <v>36160</v>
      </c>
      <c r="AF155" s="182">
        <f t="shared" si="119"/>
        <v>36525</v>
      </c>
      <c r="AG155" s="182">
        <f t="shared" si="119"/>
        <v>36891</v>
      </c>
      <c r="AH155" s="182">
        <f t="shared" si="119"/>
        <v>37256</v>
      </c>
      <c r="AI155" s="182">
        <f t="shared" si="119"/>
        <v>37621</v>
      </c>
      <c r="AJ155" s="182">
        <f t="shared" si="119"/>
        <v>37986</v>
      </c>
      <c r="AK155" s="182">
        <f t="shared" si="119"/>
        <v>38352</v>
      </c>
      <c r="AL155" s="182">
        <f t="shared" si="119"/>
        <v>38717</v>
      </c>
      <c r="AM155" s="182">
        <f t="shared" si="119"/>
        <v>39082</v>
      </c>
      <c r="AN155" s="182">
        <f t="shared" si="119"/>
        <v>39447</v>
      </c>
      <c r="AO155" s="182">
        <f t="shared" si="119"/>
        <v>39813</v>
      </c>
      <c r="AP155" s="182">
        <f t="shared" si="119"/>
        <v>40178</v>
      </c>
      <c r="AQ155" s="182">
        <f t="shared" si="119"/>
        <v>40543</v>
      </c>
      <c r="AR155" s="182">
        <f t="shared" si="119"/>
        <v>40908</v>
      </c>
      <c r="AS155" s="182">
        <f t="shared" si="119"/>
        <v>41274</v>
      </c>
      <c r="AT155" s="182">
        <f t="shared" si="119"/>
        <v>41639</v>
      </c>
      <c r="AU155" s="182">
        <f t="shared" si="119"/>
        <v>42004</v>
      </c>
      <c r="AV155" s="182">
        <f t="shared" si="119"/>
        <v>42369</v>
      </c>
      <c r="AW155" s="182">
        <f t="shared" si="119"/>
        <v>42735</v>
      </c>
      <c r="AX155" s="182">
        <f t="shared" si="119"/>
        <v>43100</v>
      </c>
      <c r="AY155" s="182">
        <f t="shared" si="119"/>
        <v>43465</v>
      </c>
      <c r="AZ155" s="182">
        <f t="shared" si="119"/>
        <v>43830</v>
      </c>
      <c r="BA155" s="182">
        <f t="shared" si="119"/>
        <v>44196</v>
      </c>
      <c r="BB155" s="182">
        <f t="shared" si="119"/>
        <v>44561</v>
      </c>
      <c r="BC155" s="182">
        <f t="shared" si="119"/>
        <v>44926</v>
      </c>
    </row>
    <row r="157" spans="2:55" ht="13.5" customHeight="1">
      <c r="B157" s="6" t="s">
        <v>71</v>
      </c>
      <c r="C157" s="189"/>
      <c r="D157" s="189"/>
      <c r="E157" s="189"/>
      <c r="F157" s="189"/>
      <c r="G157" s="189"/>
      <c r="H157" s="189"/>
      <c r="I157" s="189"/>
      <c r="J157" s="189"/>
      <c r="K157" s="189"/>
      <c r="L157" s="189"/>
      <c r="M157" s="189"/>
      <c r="N157" s="189"/>
      <c r="O157" s="189"/>
      <c r="P157" s="189"/>
      <c r="Q157" s="189"/>
      <c r="R157" s="189"/>
      <c r="S157" s="189"/>
      <c r="T157" s="189"/>
      <c r="U157" s="189"/>
      <c r="V157" s="189"/>
      <c r="W157" s="189"/>
      <c r="X157" s="189"/>
      <c r="Y157" s="189"/>
      <c r="Z157" s="189"/>
      <c r="AA157" s="189">
        <v>9</v>
      </c>
      <c r="AB157" s="189">
        <v>10</v>
      </c>
      <c r="AC157" s="189">
        <v>11</v>
      </c>
      <c r="AD157" s="189">
        <v>11</v>
      </c>
      <c r="AE157" s="189">
        <v>13</v>
      </c>
      <c r="AF157" s="189">
        <v>14</v>
      </c>
      <c r="AG157" s="189"/>
      <c r="AH157" s="189">
        <v>16</v>
      </c>
      <c r="AI157" s="189"/>
      <c r="AJ157" s="189"/>
      <c r="AK157" s="189"/>
      <c r="AL157" s="189"/>
      <c r="AM157" s="189"/>
      <c r="AN157" s="189"/>
      <c r="AO157" s="189"/>
      <c r="AP157" s="189"/>
      <c r="AQ157" s="189"/>
      <c r="AR157" s="189"/>
      <c r="AS157" s="189"/>
      <c r="AT157" s="189"/>
      <c r="AU157" s="189"/>
      <c r="AV157" s="189"/>
      <c r="AW157" s="189"/>
      <c r="AX157" s="189"/>
      <c r="AY157" s="189"/>
      <c r="AZ157" s="189"/>
      <c r="BA157" s="189"/>
      <c r="BB157" s="189"/>
      <c r="BC157" s="189"/>
    </row>
    <row r="158" spans="2:55" ht="13.5" customHeight="1">
      <c r="B158" s="6" t="s">
        <v>373</v>
      </c>
      <c r="C158" s="189"/>
      <c r="D158" s="189"/>
      <c r="E158" s="189"/>
      <c r="F158" s="189"/>
      <c r="G158" s="189"/>
      <c r="H158" s="189"/>
      <c r="I158" s="189"/>
      <c r="J158" s="189"/>
      <c r="K158" s="189"/>
      <c r="L158" s="189"/>
      <c r="M158" s="189"/>
      <c r="N158" s="189"/>
      <c r="O158" s="189"/>
      <c r="P158" s="189"/>
      <c r="Q158" s="189"/>
      <c r="R158" s="189"/>
      <c r="S158" s="189"/>
      <c r="T158" s="189"/>
      <c r="U158" s="189"/>
      <c r="V158" s="189"/>
      <c r="W158" s="189"/>
      <c r="X158" s="189"/>
      <c r="Y158" s="189"/>
      <c r="Z158" s="189"/>
      <c r="AA158" s="189">
        <v>7</v>
      </c>
      <c r="AB158" s="189">
        <v>7</v>
      </c>
      <c r="AC158" s="189">
        <v>8</v>
      </c>
      <c r="AD158" s="189">
        <v>8</v>
      </c>
      <c r="AE158" s="189">
        <v>8</v>
      </c>
      <c r="AF158" s="189">
        <v>9</v>
      </c>
      <c r="AG158" s="189"/>
      <c r="AH158" s="189">
        <v>10</v>
      </c>
      <c r="AI158" s="189"/>
      <c r="AJ158" s="189"/>
      <c r="AK158" s="189"/>
      <c r="AL158" s="189"/>
      <c r="AM158" s="189"/>
      <c r="AN158" s="189"/>
      <c r="AO158" s="189"/>
      <c r="AP158" s="189"/>
      <c r="AQ158" s="189"/>
      <c r="AR158" s="189"/>
      <c r="AS158" s="189"/>
      <c r="AT158" s="189"/>
      <c r="AU158" s="189"/>
      <c r="AV158" s="189"/>
      <c r="AW158" s="189"/>
      <c r="AX158" s="189"/>
      <c r="AY158" s="189"/>
      <c r="AZ158" s="189"/>
      <c r="BA158" s="189"/>
      <c r="BB158" s="189"/>
      <c r="BC158" s="189"/>
    </row>
    <row r="159" spans="2:55" ht="13.5" customHeight="1">
      <c r="B159" s="6" t="s">
        <v>132</v>
      </c>
      <c r="C159" s="189"/>
      <c r="D159" s="189"/>
      <c r="E159" s="189"/>
      <c r="F159" s="189"/>
      <c r="G159" s="189"/>
      <c r="H159" s="189"/>
      <c r="I159" s="189"/>
      <c r="J159" s="189"/>
      <c r="K159" s="189"/>
      <c r="L159" s="189"/>
      <c r="M159" s="189"/>
      <c r="N159" s="189"/>
      <c r="O159" s="189"/>
      <c r="P159" s="189"/>
      <c r="Q159" s="189"/>
      <c r="R159" s="189"/>
      <c r="S159" s="189"/>
      <c r="T159" s="189"/>
      <c r="U159" s="189"/>
      <c r="V159" s="189"/>
      <c r="W159" s="189"/>
      <c r="X159" s="189"/>
      <c r="Y159" s="189"/>
      <c r="Z159" s="189"/>
      <c r="AA159" s="189"/>
      <c r="AB159" s="189"/>
      <c r="AC159" s="189"/>
      <c r="AD159" s="189"/>
      <c r="AE159" s="189"/>
      <c r="AF159" s="189"/>
      <c r="AG159" s="189"/>
      <c r="AH159" s="189">
        <v>8</v>
      </c>
      <c r="AI159" s="189"/>
      <c r="AJ159" s="189"/>
      <c r="AK159" s="189"/>
      <c r="AL159" s="189"/>
      <c r="AM159" s="189"/>
      <c r="AN159" s="189"/>
      <c r="AO159" s="189"/>
      <c r="AP159" s="189"/>
      <c r="AQ159" s="189"/>
      <c r="AR159" s="189"/>
      <c r="AS159" s="189"/>
      <c r="AT159" s="189"/>
      <c r="AU159" s="189"/>
      <c r="AV159" s="189"/>
      <c r="AW159" s="189"/>
      <c r="AX159" s="189"/>
      <c r="AY159" s="189"/>
      <c r="AZ159" s="189"/>
      <c r="BA159" s="189"/>
      <c r="BB159" s="189"/>
      <c r="BC159" s="189"/>
    </row>
    <row r="160" spans="2:55" ht="13.5" customHeight="1">
      <c r="B160" s="6" t="s">
        <v>155</v>
      </c>
      <c r="C160" s="189"/>
      <c r="D160" s="189"/>
      <c r="E160" s="189"/>
      <c r="F160" s="189"/>
      <c r="G160" s="189"/>
      <c r="H160" s="189"/>
      <c r="I160" s="189"/>
      <c r="J160" s="189"/>
      <c r="K160" s="189"/>
      <c r="L160" s="189"/>
      <c r="M160" s="189"/>
      <c r="N160" s="189"/>
      <c r="O160" s="189"/>
      <c r="P160" s="189"/>
      <c r="Q160" s="189"/>
      <c r="R160" s="189"/>
      <c r="S160" s="189"/>
      <c r="T160" s="189"/>
      <c r="U160" s="189"/>
      <c r="V160" s="189"/>
      <c r="W160" s="189"/>
      <c r="X160" s="189"/>
      <c r="Y160" s="189"/>
      <c r="Z160" s="189"/>
      <c r="AA160" s="189"/>
      <c r="AB160" s="189"/>
      <c r="AC160" s="189"/>
      <c r="AD160" s="189"/>
      <c r="AE160" s="189">
        <v>5</v>
      </c>
      <c r="AF160" s="189">
        <v>6</v>
      </c>
      <c r="AG160" s="189"/>
      <c r="AH160" s="189">
        <v>2</v>
      </c>
      <c r="AI160" s="189"/>
      <c r="AJ160" s="189"/>
      <c r="AK160" s="189"/>
      <c r="AL160" s="189"/>
      <c r="AM160" s="189"/>
      <c r="AN160" s="189"/>
      <c r="AO160" s="189"/>
      <c r="AP160" s="189"/>
      <c r="AQ160" s="189"/>
      <c r="AR160" s="189"/>
      <c r="AS160" s="189"/>
      <c r="AT160" s="189"/>
      <c r="AU160" s="189"/>
      <c r="AV160" s="189"/>
      <c r="AW160" s="189"/>
      <c r="AX160" s="189"/>
      <c r="AY160" s="189"/>
      <c r="AZ160" s="189"/>
      <c r="BA160" s="189"/>
      <c r="BB160" s="189"/>
      <c r="BC160" s="189"/>
    </row>
    <row r="161" spans="2:55" ht="13.5" customHeight="1">
      <c r="B161" s="6" t="s">
        <v>111</v>
      </c>
      <c r="C161" s="189"/>
      <c r="D161" s="189"/>
      <c r="E161" s="189"/>
      <c r="F161" s="189"/>
      <c r="G161" s="189"/>
      <c r="H161" s="189"/>
      <c r="I161" s="189"/>
      <c r="J161" s="189"/>
      <c r="K161" s="189"/>
      <c r="L161" s="189"/>
      <c r="M161" s="189"/>
      <c r="N161" s="189"/>
      <c r="O161" s="189"/>
      <c r="P161" s="189"/>
      <c r="Q161" s="189"/>
      <c r="R161" s="189"/>
      <c r="S161" s="189"/>
      <c r="T161" s="189"/>
      <c r="U161" s="189"/>
      <c r="V161" s="189"/>
      <c r="W161" s="189"/>
      <c r="X161" s="189"/>
      <c r="Y161" s="189"/>
      <c r="Z161" s="189"/>
      <c r="AA161" s="189"/>
      <c r="AB161" s="189"/>
      <c r="AC161" s="189"/>
      <c r="AD161" s="189"/>
      <c r="AE161" s="189">
        <v>3</v>
      </c>
      <c r="AF161" s="189">
        <v>2</v>
      </c>
      <c r="AG161" s="189"/>
      <c r="AH161" s="189">
        <v>3</v>
      </c>
      <c r="AI161" s="189"/>
      <c r="AJ161" s="189"/>
      <c r="AK161" s="189"/>
      <c r="AL161" s="189"/>
      <c r="AM161" s="189"/>
      <c r="AN161" s="189"/>
      <c r="AO161" s="189"/>
      <c r="AP161" s="189"/>
      <c r="AQ161" s="189"/>
      <c r="AR161" s="189"/>
      <c r="AS161" s="189"/>
      <c r="AT161" s="189"/>
      <c r="AU161" s="189"/>
      <c r="AV161" s="189"/>
      <c r="AW161" s="189"/>
      <c r="AX161" s="189"/>
      <c r="AY161" s="189"/>
      <c r="AZ161" s="189"/>
      <c r="BA161" s="189"/>
      <c r="BB161" s="189"/>
      <c r="BC161" s="189"/>
    </row>
    <row r="162" spans="2:55" ht="13.5" customHeight="1">
      <c r="B162" s="6" t="s">
        <v>454</v>
      </c>
      <c r="C162" s="189"/>
      <c r="D162" s="189"/>
      <c r="E162" s="189"/>
      <c r="F162" s="189"/>
      <c r="G162" s="189"/>
      <c r="H162" s="189"/>
      <c r="I162" s="189"/>
      <c r="J162" s="189"/>
      <c r="K162" s="189"/>
      <c r="L162" s="189"/>
      <c r="M162" s="189"/>
      <c r="N162" s="189"/>
      <c r="O162" s="189"/>
      <c r="P162" s="189"/>
      <c r="Q162" s="189"/>
      <c r="R162" s="189"/>
      <c r="S162" s="189"/>
      <c r="T162" s="189"/>
      <c r="U162" s="189"/>
      <c r="V162" s="189"/>
      <c r="W162" s="189"/>
      <c r="X162" s="189"/>
      <c r="Y162" s="189"/>
      <c r="Z162" s="189"/>
      <c r="AA162" s="189">
        <v>3</v>
      </c>
      <c r="AB162" s="189">
        <v>3</v>
      </c>
      <c r="AC162" s="189">
        <v>3</v>
      </c>
      <c r="AD162" s="189">
        <v>3</v>
      </c>
      <c r="AE162" s="189">
        <v>4</v>
      </c>
      <c r="AF162" s="189">
        <v>4</v>
      </c>
      <c r="AG162" s="189"/>
      <c r="AH162" s="189">
        <v>4</v>
      </c>
      <c r="AI162" s="189"/>
      <c r="AJ162" s="189"/>
      <c r="AK162" s="189"/>
      <c r="AL162" s="189"/>
      <c r="AM162" s="189"/>
      <c r="AN162" s="189"/>
      <c r="AO162" s="189"/>
      <c r="AP162" s="189"/>
      <c r="AQ162" s="189"/>
      <c r="AR162" s="189"/>
      <c r="AS162" s="189"/>
      <c r="AT162" s="189"/>
      <c r="AU162" s="189"/>
      <c r="AV162" s="189"/>
      <c r="AW162" s="189"/>
      <c r="AX162" s="189"/>
      <c r="AY162" s="189"/>
      <c r="AZ162" s="189"/>
      <c r="BA162" s="189"/>
      <c r="BB162" s="189"/>
      <c r="BC162" s="189"/>
    </row>
    <row r="163" spans="2:55" s="16" customFormat="1" ht="13.5" customHeight="1">
      <c r="B163" s="16" t="s">
        <v>295</v>
      </c>
      <c r="C163" s="188"/>
      <c r="D163" s="188"/>
      <c r="E163" s="188"/>
      <c r="F163" s="188"/>
      <c r="G163" s="188"/>
      <c r="H163" s="188"/>
      <c r="I163" s="188"/>
      <c r="J163" s="188"/>
      <c r="K163" s="188"/>
      <c r="L163" s="188"/>
      <c r="M163" s="188"/>
      <c r="N163" s="188"/>
      <c r="O163" s="188"/>
      <c r="P163" s="188"/>
      <c r="Q163" s="188"/>
      <c r="R163" s="188"/>
      <c r="S163" s="188"/>
      <c r="T163" s="188"/>
      <c r="U163" s="188"/>
      <c r="V163" s="188"/>
      <c r="W163" s="188">
        <f t="shared" ref="W163:BC163" si="120">SUM(W157:W162)</f>
        <v>0</v>
      </c>
      <c r="X163" s="188">
        <f t="shared" si="120"/>
        <v>0</v>
      </c>
      <c r="Y163" s="188">
        <f t="shared" si="120"/>
        <v>0</v>
      </c>
      <c r="Z163" s="188">
        <f t="shared" si="120"/>
        <v>0</v>
      </c>
      <c r="AA163" s="188">
        <f t="shared" si="120"/>
        <v>19</v>
      </c>
      <c r="AB163" s="188">
        <f t="shared" si="120"/>
        <v>20</v>
      </c>
      <c r="AC163" s="188">
        <f t="shared" si="120"/>
        <v>22</v>
      </c>
      <c r="AD163" s="188">
        <f t="shared" si="120"/>
        <v>22</v>
      </c>
      <c r="AE163" s="188">
        <f t="shared" si="120"/>
        <v>33</v>
      </c>
      <c r="AF163" s="188">
        <f t="shared" si="120"/>
        <v>35</v>
      </c>
      <c r="AG163" s="188">
        <f t="shared" si="120"/>
        <v>0</v>
      </c>
      <c r="AH163" s="188">
        <f t="shared" si="120"/>
        <v>43</v>
      </c>
      <c r="AI163" s="188">
        <f t="shared" si="120"/>
        <v>0</v>
      </c>
      <c r="AJ163" s="188">
        <f t="shared" si="120"/>
        <v>0</v>
      </c>
      <c r="AK163" s="188">
        <f t="shared" si="120"/>
        <v>0</v>
      </c>
      <c r="AL163" s="188">
        <f t="shared" si="120"/>
        <v>0</v>
      </c>
      <c r="AM163" s="188">
        <f t="shared" si="120"/>
        <v>0</v>
      </c>
      <c r="AN163" s="188">
        <f t="shared" si="120"/>
        <v>0</v>
      </c>
      <c r="AO163" s="188">
        <f t="shared" si="120"/>
        <v>0</v>
      </c>
      <c r="AP163" s="188">
        <f t="shared" si="120"/>
        <v>0</v>
      </c>
      <c r="AQ163" s="188">
        <f t="shared" si="120"/>
        <v>0</v>
      </c>
      <c r="AR163" s="188">
        <f t="shared" si="120"/>
        <v>0</v>
      </c>
      <c r="AS163" s="188">
        <f t="shared" si="120"/>
        <v>0</v>
      </c>
      <c r="AT163" s="188">
        <f t="shared" si="120"/>
        <v>0</v>
      </c>
      <c r="AU163" s="188">
        <f t="shared" si="120"/>
        <v>0</v>
      </c>
      <c r="AV163" s="188">
        <f t="shared" si="120"/>
        <v>0</v>
      </c>
      <c r="AW163" s="188">
        <f t="shared" si="120"/>
        <v>0</v>
      </c>
      <c r="AX163" s="188">
        <f t="shared" si="120"/>
        <v>0</v>
      </c>
      <c r="AY163" s="188">
        <f t="shared" si="120"/>
        <v>0</v>
      </c>
      <c r="AZ163" s="188">
        <f t="shared" si="120"/>
        <v>0</v>
      </c>
      <c r="BA163" s="188">
        <f t="shared" si="120"/>
        <v>0</v>
      </c>
      <c r="BB163" s="188">
        <f t="shared" si="120"/>
        <v>0</v>
      </c>
      <c r="BC163" s="188">
        <f t="shared" si="120"/>
        <v>0</v>
      </c>
    </row>
    <row r="165" spans="2:55" s="16" customFormat="1" ht="13.5" customHeight="1">
      <c r="B165" s="16" t="s">
        <v>455</v>
      </c>
      <c r="C165" s="182"/>
      <c r="D165" s="182"/>
      <c r="E165" s="182"/>
      <c r="F165" s="182"/>
      <c r="G165" s="182"/>
      <c r="H165" s="182"/>
      <c r="I165" s="182"/>
      <c r="J165" s="182"/>
      <c r="K165" s="182"/>
      <c r="L165" s="182"/>
      <c r="M165" s="182"/>
      <c r="N165" s="182"/>
      <c r="O165" s="182"/>
      <c r="P165" s="182"/>
      <c r="Q165" s="182"/>
      <c r="R165" s="182"/>
      <c r="S165" s="182"/>
      <c r="T165" s="182"/>
      <c r="U165" s="182"/>
      <c r="V165" s="182"/>
      <c r="W165" s="182">
        <f t="shared" ref="W165:BC165" si="121">W$1</f>
        <v>33238</v>
      </c>
      <c r="X165" s="182">
        <f t="shared" si="121"/>
        <v>33603</v>
      </c>
      <c r="Y165" s="182">
        <f t="shared" si="121"/>
        <v>33969</v>
      </c>
      <c r="Z165" s="182">
        <f t="shared" si="121"/>
        <v>34334</v>
      </c>
      <c r="AA165" s="182">
        <f t="shared" si="121"/>
        <v>34699</v>
      </c>
      <c r="AB165" s="182">
        <f t="shared" si="121"/>
        <v>35064</v>
      </c>
      <c r="AC165" s="182">
        <f t="shared" si="121"/>
        <v>35430</v>
      </c>
      <c r="AD165" s="182">
        <f t="shared" si="121"/>
        <v>35795</v>
      </c>
      <c r="AE165" s="182">
        <f t="shared" si="121"/>
        <v>36160</v>
      </c>
      <c r="AF165" s="182">
        <f t="shared" si="121"/>
        <v>36525</v>
      </c>
      <c r="AG165" s="182">
        <f t="shared" si="121"/>
        <v>36891</v>
      </c>
      <c r="AH165" s="182">
        <f t="shared" si="121"/>
        <v>37256</v>
      </c>
      <c r="AI165" s="182">
        <f t="shared" si="121"/>
        <v>37621</v>
      </c>
      <c r="AJ165" s="182">
        <f t="shared" si="121"/>
        <v>37986</v>
      </c>
      <c r="AK165" s="182">
        <f t="shared" si="121"/>
        <v>38352</v>
      </c>
      <c r="AL165" s="182">
        <f t="shared" si="121"/>
        <v>38717</v>
      </c>
      <c r="AM165" s="182">
        <f t="shared" si="121"/>
        <v>39082</v>
      </c>
      <c r="AN165" s="182">
        <f t="shared" si="121"/>
        <v>39447</v>
      </c>
      <c r="AO165" s="182">
        <f t="shared" si="121"/>
        <v>39813</v>
      </c>
      <c r="AP165" s="182">
        <f t="shared" si="121"/>
        <v>40178</v>
      </c>
      <c r="AQ165" s="182">
        <f t="shared" si="121"/>
        <v>40543</v>
      </c>
      <c r="AR165" s="182">
        <f t="shared" si="121"/>
        <v>40908</v>
      </c>
      <c r="AS165" s="182">
        <f t="shared" si="121"/>
        <v>41274</v>
      </c>
      <c r="AT165" s="182">
        <f t="shared" si="121"/>
        <v>41639</v>
      </c>
      <c r="AU165" s="182">
        <f t="shared" si="121"/>
        <v>42004</v>
      </c>
      <c r="AV165" s="182">
        <f t="shared" si="121"/>
        <v>42369</v>
      </c>
      <c r="AW165" s="182">
        <f t="shared" si="121"/>
        <v>42735</v>
      </c>
      <c r="AX165" s="182">
        <f t="shared" si="121"/>
        <v>43100</v>
      </c>
      <c r="AY165" s="182">
        <f t="shared" si="121"/>
        <v>43465</v>
      </c>
      <c r="AZ165" s="182">
        <f t="shared" si="121"/>
        <v>43830</v>
      </c>
      <c r="BA165" s="182">
        <f t="shared" si="121"/>
        <v>44196</v>
      </c>
      <c r="BB165" s="182">
        <f t="shared" si="121"/>
        <v>44561</v>
      </c>
      <c r="BC165" s="182">
        <f t="shared" si="121"/>
        <v>44926</v>
      </c>
    </row>
    <row r="167" spans="2:55" ht="13.5" customHeight="1">
      <c r="B167" s="6" t="s">
        <v>71</v>
      </c>
      <c r="C167" s="189"/>
      <c r="D167" s="189"/>
      <c r="E167" s="189"/>
      <c r="F167" s="189"/>
      <c r="G167" s="189"/>
      <c r="H167" s="189"/>
      <c r="I167" s="189"/>
      <c r="J167" s="189"/>
      <c r="K167" s="189"/>
      <c r="L167" s="189"/>
      <c r="M167" s="189"/>
      <c r="N167" s="189"/>
      <c r="O167" s="189"/>
      <c r="P167" s="189"/>
      <c r="Q167" s="189"/>
      <c r="R167" s="189"/>
      <c r="S167" s="189"/>
      <c r="T167" s="189"/>
      <c r="U167" s="189"/>
      <c r="V167" s="189"/>
      <c r="W167" s="189"/>
      <c r="X167" s="189"/>
      <c r="Y167" s="189"/>
      <c r="Z167" s="189"/>
      <c r="AA167" s="189">
        <v>14756</v>
      </c>
      <c r="AB167" s="189">
        <v>16796</v>
      </c>
      <c r="AC167" s="189">
        <v>20332</v>
      </c>
      <c r="AD167" s="189">
        <v>20332</v>
      </c>
      <c r="AE167" s="189">
        <v>24404</v>
      </c>
      <c r="AF167" s="189">
        <v>27254</v>
      </c>
      <c r="AG167" s="189"/>
      <c r="AH167" s="189">
        <v>33250</v>
      </c>
      <c r="AI167" s="189"/>
      <c r="AJ167" s="189"/>
      <c r="AK167" s="189"/>
      <c r="AL167" s="189"/>
      <c r="AM167" s="189"/>
      <c r="AN167" s="189"/>
      <c r="AO167" s="189"/>
      <c r="AP167" s="189"/>
      <c r="AQ167" s="189"/>
      <c r="AR167" s="189"/>
      <c r="AS167" s="189"/>
      <c r="AT167" s="189"/>
      <c r="AU167" s="189"/>
      <c r="AV167" s="189"/>
      <c r="AW167" s="189"/>
      <c r="AX167" s="189"/>
      <c r="AY167" s="189"/>
      <c r="AZ167" s="189"/>
      <c r="BA167" s="189"/>
      <c r="BB167" s="189"/>
      <c r="BC167" s="189"/>
    </row>
    <row r="168" spans="2:55" ht="13.5" customHeight="1">
      <c r="B168" s="6" t="s">
        <v>373</v>
      </c>
      <c r="C168" s="189"/>
      <c r="D168" s="189"/>
      <c r="E168" s="189"/>
      <c r="F168" s="189"/>
      <c r="G168" s="189"/>
      <c r="H168" s="189"/>
      <c r="I168" s="189"/>
      <c r="J168" s="189"/>
      <c r="K168" s="189"/>
      <c r="L168" s="189"/>
      <c r="M168" s="189"/>
      <c r="N168" s="189"/>
      <c r="O168" s="189"/>
      <c r="P168" s="189"/>
      <c r="Q168" s="189"/>
      <c r="R168" s="189"/>
      <c r="S168" s="189"/>
      <c r="T168" s="189"/>
      <c r="U168" s="189"/>
      <c r="V168" s="189"/>
      <c r="W168" s="189"/>
      <c r="X168" s="189"/>
      <c r="Y168" s="189"/>
      <c r="Z168" s="189"/>
      <c r="AA168" s="189">
        <v>8795</v>
      </c>
      <c r="AB168" s="189">
        <v>8795</v>
      </c>
      <c r="AC168" s="189">
        <v>10061</v>
      </c>
      <c r="AD168" s="189">
        <v>10302</v>
      </c>
      <c r="AE168" s="189">
        <v>10302</v>
      </c>
      <c r="AF168" s="189">
        <v>11742</v>
      </c>
      <c r="AG168" s="189"/>
      <c r="AH168" s="189">
        <v>12612</v>
      </c>
      <c r="AI168" s="189"/>
      <c r="AJ168" s="189"/>
      <c r="AK168" s="189"/>
      <c r="AL168" s="189"/>
      <c r="AM168" s="189"/>
      <c r="AN168" s="189"/>
      <c r="AO168" s="189"/>
      <c r="AP168" s="189"/>
      <c r="AQ168" s="189"/>
      <c r="AR168" s="189"/>
      <c r="AS168" s="189"/>
      <c r="AT168" s="189"/>
      <c r="AU168" s="189"/>
      <c r="AV168" s="189"/>
      <c r="AW168" s="189"/>
      <c r="AX168" s="189"/>
      <c r="AY168" s="189"/>
      <c r="AZ168" s="189"/>
      <c r="BA168" s="189"/>
      <c r="BB168" s="189"/>
      <c r="BC168" s="189"/>
    </row>
    <row r="169" spans="2:55" ht="13.5" customHeight="1">
      <c r="B169" s="6" t="s">
        <v>132</v>
      </c>
      <c r="C169" s="189"/>
      <c r="D169" s="189"/>
      <c r="E169" s="189"/>
      <c r="F169" s="189"/>
      <c r="G169" s="189"/>
      <c r="H169" s="189"/>
      <c r="I169" s="189"/>
      <c r="J169" s="189"/>
      <c r="K169" s="189"/>
      <c r="L169" s="189"/>
      <c r="M169" s="189"/>
      <c r="N169" s="189"/>
      <c r="O169" s="189"/>
      <c r="P169" s="189"/>
      <c r="Q169" s="189"/>
      <c r="R169" s="189"/>
      <c r="S169" s="189"/>
      <c r="T169" s="189"/>
      <c r="U169" s="189"/>
      <c r="V169" s="189"/>
      <c r="W169" s="189"/>
      <c r="X169" s="189"/>
      <c r="Y169" s="189"/>
      <c r="Z169" s="189"/>
      <c r="AA169" s="189"/>
      <c r="AB169" s="189"/>
      <c r="AC169" s="189"/>
      <c r="AD169" s="189"/>
      <c r="AE169" s="189"/>
      <c r="AF169" s="189"/>
      <c r="AG169" s="189"/>
      <c r="AH169" s="189">
        <v>10770</v>
      </c>
      <c r="AI169" s="189"/>
      <c r="AJ169" s="189"/>
      <c r="AK169" s="189"/>
      <c r="AL169" s="189"/>
      <c r="AM169" s="189"/>
      <c r="AN169" s="189"/>
      <c r="AO169" s="189"/>
      <c r="AP169" s="189"/>
      <c r="AQ169" s="189"/>
      <c r="AR169" s="189"/>
      <c r="AS169" s="189"/>
      <c r="AT169" s="189"/>
      <c r="AU169" s="189"/>
      <c r="AV169" s="189"/>
      <c r="AW169" s="189"/>
      <c r="AX169" s="189"/>
      <c r="AY169" s="189"/>
      <c r="AZ169" s="189"/>
      <c r="BA169" s="189"/>
      <c r="BB169" s="189"/>
      <c r="BC169" s="189"/>
    </row>
    <row r="170" spans="2:55" ht="13.5" customHeight="1">
      <c r="B170" s="6" t="s">
        <v>155</v>
      </c>
      <c r="C170" s="189"/>
      <c r="D170" s="189"/>
      <c r="E170" s="189"/>
      <c r="F170" s="189"/>
      <c r="G170" s="189"/>
      <c r="H170" s="189"/>
      <c r="I170" s="189"/>
      <c r="J170" s="189"/>
      <c r="K170" s="189"/>
      <c r="L170" s="189"/>
      <c r="M170" s="189"/>
      <c r="N170" s="189"/>
      <c r="O170" s="189"/>
      <c r="P170" s="189"/>
      <c r="Q170" s="189"/>
      <c r="R170" s="189"/>
      <c r="S170" s="189"/>
      <c r="T170" s="189"/>
      <c r="U170" s="189"/>
      <c r="V170" s="189"/>
      <c r="W170" s="189"/>
      <c r="X170" s="189"/>
      <c r="Y170" s="189"/>
      <c r="Z170" s="189"/>
      <c r="AA170" s="189"/>
      <c r="AB170" s="189"/>
      <c r="AC170" s="189"/>
      <c r="AD170" s="189"/>
      <c r="AE170" s="189">
        <v>3380</v>
      </c>
      <c r="AF170" s="189">
        <v>2444</v>
      </c>
      <c r="AG170" s="189"/>
      <c r="AH170" s="189">
        <v>2458</v>
      </c>
      <c r="AI170" s="189"/>
      <c r="AJ170" s="189"/>
      <c r="AK170" s="189"/>
      <c r="AL170" s="189"/>
      <c r="AM170" s="189"/>
      <c r="AN170" s="189"/>
      <c r="AO170" s="189"/>
      <c r="AP170" s="189"/>
      <c r="AQ170" s="189"/>
      <c r="AR170" s="189"/>
      <c r="AS170" s="189"/>
      <c r="AT170" s="189"/>
      <c r="AU170" s="189"/>
      <c r="AV170" s="189"/>
      <c r="AW170" s="189"/>
      <c r="AX170" s="189"/>
      <c r="AY170" s="189"/>
      <c r="AZ170" s="189"/>
      <c r="BA170" s="189"/>
      <c r="BB170" s="189"/>
      <c r="BC170" s="189"/>
    </row>
    <row r="171" spans="2:55" ht="13.5" customHeight="1">
      <c r="B171" s="6" t="s">
        <v>111</v>
      </c>
      <c r="C171" s="189"/>
      <c r="D171" s="189"/>
      <c r="E171" s="189"/>
      <c r="F171" s="189"/>
      <c r="G171" s="189"/>
      <c r="H171" s="189"/>
      <c r="I171" s="189"/>
      <c r="J171" s="189"/>
      <c r="K171" s="189"/>
      <c r="L171" s="189"/>
      <c r="M171" s="189"/>
      <c r="N171" s="189"/>
      <c r="O171" s="189"/>
      <c r="P171" s="189"/>
      <c r="Q171" s="189"/>
      <c r="R171" s="189"/>
      <c r="S171" s="189"/>
      <c r="T171" s="189"/>
      <c r="U171" s="189"/>
      <c r="V171" s="189"/>
      <c r="W171" s="189"/>
      <c r="X171" s="189"/>
      <c r="Y171" s="189"/>
      <c r="Z171" s="189"/>
      <c r="AA171" s="189"/>
      <c r="AB171" s="189"/>
      <c r="AC171" s="189"/>
      <c r="AD171" s="189"/>
      <c r="AE171" s="189">
        <v>624</v>
      </c>
      <c r="AF171" s="189">
        <v>1614</v>
      </c>
      <c r="AG171" s="189"/>
      <c r="AH171" s="189">
        <v>624</v>
      </c>
      <c r="AI171" s="189"/>
      <c r="AJ171" s="189"/>
      <c r="AK171" s="189"/>
      <c r="AL171" s="189"/>
      <c r="AM171" s="189"/>
      <c r="AN171" s="189"/>
      <c r="AO171" s="189"/>
      <c r="AP171" s="189"/>
      <c r="AQ171" s="189"/>
      <c r="AR171" s="189"/>
      <c r="AS171" s="189"/>
      <c r="AT171" s="189"/>
      <c r="AU171" s="189"/>
      <c r="AV171" s="189"/>
      <c r="AW171" s="189"/>
      <c r="AX171" s="189"/>
      <c r="AY171" s="189"/>
      <c r="AZ171" s="189"/>
      <c r="BA171" s="189"/>
      <c r="BB171" s="189"/>
      <c r="BC171" s="189"/>
    </row>
    <row r="172" spans="2:55" ht="13.5" customHeight="1">
      <c r="B172" s="6" t="s">
        <v>454</v>
      </c>
      <c r="C172" s="189"/>
      <c r="D172" s="189"/>
      <c r="E172" s="189"/>
      <c r="F172" s="189"/>
      <c r="G172" s="189"/>
      <c r="H172" s="189"/>
      <c r="I172" s="189"/>
      <c r="J172" s="189"/>
      <c r="K172" s="189"/>
      <c r="L172" s="189"/>
      <c r="M172" s="189"/>
      <c r="N172" s="189"/>
      <c r="O172" s="189"/>
      <c r="P172" s="189"/>
      <c r="Q172" s="189"/>
      <c r="R172" s="189"/>
      <c r="S172" s="189"/>
      <c r="T172" s="189"/>
      <c r="U172" s="189"/>
      <c r="V172" s="189"/>
      <c r="W172" s="189"/>
      <c r="X172" s="189"/>
      <c r="Y172" s="189"/>
      <c r="Z172" s="189"/>
      <c r="AA172" s="189">
        <v>444</v>
      </c>
      <c r="AB172" s="189">
        <v>444</v>
      </c>
      <c r="AC172" s="189">
        <v>444</v>
      </c>
      <c r="AD172" s="189">
        <v>444</v>
      </c>
      <c r="AE172" s="189">
        <v>756</v>
      </c>
      <c r="AF172" s="189">
        <v>756</v>
      </c>
      <c r="AG172" s="189"/>
      <c r="AH172" s="189">
        <v>752</v>
      </c>
      <c r="AI172" s="189"/>
      <c r="AJ172" s="189"/>
      <c r="AK172" s="189"/>
      <c r="AL172" s="189"/>
      <c r="AM172" s="189"/>
      <c r="AN172" s="189"/>
      <c r="AO172" s="189"/>
      <c r="AP172" s="189"/>
      <c r="AQ172" s="189"/>
      <c r="AR172" s="189"/>
      <c r="AS172" s="189"/>
      <c r="AT172" s="189"/>
      <c r="AU172" s="189"/>
      <c r="AV172" s="189"/>
      <c r="AW172" s="189"/>
      <c r="AX172" s="189"/>
      <c r="AY172" s="189"/>
      <c r="AZ172" s="189"/>
      <c r="BA172" s="189"/>
      <c r="BB172" s="189"/>
      <c r="BC172" s="189"/>
    </row>
    <row r="173" spans="2:55" s="16" customFormat="1" ht="13.5" customHeight="1">
      <c r="B173" s="16" t="s">
        <v>295</v>
      </c>
      <c r="C173" s="188"/>
      <c r="D173" s="188"/>
      <c r="E173" s="188"/>
      <c r="F173" s="188"/>
      <c r="G173" s="188"/>
      <c r="H173" s="188"/>
      <c r="I173" s="188"/>
      <c r="J173" s="188"/>
      <c r="K173" s="188"/>
      <c r="L173" s="188"/>
      <c r="M173" s="188"/>
      <c r="N173" s="188"/>
      <c r="O173" s="188"/>
      <c r="P173" s="188"/>
      <c r="Q173" s="188"/>
      <c r="R173" s="188"/>
      <c r="S173" s="188"/>
      <c r="T173" s="188"/>
      <c r="U173" s="188"/>
      <c r="V173" s="188"/>
      <c r="W173" s="188">
        <f t="shared" ref="W173:BC173" si="122">SUM(W167:W172)</f>
        <v>0</v>
      </c>
      <c r="X173" s="188">
        <f t="shared" si="122"/>
        <v>0</v>
      </c>
      <c r="Y173" s="188">
        <f t="shared" si="122"/>
        <v>0</v>
      </c>
      <c r="Z173" s="188">
        <f t="shared" si="122"/>
        <v>0</v>
      </c>
      <c r="AA173" s="188">
        <f t="shared" si="122"/>
        <v>23995</v>
      </c>
      <c r="AB173" s="188">
        <f t="shared" si="122"/>
        <v>26035</v>
      </c>
      <c r="AC173" s="188">
        <f t="shared" si="122"/>
        <v>30837</v>
      </c>
      <c r="AD173" s="188">
        <f t="shared" si="122"/>
        <v>31078</v>
      </c>
      <c r="AE173" s="188">
        <f t="shared" si="122"/>
        <v>39466</v>
      </c>
      <c r="AF173" s="188">
        <f t="shared" si="122"/>
        <v>43810</v>
      </c>
      <c r="AG173" s="188">
        <f t="shared" si="122"/>
        <v>0</v>
      </c>
      <c r="AH173" s="188">
        <f t="shared" si="122"/>
        <v>60466</v>
      </c>
      <c r="AI173" s="188">
        <f t="shared" si="122"/>
        <v>0</v>
      </c>
      <c r="AJ173" s="188">
        <f t="shared" si="122"/>
        <v>0</v>
      </c>
      <c r="AK173" s="188">
        <f t="shared" si="122"/>
        <v>0</v>
      </c>
      <c r="AL173" s="188">
        <f t="shared" si="122"/>
        <v>0</v>
      </c>
      <c r="AM173" s="188">
        <f t="shared" si="122"/>
        <v>0</v>
      </c>
      <c r="AN173" s="188">
        <f t="shared" si="122"/>
        <v>0</v>
      </c>
      <c r="AO173" s="188">
        <f t="shared" si="122"/>
        <v>0</v>
      </c>
      <c r="AP173" s="188">
        <f t="shared" si="122"/>
        <v>0</v>
      </c>
      <c r="AQ173" s="188">
        <f t="shared" si="122"/>
        <v>0</v>
      </c>
      <c r="AR173" s="188">
        <f t="shared" si="122"/>
        <v>0</v>
      </c>
      <c r="AS173" s="188">
        <f t="shared" si="122"/>
        <v>0</v>
      </c>
      <c r="AT173" s="188">
        <f t="shared" si="122"/>
        <v>0</v>
      </c>
      <c r="AU173" s="188">
        <f t="shared" si="122"/>
        <v>0</v>
      </c>
      <c r="AV173" s="188">
        <f t="shared" si="122"/>
        <v>0</v>
      </c>
      <c r="AW173" s="188">
        <f t="shared" si="122"/>
        <v>0</v>
      </c>
      <c r="AX173" s="188">
        <f t="shared" si="122"/>
        <v>0</v>
      </c>
      <c r="AY173" s="188">
        <f t="shared" si="122"/>
        <v>0</v>
      </c>
      <c r="AZ173" s="188">
        <f t="shared" si="122"/>
        <v>0</v>
      </c>
      <c r="BA173" s="188">
        <f t="shared" si="122"/>
        <v>0</v>
      </c>
      <c r="BB173" s="188">
        <f t="shared" si="122"/>
        <v>0</v>
      </c>
      <c r="BC173" s="188">
        <f t="shared" si="122"/>
        <v>0</v>
      </c>
    </row>
    <row r="177" spans="2:50" ht="13.5" customHeight="1">
      <c r="B177" s="16" t="s">
        <v>533</v>
      </c>
      <c r="AS177" s="192"/>
      <c r="AT177" s="27"/>
      <c r="AV177" s="192"/>
      <c r="AX177" s="19" t="s">
        <v>534</v>
      </c>
    </row>
    <row r="178" spans="2:50" ht="13.5" customHeight="1">
      <c r="AT178" s="27"/>
      <c r="AV178" s="192"/>
    </row>
    <row r="179" spans="2:50" ht="13.5" customHeight="1">
      <c r="B179" s="6" t="s">
        <v>71</v>
      </c>
      <c r="AT179" s="27" t="s">
        <v>93</v>
      </c>
      <c r="AV179" s="192">
        <v>21.3</v>
      </c>
      <c r="AX179" s="193">
        <f>AV239^2</f>
        <v>2313.610000000001</v>
      </c>
    </row>
    <row r="180" spans="2:50" ht="13.5" customHeight="1">
      <c r="B180" s="6" t="s">
        <v>195</v>
      </c>
      <c r="AT180" s="27"/>
      <c r="AV180" s="192">
        <v>7.9</v>
      </c>
      <c r="AX180" s="193"/>
    </row>
    <row r="181" spans="2:50" ht="13.5" customHeight="1">
      <c r="B181" s="6" t="s">
        <v>132</v>
      </c>
      <c r="AT181" s="27"/>
      <c r="AV181" s="192">
        <v>7.4</v>
      </c>
      <c r="AX181" s="193"/>
    </row>
    <row r="182" spans="2:50" ht="13.5" customHeight="1">
      <c r="B182" s="6" t="s">
        <v>143</v>
      </c>
      <c r="AT182" s="27"/>
      <c r="AV182" s="192">
        <v>3.7</v>
      </c>
      <c r="AX182" s="193"/>
    </row>
    <row r="183" spans="2:50" ht="13.5" customHeight="1">
      <c r="B183" s="6" t="s">
        <v>373</v>
      </c>
      <c r="AT183" s="27"/>
      <c r="AV183" s="192">
        <v>3</v>
      </c>
      <c r="AX183" s="193"/>
    </row>
    <row r="184" spans="2:50" ht="13.5" customHeight="1">
      <c r="B184" s="6" t="s">
        <v>151</v>
      </c>
      <c r="AT184" s="27"/>
      <c r="AV184" s="192">
        <v>1.7</v>
      </c>
      <c r="AX184" s="193"/>
    </row>
    <row r="185" spans="2:50" ht="13.5" customHeight="1">
      <c r="B185" s="6" t="s">
        <v>156</v>
      </c>
      <c r="AT185" s="27"/>
      <c r="AV185" s="192">
        <v>1.2</v>
      </c>
      <c r="AX185" s="193"/>
    </row>
    <row r="186" spans="2:50" ht="13.5" customHeight="1">
      <c r="B186" s="6" t="s">
        <v>155</v>
      </c>
      <c r="AT186" s="27"/>
      <c r="AV186" s="192">
        <v>0.9</v>
      </c>
      <c r="AX186" s="193"/>
    </row>
    <row r="187" spans="2:50" ht="13.5" customHeight="1">
      <c r="B187" s="6" t="s">
        <v>412</v>
      </c>
      <c r="AT187" s="27"/>
      <c r="AV187" s="192">
        <v>0.8</v>
      </c>
      <c r="AX187" s="193"/>
    </row>
    <row r="188" spans="2:50" ht="13.5" customHeight="1">
      <c r="B188" s="6" t="s">
        <v>111</v>
      </c>
      <c r="AT188" s="27"/>
      <c r="AV188" s="192">
        <v>0.2</v>
      </c>
      <c r="AX188" s="193"/>
    </row>
    <row r="189" spans="2:50" ht="13.5" customHeight="1">
      <c r="AT189" s="27"/>
      <c r="AV189" s="192"/>
      <c r="AX189" s="193"/>
    </row>
    <row r="190" spans="2:50" ht="13.5" customHeight="1">
      <c r="B190" s="6" t="s">
        <v>185</v>
      </c>
      <c r="AT190" s="27" t="s">
        <v>45</v>
      </c>
      <c r="AV190" s="192">
        <v>16.7</v>
      </c>
      <c r="AX190" s="193">
        <f>AV240^2</f>
        <v>551.92104899999993</v>
      </c>
    </row>
    <row r="191" spans="2:50" ht="13.5" customHeight="1">
      <c r="B191" s="6" t="s">
        <v>198</v>
      </c>
      <c r="AT191" s="27"/>
      <c r="AV191" s="192">
        <v>4.2</v>
      </c>
      <c r="AX191" s="193"/>
    </row>
    <row r="192" spans="2:50" ht="13.5" customHeight="1">
      <c r="B192" s="6" t="s">
        <v>37</v>
      </c>
      <c r="AT192" s="27"/>
      <c r="AV192" s="192">
        <v>1.6</v>
      </c>
      <c r="AX192" s="193"/>
    </row>
    <row r="193" spans="2:50" ht="13.5" customHeight="1">
      <c r="B193" s="6" t="s">
        <v>413</v>
      </c>
      <c r="AT193" s="27"/>
      <c r="AV193" s="192">
        <v>0.65</v>
      </c>
      <c r="AX193" s="193"/>
    </row>
    <row r="194" spans="2:50" ht="13.5" customHeight="1">
      <c r="B194" s="6" t="s">
        <v>414</v>
      </c>
      <c r="AT194" s="27"/>
      <c r="AV194" s="192">
        <v>0.245</v>
      </c>
      <c r="AX194" s="193"/>
    </row>
    <row r="195" spans="2:50" ht="13.5" customHeight="1">
      <c r="B195" s="6" t="s">
        <v>415</v>
      </c>
      <c r="AT195" s="27"/>
      <c r="AV195" s="192">
        <v>9.8000000000000004E-2</v>
      </c>
      <c r="AX195" s="193"/>
    </row>
    <row r="196" spans="2:50" ht="13.5" customHeight="1">
      <c r="AT196" s="27"/>
      <c r="AV196" s="192"/>
      <c r="AX196" s="193"/>
    </row>
    <row r="197" spans="2:50" ht="13.5" customHeight="1">
      <c r="B197" s="6" t="s">
        <v>46</v>
      </c>
      <c r="AT197" s="27" t="s">
        <v>63</v>
      </c>
      <c r="AV197" s="192">
        <v>9.5</v>
      </c>
      <c r="AX197" s="193">
        <f>AV241^2</f>
        <v>108.16000000000001</v>
      </c>
    </row>
    <row r="198" spans="2:50" ht="13.5" customHeight="1">
      <c r="B198" s="6" t="s">
        <v>196</v>
      </c>
      <c r="AT198" s="27"/>
      <c r="AV198" s="192">
        <v>0.6</v>
      </c>
      <c r="AX198" s="193"/>
    </row>
    <row r="199" spans="2:50" ht="13.5" customHeight="1">
      <c r="B199" s="6" t="s">
        <v>65</v>
      </c>
      <c r="AT199" s="27"/>
      <c r="AV199" s="192">
        <v>0.3</v>
      </c>
      <c r="AX199" s="193"/>
    </row>
    <row r="200" spans="2:50" ht="13.5" customHeight="1">
      <c r="AT200" s="27"/>
      <c r="AV200" s="192"/>
      <c r="AX200" s="193"/>
    </row>
    <row r="201" spans="2:50" ht="13.5" customHeight="1">
      <c r="B201" s="6" t="s">
        <v>194</v>
      </c>
      <c r="AT201" s="27" t="s">
        <v>253</v>
      </c>
      <c r="AV201" s="192">
        <v>1.3</v>
      </c>
      <c r="AX201" s="193">
        <f>AV242^2</f>
        <v>2.5600000000000005</v>
      </c>
    </row>
    <row r="202" spans="2:50" ht="13.5" customHeight="1">
      <c r="B202" s="6" t="s">
        <v>288</v>
      </c>
      <c r="AT202" s="27"/>
      <c r="AV202" s="192">
        <v>0.3</v>
      </c>
      <c r="AX202" s="193"/>
    </row>
    <row r="203" spans="2:50" ht="13.5" customHeight="1">
      <c r="AT203" s="27"/>
      <c r="AV203" s="192"/>
      <c r="AX203" s="193"/>
    </row>
    <row r="204" spans="2:50" ht="13.5" customHeight="1">
      <c r="B204" s="6" t="s">
        <v>416</v>
      </c>
      <c r="AT204" s="27" t="s">
        <v>199</v>
      </c>
      <c r="AV204" s="192">
        <v>1.3</v>
      </c>
      <c r="AX204" s="193">
        <f>AV243^2</f>
        <v>4.8400000000000007</v>
      </c>
    </row>
    <row r="205" spans="2:50" ht="13.5" customHeight="1">
      <c r="B205" s="6" t="s">
        <v>413</v>
      </c>
      <c r="AT205" s="27"/>
      <c r="AV205" s="192">
        <v>0.7</v>
      </c>
      <c r="AX205" s="193"/>
    </row>
    <row r="206" spans="2:50" ht="13.5" customHeight="1">
      <c r="B206" s="6" t="s">
        <v>354</v>
      </c>
      <c r="AT206" s="27"/>
      <c r="AV206" s="192">
        <v>0.2</v>
      </c>
      <c r="AX206" s="193"/>
    </row>
    <row r="207" spans="2:50" ht="13.5" customHeight="1">
      <c r="AT207" s="27"/>
      <c r="AV207" s="192"/>
      <c r="AX207" s="193"/>
    </row>
    <row r="208" spans="2:50" ht="13.5" customHeight="1">
      <c r="B208" s="6" t="s">
        <v>184</v>
      </c>
      <c r="AT208" s="27" t="s">
        <v>417</v>
      </c>
      <c r="AV208" s="192">
        <v>5.2</v>
      </c>
      <c r="AX208" s="193">
        <f t="shared" ref="AX208:AX236" si="123">AV208^2</f>
        <v>27.040000000000003</v>
      </c>
    </row>
    <row r="209" spans="2:50" ht="13.5" customHeight="1">
      <c r="B209" s="6" t="s">
        <v>178</v>
      </c>
      <c r="AT209" s="27"/>
      <c r="AV209" s="192">
        <v>2.8</v>
      </c>
      <c r="AX209" s="193">
        <f t="shared" si="123"/>
        <v>7.839999999999999</v>
      </c>
    </row>
    <row r="210" spans="2:50" ht="13.5" customHeight="1">
      <c r="B210" s="6" t="s">
        <v>332</v>
      </c>
      <c r="AT210" s="27"/>
      <c r="AV210" s="192">
        <v>1.4</v>
      </c>
      <c r="AX210" s="193">
        <f t="shared" si="123"/>
        <v>1.9599999999999997</v>
      </c>
    </row>
    <row r="211" spans="2:50" ht="13.5" customHeight="1">
      <c r="B211" s="6" t="s">
        <v>418</v>
      </c>
      <c r="AT211" s="27"/>
      <c r="AV211" s="192">
        <v>0.9</v>
      </c>
      <c r="AX211" s="193">
        <f t="shared" si="123"/>
        <v>0.81</v>
      </c>
    </row>
    <row r="212" spans="2:50" ht="13.5" customHeight="1">
      <c r="B212" s="6" t="s">
        <v>359</v>
      </c>
      <c r="AT212" s="27"/>
      <c r="AV212" s="192">
        <v>0.5</v>
      </c>
      <c r="AX212" s="193">
        <f t="shared" si="123"/>
        <v>0.25</v>
      </c>
    </row>
    <row r="213" spans="2:50" ht="13.5" customHeight="1">
      <c r="B213" s="6" t="s">
        <v>371</v>
      </c>
      <c r="AT213" s="27"/>
      <c r="AV213" s="192">
        <v>0.5</v>
      </c>
      <c r="AX213" s="193">
        <f t="shared" si="123"/>
        <v>0.25</v>
      </c>
    </row>
    <row r="214" spans="2:50" ht="13.5" customHeight="1">
      <c r="B214" s="6" t="s">
        <v>419</v>
      </c>
      <c r="AT214" s="27"/>
      <c r="AV214" s="192">
        <v>0.35699999999999998</v>
      </c>
      <c r="AX214" s="193">
        <f t="shared" si="123"/>
        <v>0.12744899999999998</v>
      </c>
    </row>
    <row r="215" spans="2:50" ht="13.5" customHeight="1">
      <c r="B215" s="6" t="s">
        <v>360</v>
      </c>
      <c r="AT215" s="27"/>
      <c r="AV215" s="192">
        <v>0.4</v>
      </c>
      <c r="AX215" s="193">
        <f t="shared" si="123"/>
        <v>0.16000000000000003</v>
      </c>
    </row>
    <row r="216" spans="2:50" ht="13.5" customHeight="1">
      <c r="B216" s="6" t="s">
        <v>420</v>
      </c>
      <c r="AT216" s="27"/>
      <c r="AV216" s="192">
        <v>0.4</v>
      </c>
      <c r="AX216" s="193">
        <f t="shared" si="123"/>
        <v>0.16000000000000003</v>
      </c>
    </row>
    <row r="217" spans="2:50" ht="13.5" customHeight="1">
      <c r="B217" s="6" t="s">
        <v>316</v>
      </c>
      <c r="AT217" s="27"/>
      <c r="AV217" s="192">
        <v>0.4</v>
      </c>
      <c r="AX217" s="193">
        <f t="shared" si="123"/>
        <v>0.16000000000000003</v>
      </c>
    </row>
    <row r="218" spans="2:50" ht="13.5" customHeight="1">
      <c r="B218" s="6" t="s">
        <v>421</v>
      </c>
      <c r="AT218" s="27"/>
      <c r="AV218" s="192">
        <v>0.3</v>
      </c>
      <c r="AX218" s="193">
        <f t="shared" si="123"/>
        <v>0.09</v>
      </c>
    </row>
    <row r="219" spans="2:50" ht="13.5" customHeight="1">
      <c r="B219" s="6" t="s">
        <v>422</v>
      </c>
      <c r="AT219" s="27"/>
      <c r="AV219" s="192">
        <v>0.2</v>
      </c>
      <c r="AX219" s="193">
        <f t="shared" si="123"/>
        <v>4.0000000000000008E-2</v>
      </c>
    </row>
    <row r="220" spans="2:50" ht="13.5" customHeight="1">
      <c r="B220" s="6" t="s">
        <v>423</v>
      </c>
      <c r="AT220" s="27"/>
      <c r="AV220" s="192">
        <v>0.2</v>
      </c>
      <c r="AX220" s="193">
        <f t="shared" si="123"/>
        <v>4.0000000000000008E-2</v>
      </c>
    </row>
    <row r="221" spans="2:50" ht="13.5" customHeight="1">
      <c r="B221" s="6" t="s">
        <v>374</v>
      </c>
      <c r="AT221" s="27"/>
      <c r="AV221" s="192">
        <v>0.1</v>
      </c>
      <c r="AX221" s="193">
        <f t="shared" si="123"/>
        <v>1.0000000000000002E-2</v>
      </c>
    </row>
    <row r="222" spans="2:50" ht="13.5" customHeight="1">
      <c r="B222" s="6" t="s">
        <v>424</v>
      </c>
      <c r="AT222" s="27"/>
      <c r="AV222" s="192">
        <v>0.1</v>
      </c>
      <c r="AX222" s="193">
        <f t="shared" si="123"/>
        <v>1.0000000000000002E-2</v>
      </c>
    </row>
    <row r="223" spans="2:50" ht="13.5" customHeight="1">
      <c r="B223" s="6" t="s">
        <v>370</v>
      </c>
      <c r="AT223" s="27"/>
      <c r="AV223" s="192">
        <v>0.1</v>
      </c>
      <c r="AX223" s="193">
        <f t="shared" si="123"/>
        <v>1.0000000000000002E-2</v>
      </c>
    </row>
    <row r="224" spans="2:50" ht="13.5" customHeight="1">
      <c r="B224" s="6" t="s">
        <v>425</v>
      </c>
      <c r="AT224" s="27"/>
      <c r="AV224" s="192">
        <v>0.1</v>
      </c>
      <c r="AX224" s="193">
        <f t="shared" si="123"/>
        <v>1.0000000000000002E-2</v>
      </c>
    </row>
    <row r="225" spans="2:50" ht="13.5" customHeight="1">
      <c r="B225" s="6" t="s">
        <v>426</v>
      </c>
      <c r="AT225" s="27"/>
      <c r="AV225" s="192">
        <v>0.1</v>
      </c>
      <c r="AX225" s="193">
        <f t="shared" si="123"/>
        <v>1.0000000000000002E-2</v>
      </c>
    </row>
    <row r="226" spans="2:50" ht="13.5" customHeight="1">
      <c r="B226" s="6" t="s">
        <v>372</v>
      </c>
      <c r="AT226" s="27"/>
      <c r="AV226" s="192">
        <v>0.1</v>
      </c>
      <c r="AX226" s="193">
        <f t="shared" si="123"/>
        <v>1.0000000000000002E-2</v>
      </c>
    </row>
    <row r="227" spans="2:50" ht="13.5" customHeight="1">
      <c r="B227" s="6" t="s">
        <v>427</v>
      </c>
      <c r="AT227" s="27"/>
      <c r="AV227" s="192">
        <v>0</v>
      </c>
      <c r="AX227" s="193">
        <f t="shared" si="123"/>
        <v>0</v>
      </c>
    </row>
    <row r="228" spans="2:50" ht="13.5" customHeight="1">
      <c r="B228" s="6" t="s">
        <v>428</v>
      </c>
      <c r="AT228" s="27"/>
      <c r="AV228" s="192">
        <v>0</v>
      </c>
      <c r="AX228" s="193">
        <f t="shared" si="123"/>
        <v>0</v>
      </c>
    </row>
    <row r="229" spans="2:50" ht="13.5" customHeight="1">
      <c r="B229" s="6" t="s">
        <v>429</v>
      </c>
      <c r="AT229" s="27"/>
      <c r="AV229" s="192">
        <v>0</v>
      </c>
      <c r="AX229" s="193">
        <f t="shared" si="123"/>
        <v>0</v>
      </c>
    </row>
    <row r="230" spans="2:50" ht="13.5" customHeight="1">
      <c r="B230" s="6" t="s">
        <v>430</v>
      </c>
      <c r="AT230" s="27"/>
      <c r="AV230" s="192">
        <v>0</v>
      </c>
      <c r="AX230" s="193">
        <f t="shared" si="123"/>
        <v>0</v>
      </c>
    </row>
    <row r="231" spans="2:50" ht="13.5" customHeight="1">
      <c r="B231" s="6" t="s">
        <v>431</v>
      </c>
      <c r="AT231" s="27"/>
      <c r="AV231" s="192">
        <v>0</v>
      </c>
      <c r="AX231" s="193">
        <f t="shared" si="123"/>
        <v>0</v>
      </c>
    </row>
    <row r="232" spans="2:50" ht="13.5" customHeight="1">
      <c r="B232" s="6" t="s">
        <v>432</v>
      </c>
      <c r="AT232" s="27"/>
      <c r="AV232" s="192">
        <v>0</v>
      </c>
      <c r="AX232" s="193">
        <f t="shared" si="123"/>
        <v>0</v>
      </c>
    </row>
    <row r="233" spans="2:50" ht="13.5" customHeight="1">
      <c r="B233" s="6" t="s">
        <v>433</v>
      </c>
      <c r="AT233" s="27"/>
      <c r="AV233" s="192">
        <v>0</v>
      </c>
      <c r="AX233" s="193">
        <f t="shared" si="123"/>
        <v>0</v>
      </c>
    </row>
    <row r="234" spans="2:50" ht="13.5" customHeight="1">
      <c r="B234" s="6" t="s">
        <v>434</v>
      </c>
      <c r="AT234" s="27"/>
      <c r="AV234" s="192">
        <v>0</v>
      </c>
      <c r="AX234" s="193">
        <f t="shared" si="123"/>
        <v>0</v>
      </c>
    </row>
    <row r="235" spans="2:50" ht="13.5" customHeight="1">
      <c r="B235" s="6" t="s">
        <v>435</v>
      </c>
      <c r="AT235" s="27"/>
      <c r="AV235" s="192">
        <v>0</v>
      </c>
      <c r="AX235" s="193">
        <f t="shared" si="123"/>
        <v>0</v>
      </c>
    </row>
    <row r="236" spans="2:50" ht="13.5" customHeight="1">
      <c r="B236" s="6" t="s">
        <v>436</v>
      </c>
      <c r="AT236" s="27"/>
      <c r="AV236" s="192">
        <v>0</v>
      </c>
      <c r="AX236" s="193">
        <f t="shared" si="123"/>
        <v>0</v>
      </c>
    </row>
    <row r="237" spans="2:50" ht="13.5" customHeight="1">
      <c r="B237" s="6" t="s">
        <v>295</v>
      </c>
      <c r="AT237" s="27"/>
      <c r="AV237" s="192">
        <f>SUM(AV179:AV236)</f>
        <v>99.95</v>
      </c>
      <c r="AX237" s="193">
        <f>SUM(AX179:AX236)</f>
        <v>3020.0784980000021</v>
      </c>
    </row>
    <row r="239" spans="2:50" ht="13.5" customHeight="1">
      <c r="B239" s="6" t="s">
        <v>93</v>
      </c>
      <c r="AV239" s="192">
        <f>SUM(AV179:AV188)</f>
        <v>48.100000000000009</v>
      </c>
    </row>
    <row r="240" spans="2:50" ht="13.5" customHeight="1">
      <c r="B240" s="6" t="s">
        <v>45</v>
      </c>
      <c r="AV240" s="192">
        <f>SUM(AV190:AV195)</f>
        <v>23.492999999999999</v>
      </c>
    </row>
    <row r="241" spans="2:48" ht="13.5" customHeight="1">
      <c r="B241" s="6" t="s">
        <v>63</v>
      </c>
      <c r="AV241" s="192">
        <f>SUM(AV197:AV199)</f>
        <v>10.4</v>
      </c>
    </row>
    <row r="242" spans="2:48" ht="13.5" customHeight="1">
      <c r="B242" s="6" t="s">
        <v>253</v>
      </c>
      <c r="AV242" s="192">
        <f>SUM(AV201:AV202)</f>
        <v>1.6</v>
      </c>
    </row>
    <row r="243" spans="2:48" ht="13.5" customHeight="1">
      <c r="B243" s="6" t="s">
        <v>199</v>
      </c>
      <c r="AV243" s="192">
        <f>AV204+AV205+AV206</f>
        <v>2.2000000000000002</v>
      </c>
    </row>
  </sheetData>
  <sortState ref="B156:BQ162">
    <sortCondition descending="1" ref="AW156:AW162"/>
  </sortState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3:Q115"/>
  <sheetViews>
    <sheetView workbookViewId="0">
      <selection activeCell="I45" sqref="I45"/>
    </sheetView>
  </sheetViews>
  <sheetFormatPr defaultRowHeight="12.75"/>
  <cols>
    <col min="1" max="1" width="2.7109375" customWidth="1"/>
    <col min="2" max="2" width="16.7109375" style="45" customWidth="1"/>
    <col min="3" max="3" width="28.7109375" customWidth="1"/>
    <col min="4" max="4" width="18.7109375" hidden="1" customWidth="1"/>
    <col min="5" max="5" width="28.7109375" customWidth="1"/>
    <col min="6" max="6" width="18.7109375" customWidth="1"/>
    <col min="7" max="9" width="14.7109375" style="44" customWidth="1"/>
    <col min="12" max="12" width="12.7109375" style="44" customWidth="1"/>
    <col min="14" max="14" width="12.7109375" style="44" customWidth="1"/>
    <col min="17" max="17" width="9.140625" style="17"/>
  </cols>
  <sheetData>
    <row r="3" spans="2:16">
      <c r="B3" s="51" t="s">
        <v>411</v>
      </c>
      <c r="C3" s="28" t="s">
        <v>410</v>
      </c>
      <c r="D3" s="28" t="s">
        <v>408</v>
      </c>
      <c r="E3" s="28" t="s">
        <v>409</v>
      </c>
      <c r="F3" s="28" t="s">
        <v>408</v>
      </c>
      <c r="G3" s="50" t="s">
        <v>404</v>
      </c>
      <c r="H3" s="50" t="s">
        <v>407</v>
      </c>
      <c r="I3" s="50" t="s">
        <v>406</v>
      </c>
      <c r="L3" s="44" t="s">
        <v>406</v>
      </c>
      <c r="N3" s="44" t="s">
        <v>405</v>
      </c>
      <c r="P3" s="50" t="s">
        <v>404</v>
      </c>
    </row>
    <row r="4" spans="2:16" ht="13.5" thickBot="1">
      <c r="B4" s="47" t="s">
        <v>403</v>
      </c>
      <c r="C4" s="7"/>
      <c r="D4" s="7"/>
      <c r="E4" s="7"/>
      <c r="F4" s="7"/>
      <c r="G4" s="46" t="s">
        <v>402</v>
      </c>
      <c r="H4" s="46"/>
      <c r="I4" s="46" t="s">
        <v>402</v>
      </c>
      <c r="L4" s="44" t="s">
        <v>401</v>
      </c>
      <c r="P4" s="46" t="s">
        <v>401</v>
      </c>
    </row>
    <row r="5" spans="2:16" ht="3.95" customHeight="1">
      <c r="B5" s="53"/>
      <c r="C5" s="2"/>
      <c r="D5" s="2"/>
      <c r="E5" s="2"/>
      <c r="F5" s="2"/>
      <c r="G5" s="52"/>
      <c r="H5" s="52"/>
      <c r="I5" s="52"/>
      <c r="P5" s="52"/>
    </row>
    <row r="6" spans="2:16">
      <c r="B6" s="55" t="s">
        <v>400</v>
      </c>
      <c r="C6" s="2" t="s">
        <v>399</v>
      </c>
      <c r="D6" s="2"/>
      <c r="E6" s="2" t="s">
        <v>46</v>
      </c>
      <c r="F6" s="2" t="s">
        <v>201</v>
      </c>
      <c r="G6" s="52">
        <f t="shared" ref="G6:G21" si="0">ROUND(I6/L6*P6/1000,2)*1000</f>
        <v>570</v>
      </c>
      <c r="H6" s="52">
        <v>2100</v>
      </c>
      <c r="I6" s="52">
        <f>ROUND(L6*C115/C82/1000000,2)*1000000</f>
        <v>270000</v>
      </c>
      <c r="L6" s="44">
        <v>114000</v>
      </c>
      <c r="P6" s="52">
        <v>240</v>
      </c>
    </row>
    <row r="7" spans="2:16">
      <c r="B7" s="54">
        <v>32263</v>
      </c>
      <c r="C7" s="2" t="s">
        <v>398</v>
      </c>
      <c r="D7" s="2"/>
      <c r="E7" s="2" t="s">
        <v>185</v>
      </c>
      <c r="F7" s="2" t="s">
        <v>200</v>
      </c>
      <c r="G7" s="52">
        <f t="shared" si="0"/>
        <v>1150</v>
      </c>
      <c r="H7" s="52">
        <v>7640</v>
      </c>
      <c r="I7" s="52">
        <f>ROUND(L7*C115/C87/1000000,2)*1000000</f>
        <v>150000</v>
      </c>
      <c r="L7" s="44">
        <f>P7/H7*1000000</f>
        <v>73429.319371727746</v>
      </c>
      <c r="P7" s="52">
        <v>561</v>
      </c>
    </row>
    <row r="8" spans="2:16">
      <c r="B8" s="55">
        <v>32352</v>
      </c>
      <c r="C8" s="2" t="s">
        <v>397</v>
      </c>
      <c r="D8" s="2"/>
      <c r="E8" s="2" t="s">
        <v>151</v>
      </c>
      <c r="F8" s="2" t="s">
        <v>200</v>
      </c>
      <c r="G8" s="52">
        <f t="shared" si="0"/>
        <v>410</v>
      </c>
      <c r="H8" s="52">
        <f>P8/L8*1000000</f>
        <v>2952.0087716832072</v>
      </c>
      <c r="I8" s="52">
        <f>ROUND(L8*C115/C87/1000000,2)*1000000</f>
        <v>140000</v>
      </c>
      <c r="L8" s="44">
        <v>71138</v>
      </c>
      <c r="P8" s="52">
        <v>210</v>
      </c>
    </row>
    <row r="9" spans="2:16">
      <c r="B9" s="58" t="s">
        <v>396</v>
      </c>
      <c r="C9" s="31" t="s">
        <v>192</v>
      </c>
      <c r="D9" s="31"/>
      <c r="E9" s="31" t="s">
        <v>71</v>
      </c>
      <c r="F9" s="31" t="s">
        <v>201</v>
      </c>
      <c r="G9" s="56">
        <f t="shared" si="0"/>
        <v>1080</v>
      </c>
      <c r="H9" s="56">
        <v>4500</v>
      </c>
      <c r="I9" s="56">
        <f>ROUND(L9*C115/C88/1000000,2)*1000000</f>
        <v>240000</v>
      </c>
      <c r="L9" s="44">
        <f>P9/H9*1000000</f>
        <v>126888.88888888889</v>
      </c>
      <c r="P9" s="56">
        <v>571</v>
      </c>
    </row>
    <row r="10" spans="2:16">
      <c r="B10" s="54">
        <v>33344</v>
      </c>
      <c r="C10" s="2" t="s">
        <v>395</v>
      </c>
      <c r="D10" s="2"/>
      <c r="E10" s="2" t="s">
        <v>71</v>
      </c>
      <c r="F10" s="2" t="s">
        <v>394</v>
      </c>
      <c r="G10" s="52">
        <f t="shared" si="0"/>
        <v>650</v>
      </c>
      <c r="H10" s="52">
        <v>2950</v>
      </c>
      <c r="I10" s="52">
        <f>ROUND(L10*C115/C90/1000000,2)*1000000</f>
        <v>220000</v>
      </c>
      <c r="L10" s="44">
        <f>P10/H10*1000000</f>
        <v>126101.69491525425</v>
      </c>
      <c r="P10" s="52">
        <v>372</v>
      </c>
    </row>
    <row r="11" spans="2:16">
      <c r="B11" s="55" t="s">
        <v>393</v>
      </c>
      <c r="C11" s="2" t="s">
        <v>111</v>
      </c>
      <c r="D11" s="2"/>
      <c r="E11" s="2" t="s">
        <v>71</v>
      </c>
      <c r="F11" s="2" t="s">
        <v>202</v>
      </c>
      <c r="G11" s="52">
        <f t="shared" si="0"/>
        <v>170</v>
      </c>
      <c r="H11" s="52">
        <f>204*2</f>
        <v>408</v>
      </c>
      <c r="I11" s="52">
        <f>ROUND(L11*C115/C91/1000000,2)*1000000</f>
        <v>420000</v>
      </c>
      <c r="L11" s="44">
        <v>245000</v>
      </c>
      <c r="P11" s="52">
        <f>L11*H11/1000000</f>
        <v>99.96</v>
      </c>
    </row>
    <row r="12" spans="2:16">
      <c r="B12" s="54">
        <v>35598</v>
      </c>
      <c r="C12" s="2" t="s">
        <v>392</v>
      </c>
      <c r="D12" s="2" t="s">
        <v>201</v>
      </c>
      <c r="E12" s="2" t="s">
        <v>185</v>
      </c>
      <c r="F12" s="2" t="s">
        <v>201</v>
      </c>
      <c r="G12" s="52">
        <f t="shared" si="0"/>
        <v>770</v>
      </c>
      <c r="H12" s="52">
        <v>3200</v>
      </c>
      <c r="I12" s="52">
        <f>ROUND(L12*C115/C96/1000000,2)*1000000</f>
        <v>240000</v>
      </c>
      <c r="L12" s="44">
        <f>P12/H12*1000000</f>
        <v>160937.5</v>
      </c>
      <c r="P12" s="52">
        <v>515</v>
      </c>
    </row>
    <row r="13" spans="2:16">
      <c r="B13" s="58" t="s">
        <v>391</v>
      </c>
      <c r="C13" s="31" t="s">
        <v>390</v>
      </c>
      <c r="D13" s="31"/>
      <c r="E13" s="31" t="s">
        <v>71</v>
      </c>
      <c r="F13" s="31" t="s">
        <v>201</v>
      </c>
      <c r="G13" s="56">
        <f t="shared" si="0"/>
        <v>1020</v>
      </c>
      <c r="H13" s="56">
        <v>4860</v>
      </c>
      <c r="I13" s="56">
        <f>ROUND(L13*C115/C97/1000000,2)*1000000</f>
        <v>210000</v>
      </c>
      <c r="L13" s="44">
        <v>144802</v>
      </c>
      <c r="P13" s="56">
        <f>500+205</f>
        <v>705</v>
      </c>
    </row>
    <row r="14" spans="2:16">
      <c r="B14" s="55">
        <v>36769</v>
      </c>
      <c r="C14" s="2" t="s">
        <v>389</v>
      </c>
      <c r="D14" s="2"/>
      <c r="E14" s="2" t="s">
        <v>71</v>
      </c>
      <c r="F14" s="2" t="s">
        <v>200</v>
      </c>
      <c r="G14" s="52">
        <f t="shared" si="0"/>
        <v>930</v>
      </c>
      <c r="H14" s="52">
        <v>4900</v>
      </c>
      <c r="I14" s="52">
        <f>ROUND(L14*C115/C99/1000000,2)*1000000</f>
        <v>190000</v>
      </c>
      <c r="L14" s="44">
        <v>134960</v>
      </c>
      <c r="P14" s="52">
        <f>525+137.5</f>
        <v>662.5</v>
      </c>
    </row>
    <row r="15" spans="2:16">
      <c r="B15" s="55">
        <v>36880</v>
      </c>
      <c r="C15" s="2" t="s">
        <v>46</v>
      </c>
      <c r="D15" s="2"/>
      <c r="E15" s="2" t="s">
        <v>388</v>
      </c>
      <c r="F15" s="2" t="s">
        <v>200</v>
      </c>
      <c r="G15" s="52">
        <f t="shared" si="0"/>
        <v>2500</v>
      </c>
      <c r="H15" s="52">
        <f>P15/L15*1000000</f>
        <v>12500</v>
      </c>
      <c r="I15" s="52">
        <f>ROUND(L15*C115/C99/1000000,2)*1000000</f>
        <v>200000</v>
      </c>
      <c r="L15" s="44">
        <v>144000</v>
      </c>
      <c r="P15" s="52">
        <v>1800</v>
      </c>
    </row>
    <row r="16" spans="2:16">
      <c r="B16" s="55" t="s">
        <v>387</v>
      </c>
      <c r="C16" s="2" t="s">
        <v>386</v>
      </c>
      <c r="D16" s="2"/>
      <c r="E16" s="2" t="s">
        <v>71</v>
      </c>
      <c r="F16" s="2" t="s">
        <v>200</v>
      </c>
      <c r="G16" s="52">
        <f t="shared" si="0"/>
        <v>6890</v>
      </c>
      <c r="H16" s="52">
        <v>34428</v>
      </c>
      <c r="I16" s="52">
        <f>ROUND(L16*C115/C102/1000000,2)*1000000</f>
        <v>200000</v>
      </c>
      <c r="L16" s="44">
        <f t="shared" ref="L16:L21" si="1">P16/H16*1000000</f>
        <v>156558.61508074822</v>
      </c>
      <c r="P16" s="52">
        <v>5390</v>
      </c>
    </row>
    <row r="17" spans="2:16">
      <c r="B17" s="57">
        <v>38960</v>
      </c>
      <c r="C17" s="31" t="s">
        <v>385</v>
      </c>
      <c r="D17" s="31" t="s">
        <v>384</v>
      </c>
      <c r="E17" s="31" t="s">
        <v>185</v>
      </c>
      <c r="F17" s="31" t="s">
        <v>200</v>
      </c>
      <c r="G17" s="56">
        <f t="shared" si="0"/>
        <v>1080</v>
      </c>
      <c r="H17" s="56">
        <v>4500</v>
      </c>
      <c r="I17" s="56">
        <f>ROUND(C115/C105*L17/1000000,2)*1000000</f>
        <v>240000</v>
      </c>
      <c r="L17" s="44">
        <f t="shared" si="1"/>
        <v>199111.11111111109</v>
      </c>
      <c r="P17" s="56">
        <f>(430+270)*1.28</f>
        <v>896</v>
      </c>
    </row>
    <row r="18" spans="2:16">
      <c r="B18" s="54">
        <v>41884</v>
      </c>
      <c r="C18" s="2" t="s">
        <v>383</v>
      </c>
      <c r="D18" s="2" t="s">
        <v>382</v>
      </c>
      <c r="E18" s="2" t="s">
        <v>46</v>
      </c>
      <c r="F18" s="2" t="s">
        <v>382</v>
      </c>
      <c r="G18" s="52">
        <f t="shared" si="0"/>
        <v>3090</v>
      </c>
      <c r="H18" s="52">
        <v>6442</v>
      </c>
      <c r="I18" s="52">
        <f>ROUND(L18*C115/C113/1000000,2)*1000000</f>
        <v>480000</v>
      </c>
      <c r="L18" s="44">
        <f t="shared" si="1"/>
        <v>469574.66625271656</v>
      </c>
      <c r="N18" s="17">
        <v>12.2</v>
      </c>
      <c r="P18" s="52">
        <v>3025</v>
      </c>
    </row>
    <row r="19" spans="2:16">
      <c r="B19" s="55">
        <v>42004</v>
      </c>
      <c r="C19" s="2" t="s">
        <v>381</v>
      </c>
      <c r="D19" s="2"/>
      <c r="E19" s="2" t="s">
        <v>363</v>
      </c>
      <c r="F19" s="2" t="s">
        <v>361</v>
      </c>
      <c r="G19" s="52">
        <f t="shared" si="0"/>
        <v>870</v>
      </c>
      <c r="H19" s="52">
        <f>628+318+622+400+400+500+622+623+623+290+619+623+335+822+516</f>
        <v>7941</v>
      </c>
      <c r="I19" s="52">
        <f>ROUND(L19*C115/C113/1000000,2)*1000000</f>
        <v>110000</v>
      </c>
      <c r="L19" s="44">
        <f t="shared" si="1"/>
        <v>111320.99231834781</v>
      </c>
      <c r="O19">
        <v>308000</v>
      </c>
      <c r="P19" s="52">
        <v>884</v>
      </c>
    </row>
    <row r="20" spans="2:16">
      <c r="B20" s="55">
        <v>42066</v>
      </c>
      <c r="C20" s="2" t="s">
        <v>380</v>
      </c>
      <c r="D20" s="2" t="s">
        <v>202</v>
      </c>
      <c r="E20" s="2" t="s">
        <v>379</v>
      </c>
      <c r="F20" s="2" t="s">
        <v>202</v>
      </c>
      <c r="G20" s="52">
        <f t="shared" si="0"/>
        <v>560</v>
      </c>
      <c r="H20" s="52">
        <v>1992</v>
      </c>
      <c r="I20" s="52">
        <f>ROUND(C115/C114*L20/1000000,2)*1000000</f>
        <v>280000</v>
      </c>
      <c r="L20" s="44">
        <f t="shared" si="1"/>
        <v>276104.41767068271</v>
      </c>
      <c r="P20" s="52">
        <v>550</v>
      </c>
    </row>
    <row r="21" spans="2:16">
      <c r="B21" s="54">
        <v>42212</v>
      </c>
      <c r="C21" s="2" t="s">
        <v>378</v>
      </c>
      <c r="D21" s="2" t="s">
        <v>202</v>
      </c>
      <c r="E21" s="2" t="s">
        <v>377</v>
      </c>
      <c r="F21" s="2" t="s">
        <v>202</v>
      </c>
      <c r="G21" s="52">
        <f t="shared" si="0"/>
        <v>450</v>
      </c>
      <c r="H21" s="52">
        <v>560</v>
      </c>
      <c r="I21" s="52">
        <f>ROUND(L21*C115/C114/1000000,2)*1000000</f>
        <v>800000</v>
      </c>
      <c r="L21" s="44">
        <f t="shared" si="1"/>
        <v>783250</v>
      </c>
      <c r="P21" s="52">
        <v>438.62</v>
      </c>
    </row>
    <row r="22" spans="2:16" ht="3.95" customHeight="1">
      <c r="B22" s="53"/>
      <c r="C22" s="2"/>
      <c r="D22" s="2"/>
      <c r="E22" s="2"/>
      <c r="F22" s="2"/>
      <c r="G22" s="52"/>
      <c r="H22" s="52"/>
      <c r="I22" s="52"/>
      <c r="P22" s="52"/>
    </row>
    <row r="23" spans="2:16">
      <c r="B23" s="51"/>
      <c r="C23" s="28" t="s">
        <v>200</v>
      </c>
      <c r="D23" s="28"/>
      <c r="E23" s="28"/>
      <c r="F23" s="28"/>
      <c r="G23" s="50">
        <f>AVERAGE(G7,G8,G10,G14,G15,G16,G17)</f>
        <v>1944.2857142857142</v>
      </c>
      <c r="H23" s="50">
        <f>AVERAGE(H7,H8,H10,H14,H15,H16,H17)</f>
        <v>9981.4298245261725</v>
      </c>
      <c r="I23" s="50">
        <f>ROUND(G23/H23,2)*1000000</f>
        <v>190000</v>
      </c>
      <c r="P23" s="50"/>
    </row>
    <row r="24" spans="2:16">
      <c r="B24" s="49"/>
      <c r="C24" s="1" t="s">
        <v>201</v>
      </c>
      <c r="D24" s="1"/>
      <c r="E24" s="1"/>
      <c r="F24" s="1"/>
      <c r="G24" s="48">
        <f>AVERAGE(G6,G9,G12,G13,G18)</f>
        <v>1306</v>
      </c>
      <c r="H24" s="48">
        <f>AVERAGE(H6,H9,H12,H13,H18)</f>
        <v>4220.3999999999996</v>
      </c>
      <c r="I24" s="48">
        <f>ROUND(G24/H24,2)*1000000</f>
        <v>310000</v>
      </c>
      <c r="P24" s="48"/>
    </row>
    <row r="25" spans="2:16" ht="13.5" thickBot="1">
      <c r="B25" s="47"/>
      <c r="C25" s="7" t="s">
        <v>202</v>
      </c>
      <c r="D25" s="7"/>
      <c r="E25" s="7"/>
      <c r="F25" s="7"/>
      <c r="G25" s="46">
        <f>AVERAGE(G11,G18,G20,G21)</f>
        <v>1067.5</v>
      </c>
      <c r="H25" s="46">
        <f>AVERAGE(H11,H18,H20,H21)</f>
        <v>2350.5</v>
      </c>
      <c r="I25" s="46">
        <f>ROUND(G25/H25,2)*1000000</f>
        <v>450000</v>
      </c>
      <c r="P25" s="46"/>
    </row>
    <row r="53" spans="2:5">
      <c r="C53" t="s">
        <v>376</v>
      </c>
      <c r="E53" t="s">
        <v>375</v>
      </c>
    </row>
    <row r="58" spans="2:5">
      <c r="B58" t="s">
        <v>213</v>
      </c>
      <c r="C58" s="17" t="s">
        <v>214</v>
      </c>
    </row>
    <row r="59" spans="2:5">
      <c r="B59">
        <v>1960</v>
      </c>
      <c r="C59" s="17">
        <v>29.8</v>
      </c>
    </row>
    <row r="60" spans="2:5">
      <c r="B60">
        <v>1961</v>
      </c>
      <c r="C60" s="17">
        <v>30</v>
      </c>
    </row>
    <row r="61" spans="2:5">
      <c r="B61">
        <v>1962</v>
      </c>
      <c r="C61" s="17">
        <v>30.4</v>
      </c>
    </row>
    <row r="62" spans="2:5">
      <c r="B62">
        <v>1963</v>
      </c>
      <c r="C62" s="17">
        <v>30.9</v>
      </c>
    </row>
    <row r="63" spans="2:5">
      <c r="B63">
        <v>1964</v>
      </c>
      <c r="C63" s="17">
        <v>31.2</v>
      </c>
    </row>
    <row r="64" spans="2:5">
      <c r="B64">
        <v>1965</v>
      </c>
      <c r="C64" s="17">
        <v>31.8</v>
      </c>
    </row>
    <row r="65" spans="2:3">
      <c r="B65">
        <v>1966</v>
      </c>
      <c r="C65" s="17">
        <v>32.9</v>
      </c>
    </row>
    <row r="66" spans="2:3">
      <c r="B66">
        <v>1967</v>
      </c>
      <c r="C66" s="17">
        <v>33.9</v>
      </c>
    </row>
    <row r="67" spans="2:3">
      <c r="B67">
        <v>1968</v>
      </c>
      <c r="C67" s="17">
        <v>35.5</v>
      </c>
    </row>
    <row r="68" spans="2:3">
      <c r="B68">
        <v>1969</v>
      </c>
      <c r="C68" s="17">
        <v>37.700000000000003</v>
      </c>
    </row>
    <row r="69" spans="2:3">
      <c r="B69">
        <v>1970</v>
      </c>
      <c r="C69" s="17">
        <v>39.799999999999997</v>
      </c>
    </row>
    <row r="70" spans="2:3">
      <c r="B70">
        <v>1971</v>
      </c>
      <c r="C70" s="17">
        <v>41.1</v>
      </c>
    </row>
    <row r="71" spans="2:3">
      <c r="B71">
        <v>1972</v>
      </c>
      <c r="C71" s="17">
        <v>42.5</v>
      </c>
    </row>
    <row r="72" spans="2:3">
      <c r="B72">
        <v>1973</v>
      </c>
      <c r="C72" s="17">
        <v>46.2</v>
      </c>
    </row>
    <row r="73" spans="2:3">
      <c r="B73">
        <v>1974</v>
      </c>
      <c r="C73" s="17">
        <v>51.9</v>
      </c>
    </row>
    <row r="74" spans="2:3">
      <c r="B74">
        <v>1975</v>
      </c>
      <c r="C74" s="17">
        <v>55.5</v>
      </c>
    </row>
    <row r="75" spans="2:3">
      <c r="B75">
        <v>1976</v>
      </c>
      <c r="C75" s="17">
        <v>58.2</v>
      </c>
    </row>
    <row r="76" spans="2:3">
      <c r="B76">
        <v>1977</v>
      </c>
      <c r="C76" s="17">
        <v>62.1</v>
      </c>
    </row>
    <row r="77" spans="2:3">
      <c r="B77">
        <v>1978</v>
      </c>
      <c r="C77" s="17">
        <v>67.7</v>
      </c>
    </row>
    <row r="78" spans="2:3">
      <c r="B78">
        <v>1979</v>
      </c>
      <c r="C78" s="17">
        <v>76.7</v>
      </c>
    </row>
    <row r="79" spans="2:3">
      <c r="B79">
        <v>1980</v>
      </c>
      <c r="C79" s="17">
        <v>86.3</v>
      </c>
    </row>
    <row r="80" spans="2:3">
      <c r="B80">
        <v>1981</v>
      </c>
      <c r="C80" s="17">
        <v>94</v>
      </c>
    </row>
    <row r="81" spans="2:3">
      <c r="B81">
        <v>1982</v>
      </c>
      <c r="C81" s="17">
        <v>97.6</v>
      </c>
    </row>
    <row r="82" spans="2:3">
      <c r="B82">
        <v>1983</v>
      </c>
      <c r="C82" s="17">
        <v>101.3</v>
      </c>
    </row>
    <row r="83" spans="2:3">
      <c r="B83">
        <v>1984</v>
      </c>
      <c r="C83" s="17">
        <v>105.3</v>
      </c>
    </row>
    <row r="84" spans="2:3">
      <c r="B84">
        <v>1985</v>
      </c>
      <c r="C84" s="17">
        <v>109.3</v>
      </c>
    </row>
    <row r="85" spans="2:3">
      <c r="B85">
        <v>1986</v>
      </c>
      <c r="C85" s="17">
        <v>110.5</v>
      </c>
    </row>
    <row r="86" spans="2:3">
      <c r="B86">
        <v>1987</v>
      </c>
      <c r="C86" s="17">
        <v>115.4</v>
      </c>
    </row>
    <row r="87" spans="2:3">
      <c r="B87">
        <v>1988</v>
      </c>
      <c r="C87" s="17">
        <v>120.5</v>
      </c>
    </row>
    <row r="88" spans="2:3">
      <c r="B88">
        <v>1989</v>
      </c>
      <c r="C88" s="17">
        <v>126.1</v>
      </c>
    </row>
    <row r="89" spans="2:3">
      <c r="B89">
        <v>1990</v>
      </c>
      <c r="C89" s="17">
        <v>133.80000000000001</v>
      </c>
    </row>
    <row r="90" spans="2:3">
      <c r="B90">
        <v>1991</v>
      </c>
      <c r="C90" s="17">
        <v>137.9</v>
      </c>
    </row>
    <row r="91" spans="2:3">
      <c r="B91">
        <v>1992</v>
      </c>
      <c r="C91" s="17">
        <v>141.9</v>
      </c>
    </row>
    <row r="92" spans="2:3">
      <c r="B92">
        <v>1993</v>
      </c>
      <c r="C92" s="17">
        <v>145.80000000000001</v>
      </c>
    </row>
    <row r="93" spans="2:3">
      <c r="B93">
        <v>1994</v>
      </c>
      <c r="C93" s="17">
        <v>149.69999999999999</v>
      </c>
    </row>
    <row r="94" spans="2:3">
      <c r="B94">
        <v>1995</v>
      </c>
      <c r="C94" s="17">
        <v>153.5</v>
      </c>
    </row>
    <row r="95" spans="2:3">
      <c r="B95">
        <v>1996</v>
      </c>
      <c r="C95" s="17">
        <v>158.6</v>
      </c>
    </row>
    <row r="96" spans="2:3">
      <c r="B96">
        <v>1997</v>
      </c>
      <c r="C96" s="17">
        <v>161.30000000000001</v>
      </c>
    </row>
    <row r="97" spans="2:3">
      <c r="B97">
        <v>1998</v>
      </c>
      <c r="C97" s="17">
        <v>163.9</v>
      </c>
    </row>
    <row r="98" spans="2:3">
      <c r="B98">
        <v>1999</v>
      </c>
      <c r="C98" s="17">
        <v>168.3</v>
      </c>
    </row>
    <row r="99" spans="2:3">
      <c r="B99">
        <v>2000</v>
      </c>
      <c r="C99" s="17">
        <v>174</v>
      </c>
    </row>
    <row r="100" spans="2:3">
      <c r="B100">
        <v>2001</v>
      </c>
      <c r="C100" s="17">
        <v>176.7</v>
      </c>
    </row>
    <row r="101" spans="2:3">
      <c r="B101">
        <v>2002</v>
      </c>
      <c r="C101" s="17">
        <v>180.9</v>
      </c>
    </row>
    <row r="102" spans="2:3">
      <c r="B102">
        <v>2003</v>
      </c>
      <c r="C102" s="17">
        <v>184.3</v>
      </c>
    </row>
    <row r="103" spans="2:3">
      <c r="B103">
        <v>2004</v>
      </c>
      <c r="C103" s="17">
        <v>190.3</v>
      </c>
    </row>
    <row r="104" spans="2:3">
      <c r="B104">
        <v>2005</v>
      </c>
      <c r="C104" s="17">
        <v>196.8</v>
      </c>
    </row>
    <row r="105" spans="2:3">
      <c r="B105">
        <v>2006</v>
      </c>
      <c r="C105" s="17">
        <v>201.8</v>
      </c>
    </row>
    <row r="106" spans="2:3">
      <c r="B106">
        <v>2007</v>
      </c>
      <c r="C106" s="17">
        <v>210</v>
      </c>
    </row>
    <row r="107" spans="2:3">
      <c r="B107">
        <v>2008</v>
      </c>
      <c r="C107" s="17">
        <v>210.22800000000001</v>
      </c>
    </row>
    <row r="108" spans="2:3">
      <c r="B108">
        <v>2009</v>
      </c>
      <c r="C108" s="17">
        <v>215.94900000000001</v>
      </c>
    </row>
    <row r="109" spans="2:3">
      <c r="B109">
        <v>2010</v>
      </c>
      <c r="C109" s="17">
        <v>219.179</v>
      </c>
    </row>
    <row r="110" spans="2:3">
      <c r="B110">
        <v>2011</v>
      </c>
      <c r="C110" s="17">
        <v>225.672</v>
      </c>
    </row>
    <row r="111" spans="2:3">
      <c r="B111">
        <v>2012</v>
      </c>
      <c r="C111" s="17">
        <v>229.601</v>
      </c>
    </row>
    <row r="112" spans="2:3">
      <c r="B112">
        <v>2013</v>
      </c>
      <c r="C112" s="17">
        <v>233.04900000000001</v>
      </c>
    </row>
    <row r="113" spans="2:3">
      <c r="B113">
        <v>2014</v>
      </c>
      <c r="C113" s="17">
        <v>234.81200000000001</v>
      </c>
    </row>
    <row r="114" spans="2:3">
      <c r="B114">
        <v>2015</v>
      </c>
      <c r="C114" s="17">
        <v>236.52500000000001</v>
      </c>
    </row>
    <row r="115" spans="2:3">
      <c r="B115">
        <v>2016</v>
      </c>
      <c r="C115" s="17">
        <v>240.64699999999999</v>
      </c>
    </row>
  </sheetData>
  <conditionalFormatting sqref="I6:I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C390"/>
  <sheetViews>
    <sheetView topLeftCell="A193" zoomScale="70" zoomScaleNormal="70" workbookViewId="0">
      <selection activeCell="B374" sqref="B374"/>
    </sheetView>
  </sheetViews>
  <sheetFormatPr defaultRowHeight="12.75"/>
  <cols>
    <col min="1" max="1" width="2.7109375" customWidth="1"/>
    <col min="2" max="2" width="16.7109375" customWidth="1"/>
  </cols>
  <sheetData>
    <row r="3" spans="2:18">
      <c r="B3" t="s">
        <v>686</v>
      </c>
      <c r="O3" t="s">
        <v>687</v>
      </c>
    </row>
    <row r="5" spans="2:18">
      <c r="P5" s="18" t="s">
        <v>645</v>
      </c>
      <c r="Q5" s="18" t="s">
        <v>300</v>
      </c>
    </row>
    <row r="6" spans="2:18">
      <c r="O6">
        <v>2012</v>
      </c>
      <c r="P6" s="64">
        <v>216700</v>
      </c>
      <c r="Q6">
        <v>26511</v>
      </c>
      <c r="R6" s="64">
        <f>P6+Q6</f>
        <v>243211</v>
      </c>
    </row>
    <row r="7" spans="2:18">
      <c r="O7">
        <v>2013</v>
      </c>
      <c r="P7" s="64">
        <v>466781</v>
      </c>
      <c r="Q7">
        <v>36102</v>
      </c>
      <c r="R7" s="64">
        <f t="shared" ref="R7:R9" si="0">P7+Q7</f>
        <v>502883</v>
      </c>
    </row>
    <row r="8" spans="2:18">
      <c r="O8">
        <v>2014</v>
      </c>
      <c r="P8" s="64">
        <v>703351</v>
      </c>
      <c r="Q8">
        <v>81866</v>
      </c>
      <c r="R8" s="64">
        <f t="shared" si="0"/>
        <v>785217</v>
      </c>
    </row>
    <row r="9" spans="2:18">
      <c r="O9">
        <v>2015</v>
      </c>
      <c r="P9" s="64">
        <v>986346</v>
      </c>
      <c r="Q9">
        <v>126822</v>
      </c>
      <c r="R9" s="64">
        <f t="shared" si="0"/>
        <v>1113168</v>
      </c>
    </row>
    <row r="10" spans="2:18">
      <c r="O10" t="s">
        <v>689</v>
      </c>
      <c r="R10">
        <v>1779000</v>
      </c>
    </row>
    <row r="11" spans="2:18">
      <c r="O11" t="s">
        <v>479</v>
      </c>
      <c r="R11">
        <v>2402000</v>
      </c>
    </row>
    <row r="12" spans="2:18">
      <c r="O12" t="s">
        <v>480</v>
      </c>
      <c r="R12">
        <v>3123000</v>
      </c>
    </row>
    <row r="13" spans="2:18">
      <c r="O13" t="s">
        <v>482</v>
      </c>
      <c r="R13">
        <v>3747000</v>
      </c>
    </row>
    <row r="14" spans="2:18">
      <c r="O14" t="s">
        <v>485</v>
      </c>
      <c r="R14">
        <v>4497000</v>
      </c>
    </row>
    <row r="16" spans="2:18">
      <c r="O16">
        <f>O7</f>
        <v>2013</v>
      </c>
      <c r="P16" s="29">
        <f>P7/P6-1</f>
        <v>1.1540424550069219</v>
      </c>
      <c r="Q16" s="29">
        <f>Q7/Q6-1</f>
        <v>0.36177435781373779</v>
      </c>
      <c r="R16" s="29">
        <f>R7/R6-1</f>
        <v>1.0676819716213495</v>
      </c>
    </row>
    <row r="17" spans="2:18">
      <c r="O17">
        <f>O8</f>
        <v>2014</v>
      </c>
      <c r="P17" s="29">
        <f>P8/P7-1</f>
        <v>0.50681154545707741</v>
      </c>
      <c r="Q17" s="29">
        <f>Q8/Q7-1</f>
        <v>1.2676306021827046</v>
      </c>
      <c r="R17" s="29">
        <f t="shared" ref="R17:R23" si="1">R8/R7-1</f>
        <v>0.56143079006448815</v>
      </c>
    </row>
    <row r="18" spans="2:18">
      <c r="O18">
        <f>O9</f>
        <v>2015</v>
      </c>
      <c r="P18" s="29">
        <f>P9/P8-1</f>
        <v>0.40235245275829556</v>
      </c>
      <c r="Q18" s="29">
        <f>Q9/Q8-1</f>
        <v>0.54914127965211446</v>
      </c>
      <c r="R18" s="29">
        <f t="shared" si="1"/>
        <v>0.41765652042683743</v>
      </c>
    </row>
    <row r="19" spans="2:18">
      <c r="O19" t="str">
        <f t="shared" ref="O19:O23" si="2">O10</f>
        <v>2016e</v>
      </c>
      <c r="R19" s="29">
        <f t="shared" si="1"/>
        <v>0.59814152041740321</v>
      </c>
    </row>
    <row r="20" spans="2:18">
      <c r="O20" t="str">
        <f t="shared" si="2"/>
        <v>2017e</v>
      </c>
      <c r="R20" s="29">
        <f t="shared" si="1"/>
        <v>0.35019673974142784</v>
      </c>
    </row>
    <row r="21" spans="2:18">
      <c r="O21" t="str">
        <f t="shared" si="2"/>
        <v>2018e</v>
      </c>
      <c r="R21" s="29">
        <f t="shared" si="1"/>
        <v>0.30016652789342224</v>
      </c>
    </row>
    <row r="22" spans="2:18">
      <c r="O22" t="str">
        <f t="shared" si="2"/>
        <v>2019e</v>
      </c>
      <c r="R22" s="29">
        <f t="shared" si="1"/>
        <v>0.19980787704130654</v>
      </c>
    </row>
    <row r="23" spans="2:18">
      <c r="O23" t="str">
        <f t="shared" si="2"/>
        <v>2020e</v>
      </c>
      <c r="R23" s="29">
        <f t="shared" si="1"/>
        <v>0.20016012810248207</v>
      </c>
    </row>
    <row r="26" spans="2:18">
      <c r="B26" t="s">
        <v>688</v>
      </c>
      <c r="O26" t="s">
        <v>649</v>
      </c>
    </row>
    <row r="28" spans="2:18">
      <c r="B28" t="s">
        <v>219</v>
      </c>
      <c r="C28" s="62">
        <v>11.28</v>
      </c>
      <c r="D28" s="63">
        <f t="shared" ref="D28:D38" si="3">C28/$C$38</f>
        <v>0.48620689655172411</v>
      </c>
      <c r="O28" t="s">
        <v>645</v>
      </c>
      <c r="P28" s="29">
        <v>0.47399999999999998</v>
      </c>
    </row>
    <row r="29" spans="2:18">
      <c r="B29" t="s">
        <v>643</v>
      </c>
      <c r="C29" s="62">
        <v>1.81</v>
      </c>
      <c r="D29" s="63">
        <f t="shared" si="3"/>
        <v>7.8017241379310348E-2</v>
      </c>
      <c r="O29" t="s">
        <v>650</v>
      </c>
      <c r="P29" s="29">
        <v>0.11</v>
      </c>
    </row>
    <row r="30" spans="2:18">
      <c r="B30" t="s">
        <v>640</v>
      </c>
      <c r="C30" s="62">
        <v>1.78</v>
      </c>
      <c r="D30" s="63">
        <f t="shared" si="3"/>
        <v>7.6724137931034483E-2</v>
      </c>
      <c r="O30" t="s">
        <v>651</v>
      </c>
      <c r="P30" s="29">
        <v>8.7999999999999995E-2</v>
      </c>
    </row>
    <row r="31" spans="2:18">
      <c r="B31" t="s">
        <v>210</v>
      </c>
      <c r="C31" s="62">
        <v>1.05</v>
      </c>
      <c r="D31" s="63">
        <f t="shared" si="3"/>
        <v>4.5258620689655173E-2</v>
      </c>
      <c r="O31" t="s">
        <v>652</v>
      </c>
      <c r="P31" s="29">
        <v>8.5999999999999993E-2</v>
      </c>
    </row>
    <row r="32" spans="2:18">
      <c r="B32" t="s">
        <v>644</v>
      </c>
      <c r="C32" s="62">
        <v>0.80900000000000005</v>
      </c>
      <c r="D32" s="63">
        <f t="shared" si="3"/>
        <v>3.487068965517242E-2</v>
      </c>
      <c r="O32" t="s">
        <v>300</v>
      </c>
      <c r="P32" s="29">
        <v>6.0999999999999999E-2</v>
      </c>
    </row>
    <row r="33" spans="2:16">
      <c r="B33" t="s">
        <v>639</v>
      </c>
      <c r="C33" s="62">
        <v>0.72399999999999998</v>
      </c>
      <c r="D33" s="63">
        <f t="shared" si="3"/>
        <v>3.1206896551724136E-2</v>
      </c>
      <c r="O33" t="s">
        <v>653</v>
      </c>
      <c r="P33" s="29">
        <v>0.06</v>
      </c>
    </row>
    <row r="34" spans="2:16">
      <c r="B34" t="s">
        <v>645</v>
      </c>
      <c r="C34" s="62">
        <v>0.98599999999999999</v>
      </c>
      <c r="D34" s="63">
        <f t="shared" si="3"/>
        <v>4.2500000000000003E-2</v>
      </c>
      <c r="O34" t="s">
        <v>654</v>
      </c>
      <c r="P34" s="29">
        <v>0.03</v>
      </c>
    </row>
    <row r="35" spans="2:16">
      <c r="B35" t="s">
        <v>642</v>
      </c>
      <c r="C35" s="62">
        <v>0.61499999999999999</v>
      </c>
      <c r="D35" s="63">
        <f t="shared" si="3"/>
        <v>2.6508620689655173E-2</v>
      </c>
      <c r="O35" t="s">
        <v>655</v>
      </c>
      <c r="P35" s="29">
        <v>1.9E-2</v>
      </c>
    </row>
    <row r="36" spans="2:16">
      <c r="B36" t="s">
        <v>641</v>
      </c>
      <c r="C36" s="62">
        <v>0.46600000000000003</v>
      </c>
      <c r="D36" s="63">
        <f t="shared" si="3"/>
        <v>2.0086206896551728E-2</v>
      </c>
      <c r="O36" t="s">
        <v>656</v>
      </c>
      <c r="P36" s="29">
        <v>1.7000000000000001E-2</v>
      </c>
    </row>
    <row r="37" spans="2:16">
      <c r="B37" t="s">
        <v>361</v>
      </c>
      <c r="C37" s="62">
        <f>C38-SUM(C28:C36)</f>
        <v>3.6799999999999997</v>
      </c>
      <c r="D37" s="63">
        <f t="shared" si="3"/>
        <v>0.1586206896551724</v>
      </c>
      <c r="O37" t="s">
        <v>657</v>
      </c>
      <c r="P37" s="29">
        <v>1.6E-2</v>
      </c>
    </row>
    <row r="38" spans="2:16">
      <c r="B38" t="s">
        <v>295</v>
      </c>
      <c r="C38" s="62">
        <v>23.2</v>
      </c>
      <c r="D38" s="63">
        <f t="shared" si="3"/>
        <v>1</v>
      </c>
      <c r="O38" t="s">
        <v>658</v>
      </c>
      <c r="P38" s="29">
        <v>1.2E-2</v>
      </c>
    </row>
    <row r="39" spans="2:16">
      <c r="O39" t="s">
        <v>659</v>
      </c>
      <c r="P39" s="29">
        <v>8.9999999999999993E-3</v>
      </c>
    </row>
    <row r="40" spans="2:16">
      <c r="B40" t="s">
        <v>463</v>
      </c>
      <c r="C40" s="62">
        <f>C28+C33</f>
        <v>12.004</v>
      </c>
      <c r="D40" s="29">
        <f>D28+D33</f>
        <v>0.51741379310344826</v>
      </c>
      <c r="O40" t="s">
        <v>660</v>
      </c>
      <c r="P40" s="29">
        <v>1.7000000000000001E-2</v>
      </c>
    </row>
    <row r="41" spans="2:16">
      <c r="B41" t="s">
        <v>237</v>
      </c>
      <c r="C41" s="62">
        <f>C30+C29+C32+C35+C36</f>
        <v>5.48</v>
      </c>
      <c r="D41" s="29">
        <f>D30+D29+D32+D35+D36</f>
        <v>0.23620689655172414</v>
      </c>
    </row>
    <row r="42" spans="2:16">
      <c r="B42" t="s">
        <v>361</v>
      </c>
      <c r="C42" s="62">
        <f>C38-C40-C41</f>
        <v>5.7159999999999993</v>
      </c>
      <c r="D42" s="29">
        <f>D38-D40-D41</f>
        <v>0.2463793103448276</v>
      </c>
    </row>
    <row r="47" spans="2:16">
      <c r="B47" t="s">
        <v>646</v>
      </c>
    </row>
    <row r="49" spans="2:3">
      <c r="B49" t="s">
        <v>68</v>
      </c>
      <c r="C49" s="115">
        <v>0.33700000000000002</v>
      </c>
    </row>
    <row r="50" spans="2:3">
      <c r="B50" t="s">
        <v>191</v>
      </c>
      <c r="C50" s="115">
        <v>0.187</v>
      </c>
    </row>
    <row r="51" spans="2:3">
      <c r="B51" t="s">
        <v>537</v>
      </c>
      <c r="C51" s="115">
        <v>0.11600000000000001</v>
      </c>
    </row>
    <row r="52" spans="2:3">
      <c r="B52" t="s">
        <v>188</v>
      </c>
      <c r="C52" s="115">
        <v>9.1999999999999998E-2</v>
      </c>
    </row>
    <row r="53" spans="2:3">
      <c r="B53" t="s">
        <v>538</v>
      </c>
      <c r="C53" s="115">
        <v>6.0999999999999999E-2</v>
      </c>
    </row>
    <row r="54" spans="2:3">
      <c r="B54" t="s">
        <v>535</v>
      </c>
      <c r="C54" s="115">
        <v>4.1000000000000002E-2</v>
      </c>
    </row>
    <row r="55" spans="2:3">
      <c r="B55" t="s">
        <v>536</v>
      </c>
      <c r="C55" s="115">
        <v>2.8000000000000001E-2</v>
      </c>
    </row>
    <row r="56" spans="2:3">
      <c r="B56" t="s">
        <v>417</v>
      </c>
      <c r="C56" s="115">
        <v>0.13800000000000001</v>
      </c>
    </row>
    <row r="68" spans="2:7">
      <c r="B68" t="s">
        <v>647</v>
      </c>
      <c r="G68" t="s">
        <v>648</v>
      </c>
    </row>
    <row r="70" spans="2:7">
      <c r="B70" t="s">
        <v>68</v>
      </c>
      <c r="C70" s="115">
        <v>2.8000000000000001E-2</v>
      </c>
    </row>
    <row r="71" spans="2:7">
      <c r="B71" t="s">
        <v>191</v>
      </c>
      <c r="C71" s="115">
        <v>0.02</v>
      </c>
    </row>
    <row r="72" spans="2:7">
      <c r="B72" t="s">
        <v>537</v>
      </c>
      <c r="C72" s="115">
        <v>8.6999999999999994E-2</v>
      </c>
    </row>
    <row r="73" spans="2:7">
      <c r="B73" t="s">
        <v>188</v>
      </c>
      <c r="C73" s="115">
        <v>0.32900000000000001</v>
      </c>
    </row>
    <row r="74" spans="2:7">
      <c r="B74" t="s">
        <v>538</v>
      </c>
      <c r="C74" s="115">
        <v>0.192</v>
      </c>
    </row>
    <row r="75" spans="2:7">
      <c r="B75" t="s">
        <v>535</v>
      </c>
      <c r="C75" s="115">
        <v>1.7000000000000001E-2</v>
      </c>
    </row>
    <row r="76" spans="2:7">
      <c r="B76" t="s">
        <v>536</v>
      </c>
      <c r="C76" s="115">
        <v>5.2999999999999999E-2</v>
      </c>
    </row>
    <row r="77" spans="2:7">
      <c r="B77" t="s">
        <v>417</v>
      </c>
      <c r="C77" s="115">
        <v>-1.4E-2</v>
      </c>
    </row>
    <row r="89" spans="2:29">
      <c r="B89" t="s">
        <v>676</v>
      </c>
      <c r="O89" t="s">
        <v>666</v>
      </c>
      <c r="AB89" t="s">
        <v>671</v>
      </c>
    </row>
    <row r="90" spans="2:29">
      <c r="Q90" s="29">
        <f>Q93/R93-1</f>
        <v>1.3879781420765029</v>
      </c>
      <c r="R90" s="29">
        <f>Q98/R98-1</f>
        <v>-7.4999999999999956E-2</v>
      </c>
    </row>
    <row r="91" spans="2:29">
      <c r="Q91">
        <v>2016</v>
      </c>
      <c r="R91">
        <v>2015</v>
      </c>
    </row>
    <row r="92" spans="2:29" ht="12.75" customHeight="1">
      <c r="O92" t="s">
        <v>656</v>
      </c>
      <c r="P92" s="116" t="s">
        <v>677</v>
      </c>
      <c r="Q92">
        <v>460</v>
      </c>
      <c r="R92">
        <v>217</v>
      </c>
      <c r="AB92" t="s">
        <v>672</v>
      </c>
      <c r="AC92">
        <f>20+402+15</f>
        <v>437</v>
      </c>
    </row>
    <row r="93" spans="2:29">
      <c r="O93" t="s">
        <v>645</v>
      </c>
      <c r="P93" t="s">
        <v>307</v>
      </c>
      <c r="Q93">
        <v>437</v>
      </c>
      <c r="R93">
        <v>183</v>
      </c>
      <c r="AB93" t="s">
        <v>300</v>
      </c>
      <c r="AC93">
        <f>34+112+39</f>
        <v>185</v>
      </c>
    </row>
    <row r="94" spans="2:29">
      <c r="O94" t="s">
        <v>651</v>
      </c>
      <c r="P94" t="s">
        <v>651</v>
      </c>
      <c r="Q94">
        <v>391</v>
      </c>
      <c r="R94">
        <v>374</v>
      </c>
      <c r="AB94" t="s">
        <v>520</v>
      </c>
      <c r="AC94">
        <f>1+155+1</f>
        <v>157</v>
      </c>
    </row>
    <row r="95" spans="2:29">
      <c r="O95" t="s">
        <v>652</v>
      </c>
      <c r="P95" t="s">
        <v>667</v>
      </c>
      <c r="Q95">
        <v>258</v>
      </c>
      <c r="AB95" t="s">
        <v>674</v>
      </c>
      <c r="AC95">
        <f>70+62</f>
        <v>132</v>
      </c>
    </row>
    <row r="96" spans="2:29">
      <c r="O96" t="s">
        <v>650</v>
      </c>
      <c r="P96" t="s">
        <v>662</v>
      </c>
      <c r="Q96">
        <v>199</v>
      </c>
      <c r="R96">
        <v>130</v>
      </c>
      <c r="AB96" t="s">
        <v>673</v>
      </c>
      <c r="AC96">
        <f>8+110+6</f>
        <v>124</v>
      </c>
    </row>
    <row r="97" spans="15:29">
      <c r="O97" t="s">
        <v>652</v>
      </c>
      <c r="P97" t="s">
        <v>668</v>
      </c>
      <c r="Q97">
        <v>185</v>
      </c>
      <c r="AB97" t="s">
        <v>675</v>
      </c>
      <c r="AC97">
        <v>43</v>
      </c>
    </row>
    <row r="98" spans="15:29">
      <c r="O98" t="s">
        <v>300</v>
      </c>
      <c r="P98" t="s">
        <v>300</v>
      </c>
      <c r="Q98">
        <v>185</v>
      </c>
      <c r="R98">
        <v>200</v>
      </c>
      <c r="AB98" t="s">
        <v>298</v>
      </c>
      <c r="AC98">
        <f>1+28</f>
        <v>29</v>
      </c>
    </row>
    <row r="99" spans="15:29">
      <c r="O99" t="s">
        <v>656</v>
      </c>
      <c r="P99" t="s">
        <v>669</v>
      </c>
      <c r="Q99">
        <v>182</v>
      </c>
    </row>
    <row r="100" spans="15:29">
      <c r="O100" t="s">
        <v>659</v>
      </c>
      <c r="P100" t="s">
        <v>670</v>
      </c>
      <c r="Q100">
        <v>141</v>
      </c>
    </row>
    <row r="101" spans="15:29">
      <c r="O101" t="s">
        <v>654</v>
      </c>
      <c r="P101" t="s">
        <v>661</v>
      </c>
      <c r="Q101">
        <v>138</v>
      </c>
      <c r="R101">
        <v>131</v>
      </c>
    </row>
    <row r="115" spans="2:16">
      <c r="B115" t="s">
        <v>545</v>
      </c>
      <c r="O115" t="s">
        <v>679</v>
      </c>
    </row>
    <row r="117" spans="2:16">
      <c r="B117" s="114" t="s">
        <v>539</v>
      </c>
      <c r="C117" s="25">
        <v>0.08</v>
      </c>
      <c r="D117" s="25"/>
      <c r="O117" t="s">
        <v>678</v>
      </c>
      <c r="P117" s="25">
        <v>8.7999999999999995E-2</v>
      </c>
    </row>
    <row r="118" spans="2:16">
      <c r="B118" s="114" t="s">
        <v>540</v>
      </c>
      <c r="C118" s="25">
        <v>0.23</v>
      </c>
      <c r="D118" s="25"/>
      <c r="O118" t="s">
        <v>680</v>
      </c>
      <c r="P118" s="25">
        <v>3.5000000000000003E-2</v>
      </c>
    </row>
    <row r="119" spans="2:16">
      <c r="B119" s="114" t="s">
        <v>541</v>
      </c>
      <c r="C119" s="25">
        <v>0.17</v>
      </c>
      <c r="D119" s="25"/>
      <c r="O119" t="s">
        <v>681</v>
      </c>
      <c r="P119" s="25">
        <v>0.06</v>
      </c>
    </row>
    <row r="120" spans="2:16">
      <c r="B120" s="114" t="s">
        <v>542</v>
      </c>
      <c r="C120" s="25">
        <v>0.24</v>
      </c>
      <c r="D120" s="25"/>
      <c r="O120" t="s">
        <v>540</v>
      </c>
      <c r="P120" s="25">
        <v>0.23699999999999999</v>
      </c>
    </row>
    <row r="121" spans="2:16">
      <c r="B121" s="114" t="s">
        <v>543</v>
      </c>
      <c r="C121" s="25">
        <v>0.24</v>
      </c>
      <c r="D121" s="25"/>
      <c r="O121" t="s">
        <v>541</v>
      </c>
      <c r="P121" s="25">
        <v>0.183</v>
      </c>
    </row>
    <row r="122" spans="2:16">
      <c r="B122" s="114" t="s">
        <v>544</v>
      </c>
      <c r="C122" s="25">
        <v>0.04</v>
      </c>
      <c r="D122" s="25"/>
      <c r="O122" t="s">
        <v>542</v>
      </c>
      <c r="P122" s="25">
        <v>0.27100000000000002</v>
      </c>
    </row>
    <row r="123" spans="2:16">
      <c r="O123" t="s">
        <v>682</v>
      </c>
      <c r="P123" s="25">
        <v>7.9000000000000001E-2</v>
      </c>
    </row>
    <row r="124" spans="2:16">
      <c r="O124" t="s">
        <v>683</v>
      </c>
      <c r="P124" s="25">
        <v>4.8000000000000001E-2</v>
      </c>
    </row>
    <row r="135" spans="2:4">
      <c r="B135" t="s">
        <v>546</v>
      </c>
    </row>
    <row r="137" spans="2:4">
      <c r="B137" t="s">
        <v>547</v>
      </c>
      <c r="C137" s="25">
        <v>0.05</v>
      </c>
      <c r="D137" s="25"/>
    </row>
    <row r="138" spans="2:4">
      <c r="B138" t="s">
        <v>548</v>
      </c>
      <c r="C138" s="25">
        <v>0.06</v>
      </c>
      <c r="D138" s="25"/>
    </row>
    <row r="139" spans="2:4">
      <c r="B139" t="s">
        <v>549</v>
      </c>
      <c r="C139" s="25">
        <v>0.28000000000000003</v>
      </c>
      <c r="D139" s="25"/>
    </row>
    <row r="140" spans="2:4">
      <c r="B140" t="s">
        <v>550</v>
      </c>
      <c r="C140" s="25">
        <v>0.19</v>
      </c>
      <c r="D140" s="25"/>
    </row>
    <row r="141" spans="2:4">
      <c r="B141" t="s">
        <v>551</v>
      </c>
      <c r="C141" s="25">
        <v>0.33</v>
      </c>
      <c r="D141" s="25"/>
    </row>
    <row r="142" spans="2:4">
      <c r="B142" t="s">
        <v>552</v>
      </c>
      <c r="C142" s="25">
        <v>7.0000000000000007E-2</v>
      </c>
      <c r="D142" s="25"/>
    </row>
    <row r="143" spans="2:4">
      <c r="B143" t="s">
        <v>553</v>
      </c>
      <c r="C143" s="25">
        <v>0.02</v>
      </c>
      <c r="D143" s="25"/>
    </row>
    <row r="156" spans="2:4">
      <c r="B156" t="s">
        <v>554</v>
      </c>
    </row>
    <row r="158" spans="2:4">
      <c r="B158" t="s">
        <v>557</v>
      </c>
      <c r="C158" s="25">
        <v>0.72</v>
      </c>
      <c r="D158" s="25"/>
    </row>
    <row r="159" spans="2:4">
      <c r="B159" t="s">
        <v>555</v>
      </c>
      <c r="C159" s="25">
        <v>0.21</v>
      </c>
      <c r="D159" s="25"/>
    </row>
    <row r="160" spans="2:4">
      <c r="B160" t="s">
        <v>556</v>
      </c>
      <c r="C160" s="25">
        <v>7.0000000000000007E-2</v>
      </c>
      <c r="D160" s="25"/>
    </row>
    <row r="176" spans="2:15">
      <c r="B176" t="s">
        <v>558</v>
      </c>
      <c r="O176" t="s">
        <v>684</v>
      </c>
    </row>
    <row r="178" spans="2:16">
      <c r="B178" t="s">
        <v>559</v>
      </c>
      <c r="C178" s="25">
        <v>0.28000000000000003</v>
      </c>
      <c r="D178" s="25"/>
      <c r="O178" t="s">
        <v>663</v>
      </c>
      <c r="P178" s="25">
        <v>0.1</v>
      </c>
    </row>
    <row r="179" spans="2:16">
      <c r="B179" t="s">
        <v>560</v>
      </c>
      <c r="C179" s="25">
        <v>0.53</v>
      </c>
      <c r="D179" s="25"/>
      <c r="O179" t="s">
        <v>664</v>
      </c>
      <c r="P179" s="25">
        <v>0.83</v>
      </c>
    </row>
    <row r="180" spans="2:16">
      <c r="B180" t="s">
        <v>561</v>
      </c>
      <c r="C180" s="25">
        <v>0.16</v>
      </c>
      <c r="D180" s="25"/>
      <c r="O180" t="s">
        <v>665</v>
      </c>
      <c r="P180" s="25">
        <v>7.0000000000000007E-2</v>
      </c>
    </row>
    <row r="181" spans="2:16">
      <c r="B181" t="s">
        <v>562</v>
      </c>
      <c r="C181" s="25">
        <v>0.03</v>
      </c>
      <c r="D181" s="25"/>
      <c r="O181" t="s">
        <v>685</v>
      </c>
      <c r="P181" s="25">
        <f>1-P180-P179-P178</f>
        <v>0</v>
      </c>
    </row>
    <row r="182" spans="2:16">
      <c r="P182" s="25"/>
    </row>
    <row r="183" spans="2:16">
      <c r="P183" s="25"/>
    </row>
    <row r="184" spans="2:16">
      <c r="P184" s="25"/>
    </row>
    <row r="185" spans="2:16">
      <c r="P185" s="25"/>
    </row>
    <row r="197" spans="2:4">
      <c r="B197" t="s">
        <v>563</v>
      </c>
    </row>
    <row r="199" spans="2:4">
      <c r="B199" t="s">
        <v>564</v>
      </c>
      <c r="C199" s="25">
        <v>0.8</v>
      </c>
      <c r="D199" s="25"/>
    </row>
    <row r="200" spans="2:4">
      <c r="B200" t="s">
        <v>565</v>
      </c>
      <c r="C200" s="25">
        <v>7.0000000000000007E-2</v>
      </c>
      <c r="D200" s="25"/>
    </row>
    <row r="201" spans="2:4">
      <c r="B201" t="s">
        <v>573</v>
      </c>
      <c r="C201" s="25">
        <v>0.27</v>
      </c>
      <c r="D201" s="25"/>
    </row>
    <row r="202" spans="2:4">
      <c r="B202" t="s">
        <v>569</v>
      </c>
      <c r="C202" s="25">
        <v>0.1</v>
      </c>
      <c r="D202" s="25"/>
    </row>
    <row r="203" spans="2:4">
      <c r="B203" t="s">
        <v>570</v>
      </c>
      <c r="C203" s="25">
        <v>0.19</v>
      </c>
      <c r="D203" s="25"/>
    </row>
    <row r="204" spans="2:4">
      <c r="B204" t="s">
        <v>571</v>
      </c>
      <c r="C204" s="25">
        <v>0.17</v>
      </c>
      <c r="D204" s="25"/>
    </row>
    <row r="205" spans="2:4">
      <c r="B205" t="s">
        <v>572</v>
      </c>
      <c r="C205" s="25">
        <v>0.01</v>
      </c>
      <c r="D205" s="25"/>
    </row>
    <row r="207" spans="2:4">
      <c r="B207" t="s">
        <v>574</v>
      </c>
      <c r="C207" s="25">
        <v>0.04</v>
      </c>
      <c r="D207" s="25"/>
    </row>
    <row r="208" spans="2:4">
      <c r="B208" t="s">
        <v>566</v>
      </c>
      <c r="C208" s="25">
        <v>0.09</v>
      </c>
      <c r="D208" s="25"/>
    </row>
    <row r="209" spans="2:4">
      <c r="B209" t="s">
        <v>567</v>
      </c>
      <c r="C209" s="25">
        <v>0.16</v>
      </c>
      <c r="D209" s="25"/>
    </row>
    <row r="210" spans="2:4">
      <c r="B210" t="s">
        <v>568</v>
      </c>
      <c r="C210" s="25">
        <v>0.13</v>
      </c>
      <c r="D210" s="25"/>
    </row>
    <row r="218" spans="2:4">
      <c r="B218" t="s">
        <v>575</v>
      </c>
    </row>
    <row r="220" spans="2:4">
      <c r="B220" t="s">
        <v>576</v>
      </c>
      <c r="C220" s="25">
        <v>0.62</v>
      </c>
      <c r="D220" s="25"/>
    </row>
    <row r="221" spans="2:4">
      <c r="B221" t="s">
        <v>577</v>
      </c>
      <c r="C221" s="25">
        <v>0.38</v>
      </c>
      <c r="D221" s="25"/>
    </row>
    <row r="239" spans="2:2">
      <c r="B239" t="s">
        <v>578</v>
      </c>
    </row>
    <row r="241" spans="2:4">
      <c r="B241" s="113" t="s">
        <v>579</v>
      </c>
      <c r="C241" s="25">
        <v>0.02</v>
      </c>
      <c r="D241" s="25"/>
    </row>
    <row r="242" spans="2:4">
      <c r="B242" s="113" t="s">
        <v>580</v>
      </c>
      <c r="C242" s="25">
        <v>0.5</v>
      </c>
      <c r="D242" s="25"/>
    </row>
    <row r="243" spans="2:4">
      <c r="B243" s="113" t="s">
        <v>581</v>
      </c>
      <c r="C243" s="25">
        <v>0.11</v>
      </c>
      <c r="D243" s="25"/>
    </row>
    <row r="244" spans="2:4">
      <c r="B244" s="113" t="s">
        <v>583</v>
      </c>
      <c r="C244" s="25">
        <v>0.14000000000000001</v>
      </c>
      <c r="D244" s="25"/>
    </row>
    <row r="245" spans="2:4">
      <c r="B245" t="s">
        <v>582</v>
      </c>
      <c r="C245" s="25">
        <v>0.2</v>
      </c>
      <c r="D245" s="25"/>
    </row>
    <row r="260" spans="2:4">
      <c r="B260" t="s">
        <v>584</v>
      </c>
    </row>
    <row r="262" spans="2:4">
      <c r="B262" t="s">
        <v>585</v>
      </c>
      <c r="C262" s="25">
        <v>0.08</v>
      </c>
      <c r="D262" s="25"/>
    </row>
    <row r="263" spans="2:4">
      <c r="B263" t="s">
        <v>586</v>
      </c>
      <c r="C263" s="25">
        <v>0.19</v>
      </c>
      <c r="D263" s="25"/>
    </row>
    <row r="264" spans="2:4">
      <c r="B264" t="s">
        <v>587</v>
      </c>
      <c r="C264" s="25">
        <v>0.18</v>
      </c>
      <c r="D264" s="25"/>
    </row>
    <row r="265" spans="2:4">
      <c r="B265" t="s">
        <v>588</v>
      </c>
      <c r="C265" s="25">
        <v>0.13</v>
      </c>
      <c r="D265" s="25"/>
    </row>
    <row r="266" spans="2:4">
      <c r="B266" t="s">
        <v>589</v>
      </c>
      <c r="C266" s="25">
        <v>0.18</v>
      </c>
      <c r="D266" s="25"/>
    </row>
    <row r="267" spans="2:4">
      <c r="B267" t="s">
        <v>590</v>
      </c>
      <c r="C267" s="25">
        <v>0.11</v>
      </c>
      <c r="D267" s="25"/>
    </row>
    <row r="268" spans="2:4">
      <c r="B268" t="s">
        <v>591</v>
      </c>
      <c r="C268" s="25">
        <v>7.0000000000000007E-2</v>
      </c>
      <c r="D268" s="25"/>
    </row>
    <row r="269" spans="2:4">
      <c r="B269" t="s">
        <v>592</v>
      </c>
      <c r="C269" s="25">
        <v>0.06</v>
      </c>
      <c r="D269" s="25"/>
    </row>
    <row r="281" spans="2:4">
      <c r="B281" t="s">
        <v>593</v>
      </c>
    </row>
    <row r="283" spans="2:4">
      <c r="B283" t="s">
        <v>594</v>
      </c>
      <c r="C283" s="64">
        <v>2200</v>
      </c>
      <c r="D283" s="64"/>
    </row>
    <row r="284" spans="2:4">
      <c r="B284" t="s">
        <v>595</v>
      </c>
      <c r="C284" s="64">
        <v>1635</v>
      </c>
      <c r="D284" s="64"/>
    </row>
    <row r="285" spans="2:4">
      <c r="B285" t="s">
        <v>596</v>
      </c>
      <c r="C285" s="64">
        <v>565</v>
      </c>
      <c r="D285" s="64"/>
    </row>
    <row r="286" spans="2:4">
      <c r="B286" t="s">
        <v>597</v>
      </c>
      <c r="C286" s="64">
        <v>524</v>
      </c>
      <c r="D286" s="64"/>
    </row>
    <row r="290" spans="2:4">
      <c r="B290" t="s">
        <v>598</v>
      </c>
    </row>
    <row r="292" spans="2:4">
      <c r="B292" t="s">
        <v>599</v>
      </c>
      <c r="C292" s="25">
        <v>0.37</v>
      </c>
      <c r="D292" s="25"/>
    </row>
    <row r="293" spans="2:4">
      <c r="B293" t="s">
        <v>600</v>
      </c>
      <c r="C293" s="25">
        <v>0.64</v>
      </c>
      <c r="D293" s="25"/>
    </row>
    <row r="294" spans="2:4">
      <c r="B294" t="s">
        <v>601</v>
      </c>
      <c r="C294" s="25">
        <v>0.43</v>
      </c>
      <c r="D294" s="25"/>
    </row>
    <row r="295" spans="2:4">
      <c r="B295" t="s">
        <v>602</v>
      </c>
      <c r="C295" s="25">
        <v>0.17</v>
      </c>
      <c r="D295" s="25"/>
    </row>
    <row r="296" spans="2:4">
      <c r="B296" t="s">
        <v>603</v>
      </c>
      <c r="C296" s="25">
        <v>0.12</v>
      </c>
      <c r="D296" s="25"/>
    </row>
    <row r="311" spans="2:4">
      <c r="B311" t="s">
        <v>604</v>
      </c>
    </row>
    <row r="313" spans="2:4">
      <c r="B313" t="s">
        <v>605</v>
      </c>
      <c r="C313" s="25">
        <v>0.2</v>
      </c>
      <c r="D313" s="25"/>
    </row>
    <row r="314" spans="2:4">
      <c r="B314" t="s">
        <v>606</v>
      </c>
      <c r="C314" s="25">
        <v>0.33</v>
      </c>
      <c r="D314" s="25"/>
    </row>
    <row r="315" spans="2:4">
      <c r="B315" t="s">
        <v>607</v>
      </c>
      <c r="C315" s="25">
        <v>0.7</v>
      </c>
      <c r="D315" s="25"/>
    </row>
    <row r="316" spans="2:4">
      <c r="B316" t="s">
        <v>608</v>
      </c>
      <c r="C316" s="25">
        <v>0.65</v>
      </c>
      <c r="D316" s="25"/>
    </row>
    <row r="317" spans="2:4">
      <c r="B317" t="s">
        <v>609</v>
      </c>
      <c r="C317" s="25">
        <v>0.47</v>
      </c>
      <c r="D317" s="25"/>
    </row>
    <row r="332" spans="2:4">
      <c r="B332" t="s">
        <v>610</v>
      </c>
    </row>
    <row r="334" spans="2:4">
      <c r="C334" s="18" t="s">
        <v>616</v>
      </c>
      <c r="D334" s="18" t="s">
        <v>617</v>
      </c>
    </row>
    <row r="335" spans="2:4">
      <c r="B335" t="s">
        <v>612</v>
      </c>
      <c r="C335" s="29">
        <v>0.08</v>
      </c>
      <c r="D335" s="29">
        <v>0.11</v>
      </c>
    </row>
    <row r="336" spans="2:4">
      <c r="B336" t="s">
        <v>611</v>
      </c>
      <c r="C336" s="29">
        <v>0.25</v>
      </c>
      <c r="D336" s="29">
        <v>0.34</v>
      </c>
    </row>
    <row r="337" spans="2:4">
      <c r="B337" t="s">
        <v>613</v>
      </c>
      <c r="C337" s="29">
        <v>0.38</v>
      </c>
      <c r="D337" s="29">
        <v>0.37</v>
      </c>
    </row>
    <row r="338" spans="2:4">
      <c r="B338" t="s">
        <v>614</v>
      </c>
      <c r="C338" s="29">
        <v>0.25</v>
      </c>
      <c r="D338" s="29">
        <v>0.15</v>
      </c>
    </row>
    <row r="339" spans="2:4">
      <c r="B339" t="s">
        <v>615</v>
      </c>
      <c r="C339" s="29">
        <v>0.04</v>
      </c>
      <c r="D339" s="29">
        <v>0.03</v>
      </c>
    </row>
    <row r="353" spans="2:3">
      <c r="B353" t="s">
        <v>618</v>
      </c>
    </row>
    <row r="355" spans="2:3">
      <c r="B355" t="s">
        <v>440</v>
      </c>
      <c r="C355" s="29">
        <v>0.28999999999999998</v>
      </c>
    </row>
    <row r="356" spans="2:3">
      <c r="B356" t="s">
        <v>619</v>
      </c>
      <c r="C356" s="29">
        <v>0.24</v>
      </c>
    </row>
    <row r="357" spans="2:3">
      <c r="B357" t="s">
        <v>620</v>
      </c>
      <c r="C357" s="29">
        <v>0.2</v>
      </c>
    </row>
    <row r="358" spans="2:3">
      <c r="B358" t="s">
        <v>621</v>
      </c>
      <c r="C358" s="29">
        <v>0.15</v>
      </c>
    </row>
    <row r="359" spans="2:3">
      <c r="B359" t="s">
        <v>622</v>
      </c>
      <c r="C359" s="29">
        <v>0.13</v>
      </c>
    </row>
    <row r="374" spans="2:3">
      <c r="B374" t="s">
        <v>623</v>
      </c>
    </row>
    <row r="376" spans="2:3">
      <c r="B376" t="s">
        <v>638</v>
      </c>
      <c r="C376" s="29">
        <v>0.2</v>
      </c>
    </row>
    <row r="377" spans="2:3">
      <c r="B377" t="s">
        <v>637</v>
      </c>
      <c r="C377" s="29">
        <v>0.24</v>
      </c>
    </row>
    <row r="378" spans="2:3">
      <c r="B378" t="s">
        <v>636</v>
      </c>
      <c r="C378" s="29">
        <v>0.28000000000000003</v>
      </c>
    </row>
    <row r="379" spans="2:3">
      <c r="B379" t="s">
        <v>635</v>
      </c>
      <c r="C379" s="29">
        <v>0.33</v>
      </c>
    </row>
    <row r="380" spans="2:3">
      <c r="B380" t="s">
        <v>634</v>
      </c>
      <c r="C380" s="29">
        <v>0.39</v>
      </c>
    </row>
    <row r="381" spans="2:3">
      <c r="B381" t="s">
        <v>633</v>
      </c>
      <c r="C381" s="29">
        <v>0.43</v>
      </c>
    </row>
    <row r="382" spans="2:3">
      <c r="B382" t="s">
        <v>632</v>
      </c>
      <c r="C382" s="29">
        <v>0.44</v>
      </c>
    </row>
    <row r="383" spans="2:3">
      <c r="B383" t="s">
        <v>631</v>
      </c>
      <c r="C383" s="29">
        <v>0.46</v>
      </c>
    </row>
    <row r="384" spans="2:3">
      <c r="B384" t="s">
        <v>630</v>
      </c>
      <c r="C384" s="29">
        <v>0.47</v>
      </c>
    </row>
    <row r="385" spans="2:3">
      <c r="B385" t="s">
        <v>628</v>
      </c>
      <c r="C385" s="29">
        <v>0.51</v>
      </c>
    </row>
    <row r="386" spans="2:3">
      <c r="B386" t="s">
        <v>629</v>
      </c>
      <c r="C386" s="29">
        <v>0.51</v>
      </c>
    </row>
    <row r="387" spans="2:3">
      <c r="B387" t="s">
        <v>627</v>
      </c>
      <c r="C387" s="29">
        <v>0.53</v>
      </c>
    </row>
    <row r="388" spans="2:3">
      <c r="B388" t="s">
        <v>626</v>
      </c>
      <c r="C388" s="29">
        <v>0.67</v>
      </c>
    </row>
    <row r="389" spans="2:3">
      <c r="B389" t="s">
        <v>625</v>
      </c>
      <c r="C389" s="29">
        <v>0.68</v>
      </c>
    </row>
    <row r="390" spans="2:3">
      <c r="B390" t="s">
        <v>624</v>
      </c>
      <c r="C390" s="29">
        <v>0.8</v>
      </c>
    </row>
  </sheetData>
  <sortState ref="O47:P53">
    <sortCondition descending="1" ref="P47:P5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Ships</vt:lpstr>
      <vt:lpstr>Reviews</vt:lpstr>
      <vt:lpstr>New Ship Q</vt:lpstr>
      <vt:lpstr>Ship Table</vt:lpstr>
      <vt:lpstr>Ship Trends</vt:lpstr>
      <vt:lpstr>Annual</vt:lpstr>
      <vt:lpstr>M&amp;A</vt:lpstr>
      <vt:lpstr>China 2</vt:lpstr>
      <vt:lpstr>China 1</vt:lpstr>
      <vt:lpstr>Orders OLD</vt:lpstr>
      <vt:lpstr>CPI</vt:lpstr>
    </vt:vector>
  </TitlesOfParts>
  <Company>Macquarie Group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Derrico</dc:creator>
  <cp:lastModifiedBy>Nimmi Sharma</cp:lastModifiedBy>
  <cp:lastPrinted>2016-08-23T22:44:16Z</cp:lastPrinted>
  <dcterms:created xsi:type="dcterms:W3CDTF">2016-08-02T16:18:20Z</dcterms:created>
  <dcterms:modified xsi:type="dcterms:W3CDTF">2018-07-09T08:59:16Z</dcterms:modified>
</cp:coreProperties>
</file>