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UIC\Ph.d\Work\Packaging and IVR\"/>
    </mc:Choice>
  </mc:AlternateContent>
  <xr:revisionPtr revIDLastSave="0" documentId="13_ncr:1_{0CAB62CB-176F-4221-BDC2-9C2A89899A7D}" xr6:coauthVersionLast="47" xr6:coauthVersionMax="47" xr10:uidLastSave="{00000000-0000-0000-0000-000000000000}"/>
  <bookViews>
    <workbookView xWindow="-108" yWindow="-108" windowWidth="23256" windowHeight="12456" firstSheet="4" activeTab="5" xr2:uid="{55D13C91-157B-4AA9-9507-46280882D7B2}"/>
  </bookViews>
  <sheets>
    <sheet name="Sheet1" sheetId="3" r:id="rId1"/>
    <sheet name="Loss_model" sheetId="1" r:id="rId2"/>
    <sheet name="DSCH-Optimization" sheetId="2" r:id="rId3"/>
    <sheet name="DSCH-Optimization (I)" sheetId="4" r:id="rId4"/>
    <sheet name="DSCH-Optimization (10A) " sheetId="6" r:id="rId5"/>
    <sheet name="DSCH-Optimization (25A)" sheetId="5" r:id="rId6"/>
    <sheet name="DSCH-Optimization (50A) " sheetId="7" r:id="rId7"/>
    <sheet name="DSCH-Optimization (100A)  " sheetId="8" r:id="rId8"/>
    <sheet name="Horizontal_loss" sheetId="10" r:id="rId9"/>
    <sheet name="Result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M2" i="5"/>
  <c r="X2" i="5"/>
  <c r="N14" i="10"/>
  <c r="N15" i="10"/>
  <c r="I16" i="9"/>
  <c r="I18" i="9"/>
  <c r="I19" i="9"/>
  <c r="G16" i="9"/>
  <c r="H16" i="9" s="1"/>
  <c r="H18" i="9"/>
  <c r="H19" i="9"/>
  <c r="G18" i="9"/>
  <c r="G19" i="9"/>
  <c r="F18" i="9"/>
  <c r="F19" i="9"/>
  <c r="F16" i="9"/>
  <c r="D18" i="9"/>
  <c r="D19" i="9"/>
  <c r="D16" i="9"/>
  <c r="F90" i="2" l="1"/>
  <c r="M14" i="10" l="1"/>
  <c r="M15" i="10"/>
  <c r="M12" i="10"/>
  <c r="I114" i="6"/>
  <c r="M25" i="9"/>
  <c r="M24" i="9"/>
  <c r="M22" i="9"/>
  <c r="E22" i="9"/>
  <c r="L22" i="9"/>
  <c r="L25" i="9"/>
  <c r="E25" i="9"/>
  <c r="L24" i="9"/>
  <c r="E24" i="9"/>
  <c r="K24" i="9" s="1"/>
  <c r="D115" i="6"/>
  <c r="D116" i="6"/>
  <c r="D117" i="6"/>
  <c r="D118" i="6"/>
  <c r="D119" i="6"/>
  <c r="D120" i="6"/>
  <c r="D121" i="6"/>
  <c r="D122" i="6"/>
  <c r="D123" i="6"/>
  <c r="D124" i="6"/>
  <c r="D114" i="6"/>
  <c r="I115" i="6"/>
  <c r="C22" i="9" s="1"/>
  <c r="D25" i="9"/>
  <c r="I25" i="9" s="1"/>
  <c r="D24" i="9"/>
  <c r="I24" i="9" s="1"/>
  <c r="D22" i="9"/>
  <c r="G24" i="9"/>
  <c r="G25" i="9"/>
  <c r="K12" i="10"/>
  <c r="K14" i="10"/>
  <c r="K15" i="10"/>
  <c r="L14" i="10"/>
  <c r="L15" i="10"/>
  <c r="L12" i="10"/>
  <c r="D28" i="3"/>
  <c r="M2" i="2"/>
  <c r="N2" i="4"/>
  <c r="B20" i="10"/>
  <c r="B19" i="10"/>
  <c r="P2" i="2"/>
  <c r="P2" i="6"/>
  <c r="P2" i="7"/>
  <c r="P2" i="8"/>
  <c r="F11" i="8" s="1"/>
  <c r="F25" i="9"/>
  <c r="F24" i="9"/>
  <c r="F23" i="9"/>
  <c r="L27" i="10"/>
  <c r="C27" i="10"/>
  <c r="D27" i="10"/>
  <c r="E27" i="10"/>
  <c r="F27" i="10"/>
  <c r="G27" i="10"/>
  <c r="H27" i="10"/>
  <c r="I27" i="10"/>
  <c r="J27" i="10"/>
  <c r="B27" i="10"/>
  <c r="C34" i="10"/>
  <c r="D34" i="10"/>
  <c r="E34" i="10"/>
  <c r="F34" i="10"/>
  <c r="L34" i="10" s="1"/>
  <c r="G34" i="10"/>
  <c r="H34" i="10"/>
  <c r="I34" i="10"/>
  <c r="J34" i="10"/>
  <c r="B34" i="10"/>
  <c r="H26" i="10"/>
  <c r="I26" i="10"/>
  <c r="J26" i="10"/>
  <c r="G26" i="10"/>
  <c r="E26" i="10"/>
  <c r="F26" i="10"/>
  <c r="D26" i="10"/>
  <c r="B26" i="10"/>
  <c r="C26" i="10"/>
  <c r="C33" i="10"/>
  <c r="H33" i="10" s="1"/>
  <c r="J33" i="10"/>
  <c r="I33" i="10"/>
  <c r="F33" i="10"/>
  <c r="F35" i="10" s="1"/>
  <c r="D33" i="10"/>
  <c r="B33" i="10"/>
  <c r="C40" i="10"/>
  <c r="B14" i="10"/>
  <c r="H40" i="10"/>
  <c r="I40" i="10"/>
  <c r="G40" i="10"/>
  <c r="E40" i="10"/>
  <c r="F40" i="10"/>
  <c r="D40" i="10"/>
  <c r="B40" i="10"/>
  <c r="A124" i="8"/>
  <c r="A110" i="8"/>
  <c r="A96" i="8"/>
  <c r="A80" i="8"/>
  <c r="A66" i="8"/>
  <c r="A52" i="8"/>
  <c r="A37" i="8"/>
  <c r="B15" i="10"/>
  <c r="C28" i="10"/>
  <c r="D28" i="10"/>
  <c r="G28" i="10"/>
  <c r="D19" i="10"/>
  <c r="J25" i="9" l="1"/>
  <c r="J24" i="9"/>
  <c r="K22" i="9"/>
  <c r="K25" i="9"/>
  <c r="E20" i="10"/>
  <c r="H20" i="10"/>
  <c r="G19" i="10"/>
  <c r="F19" i="10"/>
  <c r="E19" i="10"/>
  <c r="D11" i="8"/>
  <c r="E28" i="10"/>
  <c r="F28" i="10"/>
  <c r="E33" i="10"/>
  <c r="E35" i="10" s="1"/>
  <c r="G33" i="10"/>
  <c r="G35" i="10" s="1"/>
  <c r="H28" i="10"/>
  <c r="H35" i="10"/>
  <c r="I35" i="10"/>
  <c r="J35" i="10"/>
  <c r="C35" i="10"/>
  <c r="B35" i="10"/>
  <c r="D35" i="10"/>
  <c r="J28" i="10"/>
  <c r="C19" i="10"/>
  <c r="I20" i="10" s="1"/>
  <c r="J19" i="10"/>
  <c r="I19" i="10"/>
  <c r="H19" i="10"/>
  <c r="C20" i="10" l="1"/>
  <c r="C21" i="10" s="1"/>
  <c r="D20" i="10"/>
  <c r="D21" i="10" s="1"/>
  <c r="F20" i="10"/>
  <c r="F21" i="10" s="1"/>
  <c r="G20" i="10"/>
  <c r="G21" i="10" s="1"/>
  <c r="J20" i="10"/>
  <c r="J21" i="10" s="1"/>
  <c r="I28" i="10"/>
  <c r="B36" i="10"/>
  <c r="E21" i="10"/>
  <c r="H21" i="10"/>
  <c r="I21" i="10"/>
  <c r="L20" i="10" l="1"/>
  <c r="B21" i="10"/>
  <c r="B22" i="10" s="1"/>
  <c r="F22" i="9" s="1"/>
  <c r="J14" i="10"/>
  <c r="J12" i="10"/>
  <c r="G9" i="10"/>
  <c r="H9" i="10"/>
  <c r="I9" i="10"/>
  <c r="J9" i="10"/>
  <c r="K9" i="10"/>
  <c r="G8" i="10"/>
  <c r="H8" i="10"/>
  <c r="I8" i="10"/>
  <c r="J8" i="10"/>
  <c r="K8" i="10"/>
  <c r="G7" i="10"/>
  <c r="H7" i="10"/>
  <c r="I7" i="10"/>
  <c r="J7" i="10"/>
  <c r="K7" i="10"/>
  <c r="G6" i="10"/>
  <c r="H6" i="10"/>
  <c r="I6" i="10"/>
  <c r="J6" i="10"/>
  <c r="K6" i="10"/>
  <c r="C5" i="10"/>
  <c r="D5" i="10"/>
  <c r="E5" i="10"/>
  <c r="F5" i="10"/>
  <c r="G5" i="10"/>
  <c r="H5" i="10"/>
  <c r="I5" i="10"/>
  <c r="J5" i="10"/>
  <c r="K5" i="10"/>
  <c r="B5" i="10"/>
  <c r="C3" i="10"/>
  <c r="B13" i="10"/>
  <c r="C13" i="10" s="1"/>
  <c r="C14" i="10"/>
  <c r="B12" i="10"/>
  <c r="C12" i="10" s="1"/>
  <c r="C18" i="9"/>
  <c r="C16" i="9"/>
  <c r="H114" i="6"/>
  <c r="A3" i="9"/>
  <c r="A4" i="9"/>
  <c r="A5" i="9"/>
  <c r="A6" i="9"/>
  <c r="A7" i="9"/>
  <c r="A8" i="9"/>
  <c r="A9" i="9"/>
  <c r="A10" i="9"/>
  <c r="A11" i="9"/>
  <c r="A2" i="9"/>
  <c r="H124" i="6"/>
  <c r="B80" i="6"/>
  <c r="A66" i="6"/>
  <c r="A80" i="6" s="1"/>
  <c r="A96" i="6" s="1"/>
  <c r="B66" i="6"/>
  <c r="A52" i="6"/>
  <c r="A37" i="6"/>
  <c r="B37" i="6" s="1"/>
  <c r="H37" i="6" s="1"/>
  <c r="D37" i="6"/>
  <c r="E37" i="6"/>
  <c r="F37" i="6"/>
  <c r="G37" i="6"/>
  <c r="I22" i="6"/>
  <c r="J22" i="6"/>
  <c r="K22" i="6"/>
  <c r="L22" i="6"/>
  <c r="M22" i="6"/>
  <c r="B22" i="6"/>
  <c r="E22" i="6" s="1"/>
  <c r="C22" i="6"/>
  <c r="D22" i="6" s="1"/>
  <c r="G22" i="6"/>
  <c r="H22" i="6"/>
  <c r="B80" i="5"/>
  <c r="B66" i="5"/>
  <c r="A52" i="5"/>
  <c r="A66" i="5" s="1"/>
  <c r="A80" i="5" s="1"/>
  <c r="A96" i="5" s="1"/>
  <c r="A37" i="5"/>
  <c r="B37" i="5" s="1"/>
  <c r="I22" i="5"/>
  <c r="J22" i="5"/>
  <c r="K22" i="5"/>
  <c r="L22" i="5"/>
  <c r="M22" i="5"/>
  <c r="B22" i="5"/>
  <c r="C22" i="5"/>
  <c r="A52" i="7"/>
  <c r="A66" i="7" s="1"/>
  <c r="A80" i="7" s="1"/>
  <c r="A96" i="7" s="1"/>
  <c r="A37" i="7"/>
  <c r="B37" i="7" s="1"/>
  <c r="H124" i="7"/>
  <c r="B80" i="7"/>
  <c r="B66" i="7"/>
  <c r="C37" i="7"/>
  <c r="D37" i="7"/>
  <c r="E37" i="7"/>
  <c r="F37" i="7"/>
  <c r="G37" i="7"/>
  <c r="I37" i="7" s="1"/>
  <c r="I22" i="7"/>
  <c r="J22" i="7"/>
  <c r="K22" i="7"/>
  <c r="L22" i="7"/>
  <c r="M22" i="7"/>
  <c r="B22" i="7"/>
  <c r="E22" i="7" s="1"/>
  <c r="C22" i="7"/>
  <c r="D22" i="7" s="1"/>
  <c r="G22" i="7"/>
  <c r="B80" i="8"/>
  <c r="B66" i="8"/>
  <c r="C37" i="8"/>
  <c r="B37" i="8"/>
  <c r="M22" i="8"/>
  <c r="L22" i="8"/>
  <c r="K22" i="8"/>
  <c r="J22" i="8"/>
  <c r="I22" i="8"/>
  <c r="B22" i="8"/>
  <c r="F22" i="8" s="1"/>
  <c r="E22" i="8"/>
  <c r="C22" i="8"/>
  <c r="D22" i="8" s="1"/>
  <c r="B122" i="8"/>
  <c r="B121" i="8"/>
  <c r="A121" i="8"/>
  <c r="B120" i="8"/>
  <c r="B119" i="8"/>
  <c r="B118" i="8"/>
  <c r="B117" i="8"/>
  <c r="B116" i="8"/>
  <c r="B115" i="8"/>
  <c r="B114" i="8"/>
  <c r="B94" i="8"/>
  <c r="B93" i="8"/>
  <c r="B92" i="8"/>
  <c r="B91" i="8"/>
  <c r="B90" i="8"/>
  <c r="B89" i="8"/>
  <c r="B88" i="8"/>
  <c r="B87" i="8"/>
  <c r="B86" i="8"/>
  <c r="B79" i="8"/>
  <c r="B78" i="8"/>
  <c r="A78" i="8"/>
  <c r="A94" i="8" s="1"/>
  <c r="B77" i="8"/>
  <c r="B76" i="8"/>
  <c r="B75" i="8"/>
  <c r="B74" i="8"/>
  <c r="A74" i="8"/>
  <c r="A90" i="8" s="1"/>
  <c r="B73" i="8"/>
  <c r="B72" i="8"/>
  <c r="B71" i="8"/>
  <c r="B70" i="8"/>
  <c r="A70" i="8"/>
  <c r="A86" i="8" s="1"/>
  <c r="B65" i="8"/>
  <c r="B64" i="8"/>
  <c r="B63" i="8"/>
  <c r="A63" i="8"/>
  <c r="A77" i="8" s="1"/>
  <c r="A93" i="8" s="1"/>
  <c r="A107" i="8" s="1"/>
  <c r="B62" i="8"/>
  <c r="A62" i="8"/>
  <c r="A76" i="8" s="1"/>
  <c r="A92" i="8" s="1"/>
  <c r="B61" i="8"/>
  <c r="B60" i="8"/>
  <c r="B59" i="8"/>
  <c r="B58" i="8"/>
  <c r="A58" i="8"/>
  <c r="A72" i="8" s="1"/>
  <c r="A88" i="8" s="1"/>
  <c r="B57" i="8"/>
  <c r="B56" i="8"/>
  <c r="A51" i="8"/>
  <c r="A65" i="8" s="1"/>
  <c r="A79" i="8" s="1"/>
  <c r="A95" i="8" s="1"/>
  <c r="A50" i="8"/>
  <c r="A64" i="8" s="1"/>
  <c r="A49" i="8"/>
  <c r="A48" i="8"/>
  <c r="A47" i="8"/>
  <c r="A61" i="8" s="1"/>
  <c r="A75" i="8" s="1"/>
  <c r="A91" i="8" s="1"/>
  <c r="A46" i="8"/>
  <c r="A60" i="8" s="1"/>
  <c r="A45" i="8"/>
  <c r="A59" i="8" s="1"/>
  <c r="A73" i="8" s="1"/>
  <c r="A89" i="8" s="1"/>
  <c r="A44" i="8"/>
  <c r="A43" i="8"/>
  <c r="A57" i="8" s="1"/>
  <c r="A71" i="8" s="1"/>
  <c r="A87" i="8" s="1"/>
  <c r="A42" i="8"/>
  <c r="A56" i="8" s="1"/>
  <c r="C36" i="8"/>
  <c r="B36" i="8"/>
  <c r="A36" i="8"/>
  <c r="A35" i="8"/>
  <c r="C35" i="8" s="1"/>
  <c r="A34" i="8"/>
  <c r="C34" i="8" s="1"/>
  <c r="C33" i="8"/>
  <c r="B33" i="8"/>
  <c r="A33" i="8"/>
  <c r="A32" i="8"/>
  <c r="C32" i="8" s="1"/>
  <c r="A31" i="8"/>
  <c r="C30" i="8"/>
  <c r="A30" i="8"/>
  <c r="B30" i="8" s="1"/>
  <c r="C29" i="8"/>
  <c r="B29" i="8"/>
  <c r="A29" i="8"/>
  <c r="A28" i="8"/>
  <c r="C28" i="8" s="1"/>
  <c r="A27" i="8"/>
  <c r="M21" i="8"/>
  <c r="L21" i="8"/>
  <c r="K21" i="8"/>
  <c r="J21" i="8"/>
  <c r="I21" i="8"/>
  <c r="E21" i="8"/>
  <c r="D21" i="8"/>
  <c r="C21" i="8"/>
  <c r="B21" i="8"/>
  <c r="M20" i="8"/>
  <c r="L20" i="8"/>
  <c r="K20" i="8"/>
  <c r="J20" i="8"/>
  <c r="I20" i="8"/>
  <c r="H20" i="8"/>
  <c r="C20" i="8"/>
  <c r="B20" i="8"/>
  <c r="M19" i="8"/>
  <c r="L19" i="8"/>
  <c r="K19" i="8"/>
  <c r="J19" i="8"/>
  <c r="I19" i="8"/>
  <c r="C19" i="8"/>
  <c r="B19" i="8"/>
  <c r="M18" i="8"/>
  <c r="L18" i="8"/>
  <c r="K18" i="8"/>
  <c r="J18" i="8"/>
  <c r="I18" i="8"/>
  <c r="C18" i="8"/>
  <c r="B18" i="8"/>
  <c r="M17" i="8"/>
  <c r="L17" i="8"/>
  <c r="K17" i="8"/>
  <c r="J17" i="8"/>
  <c r="I17" i="8"/>
  <c r="C17" i="8"/>
  <c r="B17" i="8"/>
  <c r="M16" i="8"/>
  <c r="L16" i="8"/>
  <c r="K16" i="8"/>
  <c r="J16" i="8"/>
  <c r="I16" i="8"/>
  <c r="C16" i="8"/>
  <c r="B16" i="8"/>
  <c r="M15" i="8"/>
  <c r="L15" i="8"/>
  <c r="K15" i="8"/>
  <c r="J15" i="8"/>
  <c r="I15" i="8"/>
  <c r="C15" i="8"/>
  <c r="B15" i="8"/>
  <c r="M14" i="8"/>
  <c r="L14" i="8"/>
  <c r="K14" i="8"/>
  <c r="J14" i="8"/>
  <c r="I14" i="8"/>
  <c r="G14" i="8"/>
  <c r="C14" i="8"/>
  <c r="B14" i="8"/>
  <c r="M13" i="8"/>
  <c r="L13" i="8"/>
  <c r="K13" i="8"/>
  <c r="J13" i="8"/>
  <c r="I13" i="8"/>
  <c r="E13" i="8"/>
  <c r="D13" i="8"/>
  <c r="C13" i="8"/>
  <c r="B13" i="8"/>
  <c r="M12" i="8"/>
  <c r="L12" i="8"/>
  <c r="K12" i="8"/>
  <c r="J12" i="8"/>
  <c r="I12" i="8"/>
  <c r="H12" i="8"/>
  <c r="C12" i="8"/>
  <c r="B12" i="8"/>
  <c r="M11" i="8"/>
  <c r="L11" i="8"/>
  <c r="K11" i="8"/>
  <c r="J11" i="8"/>
  <c r="I11" i="8"/>
  <c r="A11" i="8"/>
  <c r="C11" i="8" s="1"/>
  <c r="G11" i="8" s="1"/>
  <c r="T2" i="8"/>
  <c r="S2" i="8"/>
  <c r="D19" i="8"/>
  <c r="O2" i="8"/>
  <c r="M2" i="8" s="1"/>
  <c r="J2" i="8"/>
  <c r="I2" i="8"/>
  <c r="H2" i="8"/>
  <c r="G2" i="8"/>
  <c r="D2" i="8"/>
  <c r="C2" i="8"/>
  <c r="B2" i="8"/>
  <c r="S1" i="8"/>
  <c r="R1" i="8"/>
  <c r="Q1" i="8"/>
  <c r="P1" i="8"/>
  <c r="O1" i="8"/>
  <c r="N1" i="8"/>
  <c r="M1" i="8"/>
  <c r="J1" i="8"/>
  <c r="I1" i="8"/>
  <c r="AD38" i="8" s="1"/>
  <c r="H1" i="8"/>
  <c r="G1" i="8"/>
  <c r="F1" i="8"/>
  <c r="E1" i="8"/>
  <c r="D1" i="8"/>
  <c r="AD11" i="8" s="1"/>
  <c r="C1" i="8"/>
  <c r="B1" i="8"/>
  <c r="A1" i="8"/>
  <c r="B122" i="7"/>
  <c r="B121" i="7"/>
  <c r="B120" i="7"/>
  <c r="B119" i="7"/>
  <c r="B118" i="7"/>
  <c r="B117" i="7"/>
  <c r="B116" i="7"/>
  <c r="B115" i="7"/>
  <c r="B114" i="7"/>
  <c r="B94" i="7"/>
  <c r="B93" i="7"/>
  <c r="B92" i="7"/>
  <c r="B91" i="7"/>
  <c r="B90" i="7"/>
  <c r="B89" i="7"/>
  <c r="B88" i="7"/>
  <c r="B87" i="7"/>
  <c r="B86" i="7"/>
  <c r="B79" i="7"/>
  <c r="B78" i="7"/>
  <c r="B77" i="7"/>
  <c r="B76" i="7"/>
  <c r="B75" i="7"/>
  <c r="B74" i="7"/>
  <c r="B73" i="7"/>
  <c r="B72" i="7"/>
  <c r="B71" i="7"/>
  <c r="B70" i="7"/>
  <c r="B65" i="7"/>
  <c r="B64" i="7"/>
  <c r="B63" i="7"/>
  <c r="B62" i="7"/>
  <c r="A62" i="7"/>
  <c r="A76" i="7" s="1"/>
  <c r="A92" i="7" s="1"/>
  <c r="B61" i="7"/>
  <c r="B60" i="7"/>
  <c r="A60" i="7"/>
  <c r="A74" i="7" s="1"/>
  <c r="A90" i="7" s="1"/>
  <c r="B59" i="7"/>
  <c r="B58" i="7"/>
  <c r="B57" i="7"/>
  <c r="B56" i="7"/>
  <c r="A56" i="7"/>
  <c r="A70" i="7" s="1"/>
  <c r="A86" i="7" s="1"/>
  <c r="A51" i="7"/>
  <c r="A65" i="7" s="1"/>
  <c r="A79" i="7" s="1"/>
  <c r="A95" i="7" s="1"/>
  <c r="A50" i="7"/>
  <c r="A64" i="7" s="1"/>
  <c r="A78" i="7" s="1"/>
  <c r="A94" i="7" s="1"/>
  <c r="A49" i="7"/>
  <c r="A63" i="7" s="1"/>
  <c r="A77" i="7" s="1"/>
  <c r="A93" i="7" s="1"/>
  <c r="A48" i="7"/>
  <c r="A47" i="7"/>
  <c r="A61" i="7" s="1"/>
  <c r="A75" i="7" s="1"/>
  <c r="A91" i="7" s="1"/>
  <c r="A46" i="7"/>
  <c r="A45" i="7"/>
  <c r="A59" i="7" s="1"/>
  <c r="A73" i="7" s="1"/>
  <c r="A89" i="7" s="1"/>
  <c r="A44" i="7"/>
  <c r="A58" i="7" s="1"/>
  <c r="A72" i="7" s="1"/>
  <c r="A88" i="7" s="1"/>
  <c r="A43" i="7"/>
  <c r="A57" i="7" s="1"/>
  <c r="A71" i="7" s="1"/>
  <c r="A87" i="7" s="1"/>
  <c r="A42" i="7"/>
  <c r="C36" i="7"/>
  <c r="B36" i="7"/>
  <c r="A36" i="7"/>
  <c r="B35" i="7"/>
  <c r="A35" i="7"/>
  <c r="C35" i="7" s="1"/>
  <c r="A34" i="7"/>
  <c r="C34" i="7" s="1"/>
  <c r="C33" i="7"/>
  <c r="B33" i="7"/>
  <c r="A33" i="7"/>
  <c r="A32" i="7"/>
  <c r="C32" i="7" s="1"/>
  <c r="C31" i="7"/>
  <c r="A31" i="7"/>
  <c r="B31" i="7" s="1"/>
  <c r="A30" i="7"/>
  <c r="C30" i="7" s="1"/>
  <c r="C29" i="7"/>
  <c r="B29" i="7"/>
  <c r="A29" i="7"/>
  <c r="A28" i="7"/>
  <c r="C28" i="7" s="1"/>
  <c r="C27" i="7"/>
  <c r="A27" i="7"/>
  <c r="B27" i="7" s="1"/>
  <c r="M21" i="7"/>
  <c r="L21" i="7"/>
  <c r="K21" i="7"/>
  <c r="J21" i="7"/>
  <c r="I21" i="7"/>
  <c r="H21" i="7"/>
  <c r="G21" i="7"/>
  <c r="C21" i="7"/>
  <c r="B21" i="7"/>
  <c r="M20" i="7"/>
  <c r="L20" i="7"/>
  <c r="K20" i="7"/>
  <c r="J20" i="7"/>
  <c r="I20" i="7"/>
  <c r="C20" i="7"/>
  <c r="D20" i="7" s="1"/>
  <c r="B20" i="7"/>
  <c r="M19" i="7"/>
  <c r="L19" i="7"/>
  <c r="K19" i="7"/>
  <c r="J19" i="7"/>
  <c r="I19" i="7"/>
  <c r="H19" i="7"/>
  <c r="G19" i="7"/>
  <c r="C19" i="7"/>
  <c r="B19" i="7"/>
  <c r="M18" i="7"/>
  <c r="L18" i="7"/>
  <c r="K18" i="7"/>
  <c r="J18" i="7"/>
  <c r="I18" i="7"/>
  <c r="C18" i="7"/>
  <c r="D18" i="7" s="1"/>
  <c r="B18" i="7"/>
  <c r="M17" i="7"/>
  <c r="L17" i="7"/>
  <c r="K17" i="7"/>
  <c r="J17" i="7"/>
  <c r="I17" i="7"/>
  <c r="H17" i="7"/>
  <c r="G17" i="7"/>
  <c r="C17" i="7"/>
  <c r="B17" i="7"/>
  <c r="M16" i="7"/>
  <c r="L16" i="7"/>
  <c r="K16" i="7"/>
  <c r="J16" i="7"/>
  <c r="I16" i="7"/>
  <c r="C16" i="7"/>
  <c r="D16" i="7" s="1"/>
  <c r="B16" i="7"/>
  <c r="M15" i="7"/>
  <c r="L15" i="7"/>
  <c r="K15" i="7"/>
  <c r="J15" i="7"/>
  <c r="I15" i="7"/>
  <c r="H15" i="7"/>
  <c r="G15" i="7"/>
  <c r="C15" i="7"/>
  <c r="B15" i="7"/>
  <c r="M14" i="7"/>
  <c r="L14" i="7"/>
  <c r="K14" i="7"/>
  <c r="J14" i="7"/>
  <c r="I14" i="7"/>
  <c r="C14" i="7"/>
  <c r="D14" i="7" s="1"/>
  <c r="B14" i="7"/>
  <c r="M13" i="7"/>
  <c r="L13" i="7"/>
  <c r="K13" i="7"/>
  <c r="J13" i="7"/>
  <c r="I13" i="7"/>
  <c r="H13" i="7"/>
  <c r="G13" i="7"/>
  <c r="C13" i="7"/>
  <c r="B13" i="7"/>
  <c r="M12" i="7"/>
  <c r="L12" i="7"/>
  <c r="K12" i="7"/>
  <c r="J12" i="7"/>
  <c r="I12" i="7"/>
  <c r="C12" i="7"/>
  <c r="D12" i="7" s="1"/>
  <c r="B12" i="7"/>
  <c r="AD11" i="7"/>
  <c r="M11" i="7"/>
  <c r="L11" i="7"/>
  <c r="K11" i="7"/>
  <c r="J11" i="7"/>
  <c r="I11" i="7"/>
  <c r="C11" i="7"/>
  <c r="B11" i="7"/>
  <c r="A11" i="7"/>
  <c r="A26" i="7" s="1"/>
  <c r="C26" i="7" s="1"/>
  <c r="E26" i="7" s="1"/>
  <c r="S2" i="7"/>
  <c r="F21" i="7"/>
  <c r="O2" i="7"/>
  <c r="M2" i="7" s="1"/>
  <c r="J2" i="7"/>
  <c r="I2" i="7"/>
  <c r="H2" i="7"/>
  <c r="G2" i="7"/>
  <c r="D2" i="7"/>
  <c r="C2" i="7"/>
  <c r="B2" i="7"/>
  <c r="S1" i="7"/>
  <c r="R1" i="7"/>
  <c r="Q1" i="7"/>
  <c r="P1" i="7"/>
  <c r="O1" i="7"/>
  <c r="N1" i="7"/>
  <c r="M1" i="7"/>
  <c r="J1" i="7"/>
  <c r="I1" i="7"/>
  <c r="AD38" i="7" s="1"/>
  <c r="H1" i="7"/>
  <c r="G1" i="7"/>
  <c r="F1" i="7"/>
  <c r="E1" i="7"/>
  <c r="D1" i="7"/>
  <c r="C1" i="7"/>
  <c r="B1" i="7"/>
  <c r="A1" i="7"/>
  <c r="B122" i="6"/>
  <c r="B121" i="6"/>
  <c r="B120" i="6"/>
  <c r="B119" i="6"/>
  <c r="B118" i="6"/>
  <c r="B117" i="6"/>
  <c r="B116" i="6"/>
  <c r="B115" i="6"/>
  <c r="B114" i="6"/>
  <c r="A95" i="6"/>
  <c r="B94" i="6"/>
  <c r="B93" i="6"/>
  <c r="B92" i="6"/>
  <c r="B91" i="6"/>
  <c r="B90" i="6"/>
  <c r="B89" i="6"/>
  <c r="B88" i="6"/>
  <c r="B87" i="6"/>
  <c r="A87" i="6"/>
  <c r="B86" i="6"/>
  <c r="B79" i="6"/>
  <c r="B78" i="6"/>
  <c r="B77" i="6"/>
  <c r="B76" i="6"/>
  <c r="B75" i="6"/>
  <c r="A75" i="6"/>
  <c r="A91" i="6" s="1"/>
  <c r="B74" i="6"/>
  <c r="B73" i="6"/>
  <c r="A73" i="6"/>
  <c r="A89" i="6" s="1"/>
  <c r="B72" i="6"/>
  <c r="B71" i="6"/>
  <c r="B70" i="6"/>
  <c r="B65" i="6"/>
  <c r="B64" i="6"/>
  <c r="B63" i="6"/>
  <c r="B62" i="6"/>
  <c r="B61" i="6"/>
  <c r="A61" i="6"/>
  <c r="B60" i="6"/>
  <c r="B59" i="6"/>
  <c r="B58" i="6"/>
  <c r="B57" i="6"/>
  <c r="B56" i="6"/>
  <c r="A51" i="6"/>
  <c r="A65" i="6" s="1"/>
  <c r="A79" i="6" s="1"/>
  <c r="A50" i="6"/>
  <c r="A64" i="6" s="1"/>
  <c r="A78" i="6" s="1"/>
  <c r="A94" i="6" s="1"/>
  <c r="A49" i="6"/>
  <c r="A63" i="6" s="1"/>
  <c r="A77" i="6" s="1"/>
  <c r="A93" i="6" s="1"/>
  <c r="A48" i="6"/>
  <c r="A62" i="6" s="1"/>
  <c r="A76" i="6" s="1"/>
  <c r="A92" i="6" s="1"/>
  <c r="A47" i="6"/>
  <c r="A46" i="6"/>
  <c r="A60" i="6" s="1"/>
  <c r="A74" i="6" s="1"/>
  <c r="A90" i="6" s="1"/>
  <c r="A45" i="6"/>
  <c r="A59" i="6" s="1"/>
  <c r="A44" i="6"/>
  <c r="A58" i="6" s="1"/>
  <c r="A72" i="6" s="1"/>
  <c r="A88" i="6" s="1"/>
  <c r="A43" i="6"/>
  <c r="A57" i="6" s="1"/>
  <c r="A71" i="6" s="1"/>
  <c r="A42" i="6"/>
  <c r="A56" i="6" s="1"/>
  <c r="A70" i="6" s="1"/>
  <c r="A86" i="6" s="1"/>
  <c r="C36" i="6"/>
  <c r="B36" i="6"/>
  <c r="A36" i="6"/>
  <c r="B35" i="6"/>
  <c r="A35" i="6"/>
  <c r="C35" i="6" s="1"/>
  <c r="C34" i="6"/>
  <c r="A34" i="6"/>
  <c r="B34" i="6" s="1"/>
  <c r="A33" i="6"/>
  <c r="C33" i="6" s="1"/>
  <c r="A32" i="6"/>
  <c r="C32" i="6" s="1"/>
  <c r="C31" i="6"/>
  <c r="A31" i="6"/>
  <c r="B31" i="6" s="1"/>
  <c r="C30" i="6"/>
  <c r="A30" i="6"/>
  <c r="B30" i="6" s="1"/>
  <c r="A29" i="6"/>
  <c r="C29" i="6" s="1"/>
  <c r="A28" i="6"/>
  <c r="C28" i="6" s="1"/>
  <c r="C27" i="6"/>
  <c r="A27" i="6"/>
  <c r="B27" i="6" s="1"/>
  <c r="M21" i="6"/>
  <c r="L21" i="6"/>
  <c r="K21" i="6"/>
  <c r="J21" i="6"/>
  <c r="I21" i="6"/>
  <c r="C21" i="6"/>
  <c r="B21" i="6"/>
  <c r="M20" i="6"/>
  <c r="L20" i="6"/>
  <c r="K20" i="6"/>
  <c r="J20" i="6"/>
  <c r="I20" i="6"/>
  <c r="C20" i="6"/>
  <c r="B20" i="6"/>
  <c r="M19" i="6"/>
  <c r="L19" i="6"/>
  <c r="K19" i="6"/>
  <c r="J19" i="6"/>
  <c r="I19" i="6"/>
  <c r="C19" i="6"/>
  <c r="B19" i="6"/>
  <c r="M18" i="6"/>
  <c r="L18" i="6"/>
  <c r="K18" i="6"/>
  <c r="J18" i="6"/>
  <c r="I18" i="6"/>
  <c r="C18" i="6"/>
  <c r="B18" i="6"/>
  <c r="M17" i="6"/>
  <c r="L17" i="6"/>
  <c r="K17" i="6"/>
  <c r="J17" i="6"/>
  <c r="I17" i="6"/>
  <c r="C17" i="6"/>
  <c r="B17" i="6"/>
  <c r="M16" i="6"/>
  <c r="L16" i="6"/>
  <c r="K16" i="6"/>
  <c r="J16" i="6"/>
  <c r="I16" i="6"/>
  <c r="C16" i="6"/>
  <c r="B16" i="6"/>
  <c r="M15" i="6"/>
  <c r="L15" i="6"/>
  <c r="K15" i="6"/>
  <c r="J15" i="6"/>
  <c r="I15" i="6"/>
  <c r="C15" i="6"/>
  <c r="B15" i="6"/>
  <c r="M14" i="6"/>
  <c r="L14" i="6"/>
  <c r="K14" i="6"/>
  <c r="J14" i="6"/>
  <c r="I14" i="6"/>
  <c r="C14" i="6"/>
  <c r="B14" i="6"/>
  <c r="M13" i="6"/>
  <c r="L13" i="6"/>
  <c r="K13" i="6"/>
  <c r="J13" i="6"/>
  <c r="I13" i="6"/>
  <c r="C13" i="6"/>
  <c r="B13" i="6"/>
  <c r="M12" i="6"/>
  <c r="L12" i="6"/>
  <c r="K12" i="6"/>
  <c r="J12" i="6"/>
  <c r="I12" i="6"/>
  <c r="C12" i="6"/>
  <c r="B12" i="6"/>
  <c r="AD11" i="6"/>
  <c r="M11" i="6"/>
  <c r="L11" i="6"/>
  <c r="K11" i="6"/>
  <c r="J11" i="6"/>
  <c r="I11" i="6"/>
  <c r="A11" i="6"/>
  <c r="A26" i="6" s="1"/>
  <c r="S2" i="6"/>
  <c r="O2" i="6"/>
  <c r="J2" i="6"/>
  <c r="I2" i="6"/>
  <c r="H2" i="6"/>
  <c r="G2" i="6"/>
  <c r="D2" i="6"/>
  <c r="C2" i="6"/>
  <c r="B2" i="6"/>
  <c r="S1" i="6"/>
  <c r="R1" i="6"/>
  <c r="Q1" i="6"/>
  <c r="P1" i="6"/>
  <c r="O1" i="6"/>
  <c r="N1" i="6"/>
  <c r="M1" i="6"/>
  <c r="J1" i="6"/>
  <c r="I1" i="6"/>
  <c r="AD38" i="6" s="1"/>
  <c r="H1" i="6"/>
  <c r="G1" i="6"/>
  <c r="F1" i="6"/>
  <c r="E1" i="6"/>
  <c r="D1" i="6"/>
  <c r="C1" i="6"/>
  <c r="B1" i="6"/>
  <c r="A1" i="6"/>
  <c r="B78" i="2"/>
  <c r="B79" i="2"/>
  <c r="B80" i="2"/>
  <c r="B81" i="2"/>
  <c r="B82" i="2"/>
  <c r="B83" i="2"/>
  <c r="B84" i="2"/>
  <c r="B85" i="2"/>
  <c r="B86" i="2"/>
  <c r="B77" i="2"/>
  <c r="A11" i="5"/>
  <c r="A26" i="5" s="1"/>
  <c r="A28" i="5"/>
  <c r="C28" i="5" s="1"/>
  <c r="A29" i="5"/>
  <c r="C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C36" i="5" s="1"/>
  <c r="A27" i="5"/>
  <c r="C27" i="5" s="1"/>
  <c r="B65" i="5"/>
  <c r="A43" i="5"/>
  <c r="A57" i="5" s="1"/>
  <c r="A44" i="5"/>
  <c r="A58" i="5" s="1"/>
  <c r="A72" i="5" s="1"/>
  <c r="A88" i="5" s="1"/>
  <c r="A116" i="5" s="1"/>
  <c r="A45" i="5"/>
  <c r="A59" i="5" s="1"/>
  <c r="A46" i="5"/>
  <c r="A60" i="5" s="1"/>
  <c r="A74" i="5" s="1"/>
  <c r="A90" i="5" s="1"/>
  <c r="A118" i="5" s="1"/>
  <c r="A47" i="5"/>
  <c r="A61" i="5" s="1"/>
  <c r="A48" i="5"/>
  <c r="A62" i="5" s="1"/>
  <c r="A49" i="5"/>
  <c r="A63" i="5" s="1"/>
  <c r="A50" i="5"/>
  <c r="A64" i="5" s="1"/>
  <c r="A78" i="5" s="1"/>
  <c r="A94" i="5" s="1"/>
  <c r="A122" i="5" s="1"/>
  <c r="A51" i="5"/>
  <c r="A65" i="5" s="1"/>
  <c r="A79" i="5" s="1"/>
  <c r="A95" i="5" s="1"/>
  <c r="A123" i="5" s="1"/>
  <c r="A42" i="5"/>
  <c r="A56" i="5" s="1"/>
  <c r="A70" i="5" s="1"/>
  <c r="A86" i="5" s="1"/>
  <c r="A114" i="5" s="1"/>
  <c r="C12" i="5"/>
  <c r="I12" i="5"/>
  <c r="J12" i="5"/>
  <c r="K12" i="5"/>
  <c r="L12" i="5"/>
  <c r="M12" i="5"/>
  <c r="C13" i="5"/>
  <c r="I13" i="5"/>
  <c r="J13" i="5"/>
  <c r="K13" i="5"/>
  <c r="L13" i="5"/>
  <c r="M13" i="5"/>
  <c r="C14" i="5"/>
  <c r="I14" i="5"/>
  <c r="J14" i="5"/>
  <c r="K14" i="5"/>
  <c r="L14" i="5"/>
  <c r="M14" i="5"/>
  <c r="C15" i="5"/>
  <c r="I15" i="5"/>
  <c r="J15" i="5"/>
  <c r="K15" i="5"/>
  <c r="L15" i="5"/>
  <c r="M15" i="5"/>
  <c r="C16" i="5"/>
  <c r="I16" i="5"/>
  <c r="J16" i="5"/>
  <c r="K16" i="5"/>
  <c r="L16" i="5"/>
  <c r="M16" i="5"/>
  <c r="C17" i="5"/>
  <c r="I17" i="5"/>
  <c r="J17" i="5"/>
  <c r="K17" i="5"/>
  <c r="L17" i="5"/>
  <c r="M17" i="5"/>
  <c r="C18" i="5"/>
  <c r="I18" i="5"/>
  <c r="J18" i="5"/>
  <c r="K18" i="5"/>
  <c r="L18" i="5"/>
  <c r="M18" i="5"/>
  <c r="C19" i="5"/>
  <c r="I19" i="5"/>
  <c r="J19" i="5"/>
  <c r="K19" i="5"/>
  <c r="L19" i="5"/>
  <c r="M19" i="5"/>
  <c r="C20" i="5"/>
  <c r="I20" i="5"/>
  <c r="J20" i="5"/>
  <c r="K20" i="5"/>
  <c r="L20" i="5"/>
  <c r="M20" i="5"/>
  <c r="C21" i="5"/>
  <c r="I21" i="5"/>
  <c r="J21" i="5"/>
  <c r="K21" i="5"/>
  <c r="L21" i="5"/>
  <c r="M21" i="5"/>
  <c r="B12" i="5"/>
  <c r="B13" i="5"/>
  <c r="B14" i="5"/>
  <c r="B15" i="5"/>
  <c r="B16" i="5"/>
  <c r="B17" i="5"/>
  <c r="B18" i="5"/>
  <c r="B19" i="5"/>
  <c r="B20" i="5"/>
  <c r="B21" i="5"/>
  <c r="M11" i="5"/>
  <c r="L11" i="5"/>
  <c r="K11" i="5"/>
  <c r="J11" i="5"/>
  <c r="I11" i="5"/>
  <c r="B122" i="5"/>
  <c r="B121" i="5"/>
  <c r="B120" i="5"/>
  <c r="B119" i="5"/>
  <c r="B118" i="5"/>
  <c r="B117" i="5"/>
  <c r="B116" i="5"/>
  <c r="B115" i="5"/>
  <c r="B114" i="5"/>
  <c r="B94" i="5"/>
  <c r="B93" i="5"/>
  <c r="B92" i="5"/>
  <c r="B91" i="5"/>
  <c r="B90" i="5"/>
  <c r="B89" i="5"/>
  <c r="B88" i="5"/>
  <c r="B87" i="5"/>
  <c r="B86" i="5"/>
  <c r="B79" i="5"/>
  <c r="B78" i="5"/>
  <c r="B77" i="5"/>
  <c r="B76" i="5"/>
  <c r="B75" i="5"/>
  <c r="B74" i="5"/>
  <c r="B73" i="5"/>
  <c r="B72" i="5"/>
  <c r="B71" i="5"/>
  <c r="B70" i="5"/>
  <c r="B64" i="5"/>
  <c r="B63" i="5"/>
  <c r="B62" i="5"/>
  <c r="B61" i="5"/>
  <c r="B60" i="5"/>
  <c r="B59" i="5"/>
  <c r="B58" i="5"/>
  <c r="B57" i="5"/>
  <c r="B56" i="5"/>
  <c r="T2" i="5"/>
  <c r="P2" i="5"/>
  <c r="Q2" i="5" s="1"/>
  <c r="J2" i="5"/>
  <c r="I2" i="5"/>
  <c r="H2" i="5"/>
  <c r="G2" i="5"/>
  <c r="D2" i="5"/>
  <c r="C2" i="5"/>
  <c r="B2" i="5"/>
  <c r="T1" i="5"/>
  <c r="S1" i="5"/>
  <c r="R1" i="5"/>
  <c r="Q1" i="5"/>
  <c r="P1" i="5"/>
  <c r="O1" i="5"/>
  <c r="N1" i="5"/>
  <c r="J1" i="5"/>
  <c r="I1" i="5"/>
  <c r="AD38" i="5" s="1"/>
  <c r="H1" i="5"/>
  <c r="G1" i="5"/>
  <c r="F1" i="5"/>
  <c r="E1" i="5"/>
  <c r="D1" i="5"/>
  <c r="AD11" i="5" s="1"/>
  <c r="C1" i="5"/>
  <c r="B1" i="5"/>
  <c r="A1" i="5"/>
  <c r="E70" i="4"/>
  <c r="J70" i="4" s="1"/>
  <c r="D69" i="4"/>
  <c r="I69" i="4" s="1"/>
  <c r="G59" i="4"/>
  <c r="F58" i="4"/>
  <c r="E57" i="4"/>
  <c r="D56" i="4"/>
  <c r="C55" i="4"/>
  <c r="C41" i="4"/>
  <c r="A80" i="4"/>
  <c r="A81" i="4"/>
  <c r="A82" i="4"/>
  <c r="A83" i="4"/>
  <c r="A84" i="4"/>
  <c r="A85" i="4"/>
  <c r="A86" i="4"/>
  <c r="A87" i="4"/>
  <c r="A88" i="4"/>
  <c r="A79" i="4"/>
  <c r="A68" i="4"/>
  <c r="A69" i="4"/>
  <c r="A70" i="4"/>
  <c r="A71" i="4"/>
  <c r="A72" i="4"/>
  <c r="A73" i="4"/>
  <c r="A74" i="4"/>
  <c r="A75" i="4"/>
  <c r="A76" i="4"/>
  <c r="A67" i="4"/>
  <c r="A52" i="4"/>
  <c r="A53" i="4"/>
  <c r="A54" i="4"/>
  <c r="A55" i="4"/>
  <c r="A56" i="4"/>
  <c r="A57" i="4"/>
  <c r="A58" i="4"/>
  <c r="A59" i="4"/>
  <c r="A60" i="4"/>
  <c r="A51" i="4"/>
  <c r="A38" i="4"/>
  <c r="A39" i="4"/>
  <c r="A40" i="4"/>
  <c r="A41" i="4"/>
  <c r="A42" i="4"/>
  <c r="A43" i="4"/>
  <c r="A44" i="4"/>
  <c r="A45" i="4"/>
  <c r="A46" i="4"/>
  <c r="A37" i="4"/>
  <c r="G31" i="4"/>
  <c r="L31" i="4" s="1"/>
  <c r="F28" i="4"/>
  <c r="K28" i="4" s="1"/>
  <c r="E27" i="4"/>
  <c r="J27" i="4" s="1"/>
  <c r="D25" i="4"/>
  <c r="I25" i="4" s="1"/>
  <c r="C32" i="4"/>
  <c r="H32" i="4" s="1"/>
  <c r="A24" i="4"/>
  <c r="A25" i="4"/>
  <c r="A26" i="4"/>
  <c r="A27" i="4"/>
  <c r="A28" i="4"/>
  <c r="A29" i="4"/>
  <c r="A30" i="4"/>
  <c r="A31" i="4"/>
  <c r="A32" i="4"/>
  <c r="A23" i="4"/>
  <c r="AB15" i="4"/>
  <c r="AA14" i="4"/>
  <c r="Z13" i="4"/>
  <c r="Z14" i="4"/>
  <c r="Y12" i="4"/>
  <c r="Y13" i="4"/>
  <c r="Y20" i="4"/>
  <c r="X12" i="4"/>
  <c r="X19" i="4"/>
  <c r="X20" i="4"/>
  <c r="R17" i="4"/>
  <c r="G43" i="4" s="1"/>
  <c r="L43" i="4" s="1"/>
  <c r="R18" i="4"/>
  <c r="R19" i="4"/>
  <c r="G75" i="4" s="1"/>
  <c r="L75" i="4" s="1"/>
  <c r="Q16" i="4"/>
  <c r="F42" i="4" s="1"/>
  <c r="K42" i="4" s="1"/>
  <c r="Q17" i="4"/>
  <c r="Q18" i="4"/>
  <c r="F30" i="4" s="1"/>
  <c r="K30" i="4" s="1"/>
  <c r="P14" i="4"/>
  <c r="E40" i="4" s="1"/>
  <c r="J40" i="4" s="1"/>
  <c r="P15" i="4"/>
  <c r="E41" i="4" s="1"/>
  <c r="P16" i="4"/>
  <c r="P17" i="4"/>
  <c r="E29" i="4" s="1"/>
  <c r="J29" i="4" s="1"/>
  <c r="O13" i="4"/>
  <c r="D39" i="4" s="1"/>
  <c r="O14" i="4"/>
  <c r="D40" i="4" s="1"/>
  <c r="I40" i="4" s="1"/>
  <c r="O15" i="4"/>
  <c r="O16" i="4"/>
  <c r="D72" i="4" s="1"/>
  <c r="I72" i="4" s="1"/>
  <c r="N12" i="4"/>
  <c r="C24" i="4" s="1"/>
  <c r="H24" i="4" s="1"/>
  <c r="N13" i="4"/>
  <c r="C69" i="4" s="1"/>
  <c r="H69" i="4" s="1"/>
  <c r="N14" i="4"/>
  <c r="N15" i="4"/>
  <c r="N20" i="4"/>
  <c r="C60" i="4" s="1"/>
  <c r="N11" i="4"/>
  <c r="C51" i="4" s="1"/>
  <c r="H51" i="4" s="1"/>
  <c r="M12" i="4"/>
  <c r="M13" i="4"/>
  <c r="M14" i="4"/>
  <c r="M15" i="4"/>
  <c r="M16" i="4"/>
  <c r="M17" i="4"/>
  <c r="M18" i="4"/>
  <c r="M19" i="4"/>
  <c r="M20" i="4"/>
  <c r="L12" i="4"/>
  <c r="L13" i="4"/>
  <c r="L14" i="4"/>
  <c r="L15" i="4"/>
  <c r="L16" i="4"/>
  <c r="L17" i="4"/>
  <c r="L18" i="4"/>
  <c r="L19" i="4"/>
  <c r="L20" i="4"/>
  <c r="K12" i="4"/>
  <c r="K13" i="4"/>
  <c r="K14" i="4"/>
  <c r="K15" i="4"/>
  <c r="K16" i="4"/>
  <c r="K17" i="4"/>
  <c r="K18" i="4"/>
  <c r="K19" i="4"/>
  <c r="K20" i="4"/>
  <c r="J12" i="4"/>
  <c r="J13" i="4"/>
  <c r="J14" i="4"/>
  <c r="J15" i="4"/>
  <c r="J16" i="4"/>
  <c r="J17" i="4"/>
  <c r="J18" i="4"/>
  <c r="J19" i="4"/>
  <c r="J20" i="4"/>
  <c r="I12" i="4"/>
  <c r="I13" i="4"/>
  <c r="I14" i="4"/>
  <c r="I15" i="4"/>
  <c r="I16" i="4"/>
  <c r="I17" i="4"/>
  <c r="I18" i="4"/>
  <c r="I19" i="4"/>
  <c r="I20" i="4"/>
  <c r="H12" i="4"/>
  <c r="R12" i="4" s="1"/>
  <c r="H13" i="4"/>
  <c r="R13" i="4" s="1"/>
  <c r="H14" i="4"/>
  <c r="H15" i="4"/>
  <c r="H16" i="4"/>
  <c r="R16" i="4" s="1"/>
  <c r="H17" i="4"/>
  <c r="AB17" i="4" s="1"/>
  <c r="H18" i="4"/>
  <c r="AB18" i="4" s="1"/>
  <c r="H19" i="4"/>
  <c r="H20" i="4"/>
  <c r="R20" i="4" s="1"/>
  <c r="G12" i="4"/>
  <c r="Q12" i="4" s="1"/>
  <c r="G13" i="4"/>
  <c r="G14" i="4"/>
  <c r="G15" i="4"/>
  <c r="Q15" i="4" s="1"/>
  <c r="G16" i="4"/>
  <c r="AA16" i="4" s="1"/>
  <c r="G17" i="4"/>
  <c r="G18" i="4"/>
  <c r="G19" i="4"/>
  <c r="Q19" i="4" s="1"/>
  <c r="G20" i="4"/>
  <c r="Q20" i="4" s="1"/>
  <c r="G11" i="4"/>
  <c r="F12" i="4"/>
  <c r="F13" i="4"/>
  <c r="F14" i="4"/>
  <c r="F15" i="4"/>
  <c r="J41" i="4" s="1"/>
  <c r="F16" i="4"/>
  <c r="F17" i="4"/>
  <c r="F18" i="4"/>
  <c r="P18" i="4" s="1"/>
  <c r="F19" i="4"/>
  <c r="F20" i="4"/>
  <c r="E12" i="4"/>
  <c r="E13" i="4"/>
  <c r="I39" i="4" s="1"/>
  <c r="E14" i="4"/>
  <c r="Y14" i="4" s="1"/>
  <c r="E15" i="4"/>
  <c r="Y15" i="4" s="1"/>
  <c r="E16" i="4"/>
  <c r="Y16" i="4" s="1"/>
  <c r="E17" i="4"/>
  <c r="E18" i="4"/>
  <c r="E19" i="4"/>
  <c r="E20" i="4"/>
  <c r="O20" i="4" s="1"/>
  <c r="D12" i="4"/>
  <c r="D13" i="4"/>
  <c r="X13" i="4" s="1"/>
  <c r="D14" i="4"/>
  <c r="X14" i="4" s="1"/>
  <c r="D15" i="4"/>
  <c r="D16" i="4"/>
  <c r="N16" i="4" s="1"/>
  <c r="D17" i="4"/>
  <c r="N17" i="4" s="1"/>
  <c r="D18" i="4"/>
  <c r="D19" i="4"/>
  <c r="D20" i="4"/>
  <c r="C12" i="4"/>
  <c r="C13" i="4"/>
  <c r="C14" i="4"/>
  <c r="C15" i="4"/>
  <c r="C16" i="4"/>
  <c r="C17" i="4"/>
  <c r="C18" i="4"/>
  <c r="C19" i="4"/>
  <c r="C20" i="4"/>
  <c r="B12" i="4"/>
  <c r="B13" i="4"/>
  <c r="B14" i="4"/>
  <c r="B15" i="4"/>
  <c r="B16" i="4"/>
  <c r="B17" i="4"/>
  <c r="B18" i="4"/>
  <c r="B19" i="4"/>
  <c r="B20" i="4"/>
  <c r="M11" i="4"/>
  <c r="L11" i="4"/>
  <c r="K11" i="4"/>
  <c r="J11" i="4"/>
  <c r="I11" i="4"/>
  <c r="H11" i="4"/>
  <c r="F11" i="4"/>
  <c r="E11" i="4"/>
  <c r="D11" i="4"/>
  <c r="C11" i="4"/>
  <c r="B11" i="4"/>
  <c r="B2" i="4"/>
  <c r="B87" i="4"/>
  <c r="B86" i="4"/>
  <c r="B85" i="4"/>
  <c r="B84" i="4"/>
  <c r="B83" i="4"/>
  <c r="B82" i="4"/>
  <c r="B81" i="4"/>
  <c r="B80" i="4"/>
  <c r="B79" i="4"/>
  <c r="B75" i="4"/>
  <c r="B74" i="4"/>
  <c r="B73" i="4"/>
  <c r="B72" i="4"/>
  <c r="B71" i="4"/>
  <c r="B70" i="4"/>
  <c r="B69" i="4"/>
  <c r="B68" i="4"/>
  <c r="B67" i="4"/>
  <c r="B60" i="4"/>
  <c r="B59" i="4"/>
  <c r="B58" i="4"/>
  <c r="B57" i="4"/>
  <c r="B56" i="4"/>
  <c r="B55" i="4"/>
  <c r="B54" i="4"/>
  <c r="B53" i="4"/>
  <c r="B52" i="4"/>
  <c r="B51" i="4"/>
  <c r="B46" i="4"/>
  <c r="B45" i="4"/>
  <c r="B44" i="4"/>
  <c r="B43" i="4"/>
  <c r="B42" i="4"/>
  <c r="B41" i="4"/>
  <c r="B40" i="4"/>
  <c r="B39" i="4"/>
  <c r="B38" i="4"/>
  <c r="B37" i="4"/>
  <c r="Q2" i="4"/>
  <c r="M2" i="4"/>
  <c r="K2" i="4"/>
  <c r="J2" i="4"/>
  <c r="I2" i="4"/>
  <c r="H2" i="4"/>
  <c r="G2" i="4"/>
  <c r="R2" i="4" s="1"/>
  <c r="D2" i="4"/>
  <c r="C2" i="4"/>
  <c r="Q1" i="4"/>
  <c r="P1" i="4"/>
  <c r="O1" i="4"/>
  <c r="N1" i="4"/>
  <c r="M1" i="4"/>
  <c r="L1" i="4"/>
  <c r="K1" i="4"/>
  <c r="J1" i="4"/>
  <c r="I1" i="4"/>
  <c r="AD16" i="4" s="1"/>
  <c r="H1" i="4"/>
  <c r="AD15" i="4" s="1"/>
  <c r="G1" i="4"/>
  <c r="AD14" i="4" s="1"/>
  <c r="F1" i="4"/>
  <c r="AD13" i="4" s="1"/>
  <c r="E1" i="4"/>
  <c r="AD12" i="4" s="1"/>
  <c r="D1" i="4"/>
  <c r="AD11" i="4" s="1"/>
  <c r="C1" i="4"/>
  <c r="B1" i="4"/>
  <c r="A1" i="4"/>
  <c r="A11" i="2"/>
  <c r="S2" i="2"/>
  <c r="D2" i="2"/>
  <c r="C2" i="2"/>
  <c r="C2" i="3"/>
  <c r="D2" i="3"/>
  <c r="Q2" i="3"/>
  <c r="Z3" i="1"/>
  <c r="Z4" i="1"/>
  <c r="Z5" i="1"/>
  <c r="Z6" i="1"/>
  <c r="Z7" i="1"/>
  <c r="Z8" i="1"/>
  <c r="Z9" i="1"/>
  <c r="Z10" i="1"/>
  <c r="Z11" i="1"/>
  <c r="Z12" i="1"/>
  <c r="Z2" i="1"/>
  <c r="X2" i="1"/>
  <c r="W2" i="1"/>
  <c r="E22" i="5" l="1"/>
  <c r="D22" i="5"/>
  <c r="I22" i="9"/>
  <c r="J22" i="9"/>
  <c r="D46" i="4"/>
  <c r="D60" i="4"/>
  <c r="D76" i="4"/>
  <c r="I76" i="4" s="1"/>
  <c r="D32" i="4"/>
  <c r="O19" i="4"/>
  <c r="Y19" i="4"/>
  <c r="P12" i="4"/>
  <c r="Z12" i="4"/>
  <c r="R15" i="4"/>
  <c r="G84" i="4"/>
  <c r="C28" i="4"/>
  <c r="C72" i="4"/>
  <c r="H72" i="4" s="1"/>
  <c r="C56" i="4"/>
  <c r="C42" i="4"/>
  <c r="E30" i="4"/>
  <c r="E74" i="4"/>
  <c r="J74" i="4" s="1"/>
  <c r="E44" i="4"/>
  <c r="E58" i="4"/>
  <c r="F60" i="4"/>
  <c r="F32" i="4"/>
  <c r="F76" i="4"/>
  <c r="K76" i="4" s="1"/>
  <c r="F46" i="4"/>
  <c r="F52" i="4"/>
  <c r="F38" i="4"/>
  <c r="F24" i="4"/>
  <c r="K24" i="4" s="1"/>
  <c r="F68" i="4"/>
  <c r="K68" i="4" s="1"/>
  <c r="G53" i="4"/>
  <c r="G25" i="4"/>
  <c r="L25" i="4" s="1"/>
  <c r="G69" i="4"/>
  <c r="L69" i="4" s="1"/>
  <c r="G39" i="4"/>
  <c r="G72" i="4"/>
  <c r="L72" i="4" s="1"/>
  <c r="G56" i="4"/>
  <c r="G28" i="4"/>
  <c r="L28" i="4" s="1"/>
  <c r="G42" i="4"/>
  <c r="L42" i="4" s="1"/>
  <c r="N18" i="4"/>
  <c r="X18" i="4"/>
  <c r="P20" i="4"/>
  <c r="Z20" i="4"/>
  <c r="Q14" i="4"/>
  <c r="F73" i="4"/>
  <c r="K73" i="4" s="1"/>
  <c r="F43" i="4"/>
  <c r="K43" i="4" s="1"/>
  <c r="F57" i="4"/>
  <c r="F29" i="4"/>
  <c r="K29" i="4" s="1"/>
  <c r="C57" i="4"/>
  <c r="C43" i="4"/>
  <c r="H43" i="4" s="1"/>
  <c r="C29" i="4"/>
  <c r="H29" i="4" s="1"/>
  <c r="C73" i="4"/>
  <c r="H73" i="4" s="1"/>
  <c r="F31" i="4"/>
  <c r="K31" i="4" s="1"/>
  <c r="F75" i="4"/>
  <c r="K75" i="4" s="1"/>
  <c r="F45" i="4"/>
  <c r="F59" i="4"/>
  <c r="G46" i="4"/>
  <c r="L46" i="4" s="1"/>
  <c r="G76" i="4"/>
  <c r="L76" i="4" s="1"/>
  <c r="G60" i="4"/>
  <c r="G32" i="4"/>
  <c r="G68" i="4"/>
  <c r="L68" i="4" s="1"/>
  <c r="G38" i="4"/>
  <c r="G52" i="4"/>
  <c r="G24" i="4"/>
  <c r="L24" i="4" s="1"/>
  <c r="G83" i="4"/>
  <c r="G74" i="4"/>
  <c r="L74" i="4" s="1"/>
  <c r="G44" i="4"/>
  <c r="L44" i="4" s="1"/>
  <c r="G58" i="4"/>
  <c r="G30" i="4"/>
  <c r="L30" i="4" s="1"/>
  <c r="F41" i="4"/>
  <c r="K41" i="4" s="1"/>
  <c r="F71" i="4"/>
  <c r="K71" i="4" s="1"/>
  <c r="F55" i="4"/>
  <c r="F27" i="4"/>
  <c r="K27" i="4" s="1"/>
  <c r="D71" i="4"/>
  <c r="I71" i="4" s="1"/>
  <c r="D27" i="4"/>
  <c r="I27" i="4" s="1"/>
  <c r="D41" i="4"/>
  <c r="I41" i="4" s="1"/>
  <c r="D55" i="4"/>
  <c r="J43" i="4"/>
  <c r="J42" i="4"/>
  <c r="C26" i="4"/>
  <c r="H26" i="4" s="1"/>
  <c r="C70" i="4"/>
  <c r="H70" i="4" s="1"/>
  <c r="C54" i="4"/>
  <c r="C40" i="4"/>
  <c r="H40" i="4" s="1"/>
  <c r="G82" i="4"/>
  <c r="E72" i="4"/>
  <c r="J72" i="4" s="1"/>
  <c r="E42" i="4"/>
  <c r="E56" i="4"/>
  <c r="E28" i="4"/>
  <c r="J28" i="4" s="1"/>
  <c r="AA15" i="4"/>
  <c r="AB16" i="4"/>
  <c r="D26" i="4"/>
  <c r="I26" i="4" s="1"/>
  <c r="J30" i="4"/>
  <c r="K32" i="4"/>
  <c r="I46" i="4"/>
  <c r="D70" i="4"/>
  <c r="I70" i="4" s="1"/>
  <c r="E71" i="4"/>
  <c r="J71" i="4" s="1"/>
  <c r="F72" i="4"/>
  <c r="K72" i="4" s="1"/>
  <c r="G73" i="4"/>
  <c r="L73" i="4" s="1"/>
  <c r="AA13" i="4"/>
  <c r="AB14" i="4"/>
  <c r="E26" i="4"/>
  <c r="J26" i="4" s="1"/>
  <c r="L32" i="4"/>
  <c r="D42" i="4"/>
  <c r="H42" i="4"/>
  <c r="I42" i="4"/>
  <c r="C71" i="4"/>
  <c r="H71" i="4" s="1"/>
  <c r="Z19" i="4"/>
  <c r="AB13" i="4"/>
  <c r="G29" i="4"/>
  <c r="L29" i="4" s="1"/>
  <c r="C37" i="4"/>
  <c r="H37" i="4" s="1"/>
  <c r="C39" i="4"/>
  <c r="E43" i="4"/>
  <c r="F44" i="4"/>
  <c r="K44" i="4" s="1"/>
  <c r="H41" i="4"/>
  <c r="C53" i="4"/>
  <c r="D54" i="4"/>
  <c r="E55" i="4"/>
  <c r="F56" i="4"/>
  <c r="G57" i="4"/>
  <c r="O12" i="4"/>
  <c r="G80" i="4" s="1"/>
  <c r="K38" i="4"/>
  <c r="C52" i="4"/>
  <c r="D53" i="4"/>
  <c r="E54" i="4"/>
  <c r="Y18" i="4"/>
  <c r="AA12" i="4"/>
  <c r="P13" i="4"/>
  <c r="X16" i="4"/>
  <c r="AA19" i="4"/>
  <c r="C27" i="4"/>
  <c r="H27" i="4" s="1"/>
  <c r="I32" i="4"/>
  <c r="C46" i="4"/>
  <c r="H46" i="4" s="1"/>
  <c r="Q13" i="4"/>
  <c r="R14" i="4"/>
  <c r="X15" i="4"/>
  <c r="Z17" i="4"/>
  <c r="AA18" i="4"/>
  <c r="AB19" i="4"/>
  <c r="G45" i="4"/>
  <c r="L45" i="4" s="1"/>
  <c r="H39" i="4"/>
  <c r="K45" i="4"/>
  <c r="L39" i="4"/>
  <c r="C76" i="4"/>
  <c r="H76" i="4" s="1"/>
  <c r="C68" i="4"/>
  <c r="H68" i="4" s="1"/>
  <c r="X17" i="4"/>
  <c r="AA20" i="4"/>
  <c r="Z18" i="4"/>
  <c r="AB20" i="4"/>
  <c r="C38" i="4"/>
  <c r="H38" i="4" s="1"/>
  <c r="K46" i="4"/>
  <c r="C67" i="4"/>
  <c r="H67" i="4" s="1"/>
  <c r="O18" i="4"/>
  <c r="P19" i="4"/>
  <c r="Z16" i="4"/>
  <c r="AA17" i="4"/>
  <c r="C25" i="4"/>
  <c r="H25" i="4" s="1"/>
  <c r="D28" i="4"/>
  <c r="I28" i="4" s="1"/>
  <c r="H28" i="4"/>
  <c r="L38" i="4"/>
  <c r="E73" i="4"/>
  <c r="J73" i="4" s="1"/>
  <c r="F74" i="4"/>
  <c r="K74" i="4" s="1"/>
  <c r="N19" i="4"/>
  <c r="Y17" i="4"/>
  <c r="AB12" i="4"/>
  <c r="J44" i="4"/>
  <c r="O17" i="4"/>
  <c r="Z15" i="4"/>
  <c r="C23" i="4"/>
  <c r="H23" i="4" s="1"/>
  <c r="A124" i="7"/>
  <c r="A110" i="7"/>
  <c r="A110" i="5"/>
  <c r="A124" i="5"/>
  <c r="C37" i="5"/>
  <c r="A124" i="6"/>
  <c r="A12" i="9" s="1"/>
  <c r="A110" i="6"/>
  <c r="F22" i="6"/>
  <c r="Q11" i="8"/>
  <c r="F58" i="8" s="1"/>
  <c r="K58" i="8" s="1"/>
  <c r="C15" i="10"/>
  <c r="D15" i="10" s="1"/>
  <c r="D13" i="10"/>
  <c r="D12" i="10"/>
  <c r="D14" i="10"/>
  <c r="E52" i="6"/>
  <c r="E96" i="6"/>
  <c r="J96" i="6" s="1"/>
  <c r="C37" i="6"/>
  <c r="I37" i="6" s="1"/>
  <c r="J37" i="6" s="1"/>
  <c r="E124" i="6" s="1"/>
  <c r="H22" i="5"/>
  <c r="G22" i="5"/>
  <c r="F22" i="5"/>
  <c r="H37" i="7"/>
  <c r="J37" i="7" s="1"/>
  <c r="E124" i="7" s="1"/>
  <c r="H22" i="7"/>
  <c r="F22" i="7"/>
  <c r="H22" i="8"/>
  <c r="G22" i="8"/>
  <c r="B11" i="8"/>
  <c r="E11" i="8" s="1"/>
  <c r="H11" i="8"/>
  <c r="R11" i="8" s="1"/>
  <c r="A106" i="8"/>
  <c r="A120" i="8"/>
  <c r="A102" i="8"/>
  <c r="A116" i="8"/>
  <c r="A103" i="8"/>
  <c r="A117" i="8"/>
  <c r="A114" i="8"/>
  <c r="A100" i="8"/>
  <c r="F64" i="8"/>
  <c r="F56" i="8"/>
  <c r="F79" i="8"/>
  <c r="K79" i="8" s="1"/>
  <c r="F77" i="8"/>
  <c r="K77" i="8" s="1"/>
  <c r="F73" i="8"/>
  <c r="K73" i="8" s="1"/>
  <c r="F61" i="8"/>
  <c r="F51" i="8"/>
  <c r="F46" i="8"/>
  <c r="E15" i="8"/>
  <c r="G16" i="8"/>
  <c r="C31" i="8"/>
  <c r="B31" i="8"/>
  <c r="A119" i="8"/>
  <c r="A105" i="8"/>
  <c r="A123" i="8"/>
  <c r="A109" i="8"/>
  <c r="A118" i="8"/>
  <c r="A104" i="8"/>
  <c r="H14" i="8"/>
  <c r="F89" i="8"/>
  <c r="K89" i="8" s="1"/>
  <c r="F88" i="8"/>
  <c r="K88" i="8" s="1"/>
  <c r="F91" i="8"/>
  <c r="K91" i="8" s="1"/>
  <c r="F87" i="8"/>
  <c r="K87" i="8" s="1"/>
  <c r="H16" i="8"/>
  <c r="D17" i="8"/>
  <c r="A122" i="8"/>
  <c r="A108" i="8"/>
  <c r="AA11" i="8"/>
  <c r="A115" i="8"/>
  <c r="A101" i="8"/>
  <c r="E17" i="8"/>
  <c r="G18" i="8"/>
  <c r="B35" i="8"/>
  <c r="B34" i="8"/>
  <c r="H18" i="8"/>
  <c r="C27" i="8"/>
  <c r="B27" i="8"/>
  <c r="F20" i="8"/>
  <c r="F18" i="8"/>
  <c r="F16" i="8"/>
  <c r="F14" i="8"/>
  <c r="F12" i="8"/>
  <c r="E20" i="8"/>
  <c r="E18" i="8"/>
  <c r="E16" i="8"/>
  <c r="E14" i="8"/>
  <c r="E12" i="8"/>
  <c r="H21" i="8"/>
  <c r="D20" i="8"/>
  <c r="H19" i="8"/>
  <c r="D18" i="8"/>
  <c r="H17" i="8"/>
  <c r="D16" i="8"/>
  <c r="H15" i="8"/>
  <c r="D14" i="8"/>
  <c r="H13" i="8"/>
  <c r="D12" i="8"/>
  <c r="G21" i="8"/>
  <c r="G19" i="8"/>
  <c r="G17" i="8"/>
  <c r="G15" i="8"/>
  <c r="G13" i="8"/>
  <c r="F21" i="8"/>
  <c r="F19" i="8"/>
  <c r="F17" i="8"/>
  <c r="F15" i="8"/>
  <c r="F13" i="8"/>
  <c r="D15" i="8"/>
  <c r="P11" i="8"/>
  <c r="G12" i="8"/>
  <c r="E19" i="8"/>
  <c r="G20" i="8"/>
  <c r="F86" i="8"/>
  <c r="K86" i="8" s="1"/>
  <c r="A26" i="8"/>
  <c r="B28" i="8"/>
  <c r="B32" i="8"/>
  <c r="E34" i="7"/>
  <c r="E33" i="7"/>
  <c r="E29" i="7"/>
  <c r="G26" i="7"/>
  <c r="E32" i="7"/>
  <c r="E28" i="7"/>
  <c r="E36" i="7"/>
  <c r="E31" i="7"/>
  <c r="E27" i="7"/>
  <c r="E35" i="7"/>
  <c r="E30" i="7"/>
  <c r="A115" i="7"/>
  <c r="A101" i="7"/>
  <c r="A102" i="7"/>
  <c r="A116" i="7"/>
  <c r="A119" i="7"/>
  <c r="A105" i="7"/>
  <c r="A106" i="7"/>
  <c r="A120" i="7"/>
  <c r="A114" i="7"/>
  <c r="A100" i="7"/>
  <c r="B26" i="7"/>
  <c r="D26" i="7" s="1"/>
  <c r="A122" i="7"/>
  <c r="A108" i="7"/>
  <c r="A123" i="7"/>
  <c r="A109" i="7"/>
  <c r="B32" i="7"/>
  <c r="A107" i="7"/>
  <c r="A121" i="7"/>
  <c r="B28" i="7"/>
  <c r="T2" i="7"/>
  <c r="A103" i="7"/>
  <c r="A117" i="7"/>
  <c r="A118" i="7"/>
  <c r="A104" i="7"/>
  <c r="D11" i="7"/>
  <c r="E12" i="7"/>
  <c r="E14" i="7"/>
  <c r="E16" i="7"/>
  <c r="E18" i="7"/>
  <c r="E20" i="7"/>
  <c r="E11" i="7"/>
  <c r="F12" i="7"/>
  <c r="F14" i="7"/>
  <c r="F16" i="7"/>
  <c r="F18" i="7"/>
  <c r="F20" i="7"/>
  <c r="G18" i="7"/>
  <c r="G20" i="7"/>
  <c r="F11" i="7"/>
  <c r="P11" i="7" s="1"/>
  <c r="G12" i="7"/>
  <c r="G14" i="7"/>
  <c r="G16" i="7"/>
  <c r="G11" i="7"/>
  <c r="H12" i="7"/>
  <c r="D13" i="7"/>
  <c r="H14" i="7"/>
  <c r="D15" i="7"/>
  <c r="H16" i="7"/>
  <c r="D17" i="7"/>
  <c r="H18" i="7"/>
  <c r="D19" i="7"/>
  <c r="H20" i="7"/>
  <c r="D21" i="7"/>
  <c r="B30" i="7"/>
  <c r="B34" i="7"/>
  <c r="H11" i="7"/>
  <c r="R11" i="7" s="1"/>
  <c r="E13" i="7"/>
  <c r="E17" i="7"/>
  <c r="E19" i="7"/>
  <c r="E21" i="7"/>
  <c r="E15" i="7"/>
  <c r="F13" i="7"/>
  <c r="F15" i="7"/>
  <c r="F17" i="7"/>
  <c r="F19" i="7"/>
  <c r="C11" i="6"/>
  <c r="B11" i="6"/>
  <c r="F21" i="6"/>
  <c r="F19" i="6"/>
  <c r="F17" i="6"/>
  <c r="F15" i="6"/>
  <c r="F13" i="6"/>
  <c r="G15" i="6"/>
  <c r="E21" i="6"/>
  <c r="E19" i="6"/>
  <c r="E17" i="6"/>
  <c r="E15" i="6"/>
  <c r="E13" i="6"/>
  <c r="H11" i="6"/>
  <c r="G17" i="6"/>
  <c r="D21" i="6"/>
  <c r="H20" i="6"/>
  <c r="D19" i="6"/>
  <c r="H18" i="6"/>
  <c r="D17" i="6"/>
  <c r="H16" i="6"/>
  <c r="D15" i="6"/>
  <c r="H14" i="6"/>
  <c r="D13" i="6"/>
  <c r="H12" i="6"/>
  <c r="G11" i="6"/>
  <c r="G20" i="6"/>
  <c r="G18" i="6"/>
  <c r="G16" i="6"/>
  <c r="G14" i="6"/>
  <c r="G12" i="6"/>
  <c r="F11" i="6"/>
  <c r="P11" i="6" s="1"/>
  <c r="G13" i="6"/>
  <c r="F20" i="6"/>
  <c r="F18" i="6"/>
  <c r="F16" i="6"/>
  <c r="F14" i="6"/>
  <c r="F12" i="6"/>
  <c r="E11" i="6"/>
  <c r="E20" i="6"/>
  <c r="E18" i="6"/>
  <c r="E16" i="6"/>
  <c r="E14" i="6"/>
  <c r="E12" i="6"/>
  <c r="D11" i="6"/>
  <c r="M2" i="6"/>
  <c r="H21" i="6"/>
  <c r="D20" i="6"/>
  <c r="H19" i="6"/>
  <c r="D18" i="6"/>
  <c r="H17" i="6"/>
  <c r="D16" i="6"/>
  <c r="H15" i="6"/>
  <c r="D14" i="6"/>
  <c r="H13" i="6"/>
  <c r="D12" i="6"/>
  <c r="G21" i="6"/>
  <c r="G19" i="6"/>
  <c r="A107" i="6"/>
  <c r="A121" i="6"/>
  <c r="A114" i="6"/>
  <c r="A100" i="6"/>
  <c r="A102" i="6"/>
  <c r="A116" i="6"/>
  <c r="A106" i="6"/>
  <c r="A120" i="6"/>
  <c r="B26" i="6"/>
  <c r="D26" i="6" s="1"/>
  <c r="C26" i="6"/>
  <c r="E26" i="6" s="1"/>
  <c r="A122" i="6"/>
  <c r="A108" i="6"/>
  <c r="A103" i="6"/>
  <c r="A117" i="6"/>
  <c r="A118" i="6"/>
  <c r="A104" i="6"/>
  <c r="A119" i="6"/>
  <c r="A105" i="6"/>
  <c r="B28" i="6"/>
  <c r="B32" i="6"/>
  <c r="A115" i="6"/>
  <c r="A101" i="6"/>
  <c r="B29" i="6"/>
  <c r="B33" i="6"/>
  <c r="T2" i="6"/>
  <c r="A123" i="6"/>
  <c r="A109" i="6"/>
  <c r="C26" i="5"/>
  <c r="B26" i="5"/>
  <c r="C11" i="5"/>
  <c r="H11" i="5" s="1"/>
  <c r="R11" i="5" s="1"/>
  <c r="C32" i="5"/>
  <c r="C35" i="5"/>
  <c r="C33" i="5"/>
  <c r="C34" i="5"/>
  <c r="B27" i="5"/>
  <c r="B29" i="5"/>
  <c r="C31" i="5"/>
  <c r="B36" i="5"/>
  <c r="B28" i="5"/>
  <c r="C30" i="5"/>
  <c r="A108" i="5"/>
  <c r="A104" i="5"/>
  <c r="A100" i="5"/>
  <c r="A102" i="5"/>
  <c r="A109" i="5"/>
  <c r="A73" i="5"/>
  <c r="A89" i="5" s="1"/>
  <c r="A103" i="5" s="1"/>
  <c r="A71" i="5"/>
  <c r="A87" i="5" s="1"/>
  <c r="A101" i="5" s="1"/>
  <c r="A77" i="5"/>
  <c r="A93" i="5" s="1"/>
  <c r="A76" i="5"/>
  <c r="A92" i="5" s="1"/>
  <c r="A75" i="5"/>
  <c r="A91" i="5" s="1"/>
  <c r="A105" i="5" s="1"/>
  <c r="G21" i="5"/>
  <c r="G19" i="5"/>
  <c r="F18" i="5"/>
  <c r="D13" i="5"/>
  <c r="F12" i="5"/>
  <c r="F21" i="5"/>
  <c r="E18" i="5"/>
  <c r="F17" i="5"/>
  <c r="F16" i="5"/>
  <c r="H15" i="5"/>
  <c r="H13" i="5"/>
  <c r="E12" i="5"/>
  <c r="E16" i="5"/>
  <c r="D17" i="5"/>
  <c r="H21" i="5"/>
  <c r="F20" i="5"/>
  <c r="H19" i="5"/>
  <c r="E15" i="5"/>
  <c r="F14" i="5"/>
  <c r="G15" i="5"/>
  <c r="D12" i="5"/>
  <c r="D21" i="5"/>
  <c r="E20" i="5"/>
  <c r="F19" i="5"/>
  <c r="D15" i="5"/>
  <c r="E14" i="5"/>
  <c r="G13" i="5"/>
  <c r="H20" i="5"/>
  <c r="D18" i="5"/>
  <c r="G16" i="5"/>
  <c r="D20" i="5"/>
  <c r="E19" i="5"/>
  <c r="H18" i="5"/>
  <c r="D14" i="5"/>
  <c r="F13" i="5"/>
  <c r="E21" i="5"/>
  <c r="E17" i="5"/>
  <c r="G20" i="5"/>
  <c r="F15" i="5"/>
  <c r="D19" i="5"/>
  <c r="G18" i="5"/>
  <c r="H14" i="5"/>
  <c r="E13" i="5"/>
  <c r="G12" i="5"/>
  <c r="D16" i="5"/>
  <c r="H12" i="5"/>
  <c r="H17" i="5"/>
  <c r="G17" i="5"/>
  <c r="G14" i="5"/>
  <c r="H16" i="5"/>
  <c r="B11" i="5"/>
  <c r="E11" i="5" s="1"/>
  <c r="U2" i="5"/>
  <c r="AB11" i="4"/>
  <c r="AB5" i="1"/>
  <c r="AB9" i="1"/>
  <c r="AB10" i="1"/>
  <c r="AB3" i="1"/>
  <c r="AB11" i="1"/>
  <c r="AB4" i="1"/>
  <c r="AB6" i="1"/>
  <c r="G3" i="1"/>
  <c r="G4" i="1"/>
  <c r="G5" i="1"/>
  <c r="G6" i="1"/>
  <c r="G7" i="1"/>
  <c r="G8" i="1"/>
  <c r="G9" i="1"/>
  <c r="G10" i="1"/>
  <c r="G11" i="1"/>
  <c r="G12" i="1"/>
  <c r="G2" i="1"/>
  <c r="F3" i="1"/>
  <c r="X3" i="1" s="1"/>
  <c r="F4" i="1"/>
  <c r="F5" i="1"/>
  <c r="F6" i="1"/>
  <c r="F7" i="1"/>
  <c r="X7" i="1" s="1"/>
  <c r="F8" i="1"/>
  <c r="X8" i="1" s="1"/>
  <c r="F9" i="1"/>
  <c r="F10" i="1"/>
  <c r="F11" i="1"/>
  <c r="X11" i="1" s="1"/>
  <c r="F12" i="1"/>
  <c r="F2" i="1"/>
  <c r="X4" i="1"/>
  <c r="X5" i="1"/>
  <c r="X6" i="1"/>
  <c r="X9" i="1"/>
  <c r="X10" i="1"/>
  <c r="X12" i="1"/>
  <c r="F36" i="1"/>
  <c r="I11" i="2"/>
  <c r="B57" i="2"/>
  <c r="B43" i="2"/>
  <c r="B97" i="2"/>
  <c r="B98" i="2"/>
  <c r="B70" i="2"/>
  <c r="B71" i="2"/>
  <c r="B42" i="2"/>
  <c r="B40" i="2"/>
  <c r="B41" i="2"/>
  <c r="B55" i="2"/>
  <c r="B56" i="2"/>
  <c r="B39" i="2"/>
  <c r="B35" i="2"/>
  <c r="B36" i="2"/>
  <c r="B37" i="2"/>
  <c r="B38" i="2"/>
  <c r="B49" i="2"/>
  <c r="B50" i="2"/>
  <c r="B51" i="2"/>
  <c r="B52" i="2"/>
  <c r="B53" i="2"/>
  <c r="B54" i="2"/>
  <c r="B91" i="2"/>
  <c r="B92" i="2"/>
  <c r="B93" i="2"/>
  <c r="B94" i="2"/>
  <c r="B95" i="2"/>
  <c r="B96" i="2"/>
  <c r="B90" i="2"/>
  <c r="B64" i="2"/>
  <c r="B65" i="2"/>
  <c r="B66" i="2"/>
  <c r="B67" i="2"/>
  <c r="B68" i="2"/>
  <c r="B69" i="2"/>
  <c r="B63" i="2"/>
  <c r="B48" i="2"/>
  <c r="B34" i="2"/>
  <c r="N30" i="1"/>
  <c r="D15" i="3"/>
  <c r="O2" i="2"/>
  <c r="B2" i="2"/>
  <c r="G2" i="2"/>
  <c r="H2" i="2"/>
  <c r="I2" i="2"/>
  <c r="J2" i="2"/>
  <c r="C11" i="2"/>
  <c r="B1" i="2"/>
  <c r="C1" i="2"/>
  <c r="D1" i="2"/>
  <c r="AD11" i="2" s="1"/>
  <c r="E1" i="2"/>
  <c r="AD12" i="2" s="1"/>
  <c r="F1" i="2"/>
  <c r="AD13" i="2" s="1"/>
  <c r="G1" i="2"/>
  <c r="AD14" i="2" s="1"/>
  <c r="H1" i="2"/>
  <c r="AD15" i="2" s="1"/>
  <c r="I1" i="2"/>
  <c r="AD16" i="2" s="1"/>
  <c r="J1" i="2"/>
  <c r="M1" i="2"/>
  <c r="N1" i="2"/>
  <c r="O1" i="2"/>
  <c r="P1" i="2"/>
  <c r="Q1" i="2"/>
  <c r="R1" i="2"/>
  <c r="S1" i="2"/>
  <c r="A1" i="2"/>
  <c r="B25" i="3"/>
  <c r="D16" i="3"/>
  <c r="D17" i="3"/>
  <c r="D18" i="3"/>
  <c r="D19" i="3"/>
  <c r="D20" i="3"/>
  <c r="D21" i="3"/>
  <c r="D22" i="3"/>
  <c r="D23" i="3"/>
  <c r="N2" i="3"/>
  <c r="K15" i="3"/>
  <c r="J15" i="1"/>
  <c r="M15" i="1"/>
  <c r="B11" i="2"/>
  <c r="E26" i="5" l="1"/>
  <c r="E37" i="5" s="1"/>
  <c r="D26" i="5"/>
  <c r="D34" i="5" s="1"/>
  <c r="G11" i="5"/>
  <c r="Q11" i="5" s="1"/>
  <c r="D11" i="5"/>
  <c r="X11" i="5" s="1"/>
  <c r="H80" i="4"/>
  <c r="I80" i="4"/>
  <c r="F40" i="4"/>
  <c r="K40" i="4" s="1"/>
  <c r="F54" i="4"/>
  <c r="F26" i="4"/>
  <c r="K26" i="4" s="1"/>
  <c r="F70" i="4"/>
  <c r="K70" i="4" s="1"/>
  <c r="I83" i="4"/>
  <c r="H83" i="4"/>
  <c r="C75" i="4"/>
  <c r="H75" i="4" s="1"/>
  <c r="C59" i="4"/>
  <c r="C45" i="4"/>
  <c r="H45" i="4" s="1"/>
  <c r="G87" i="4"/>
  <c r="C31" i="4"/>
  <c r="H31" i="4" s="1"/>
  <c r="E39" i="4"/>
  <c r="J39" i="4" s="1"/>
  <c r="E53" i="4"/>
  <c r="E25" i="4"/>
  <c r="J25" i="4" s="1"/>
  <c r="E69" i="4"/>
  <c r="J69" i="4" s="1"/>
  <c r="G81" i="4"/>
  <c r="F25" i="4"/>
  <c r="K25" i="4" s="1"/>
  <c r="F53" i="4"/>
  <c r="F69" i="4"/>
  <c r="K69" i="4" s="1"/>
  <c r="F39" i="4"/>
  <c r="K39" i="4" s="1"/>
  <c r="D45" i="4"/>
  <c r="I45" i="4" s="1"/>
  <c r="D59" i="4"/>
  <c r="D31" i="4"/>
  <c r="I31" i="4" s="1"/>
  <c r="D75" i="4"/>
  <c r="I75" i="4" s="1"/>
  <c r="I82" i="4"/>
  <c r="H82" i="4"/>
  <c r="E52" i="4"/>
  <c r="E24" i="4"/>
  <c r="J24" i="4" s="1"/>
  <c r="E68" i="4"/>
  <c r="J68" i="4" s="1"/>
  <c r="E38" i="4"/>
  <c r="J38" i="4" s="1"/>
  <c r="D38" i="4"/>
  <c r="I38" i="4" s="1"/>
  <c r="D52" i="4"/>
  <c r="D68" i="4"/>
  <c r="I68" i="4" s="1"/>
  <c r="D24" i="4"/>
  <c r="I24" i="4" s="1"/>
  <c r="E60" i="4"/>
  <c r="E32" i="4"/>
  <c r="J32" i="4" s="1"/>
  <c r="E76" i="4"/>
  <c r="J76" i="4" s="1"/>
  <c r="E46" i="4"/>
  <c r="J46" i="4" s="1"/>
  <c r="I84" i="4"/>
  <c r="H84" i="4"/>
  <c r="E59" i="4"/>
  <c r="E45" i="4"/>
  <c r="J45" i="4" s="1"/>
  <c r="E31" i="4"/>
  <c r="J31" i="4" s="1"/>
  <c r="E75" i="4"/>
  <c r="J75" i="4" s="1"/>
  <c r="G88" i="4"/>
  <c r="G55" i="4"/>
  <c r="G27" i="4"/>
  <c r="L27" i="4" s="1"/>
  <c r="G71" i="4"/>
  <c r="L71" i="4" s="1"/>
  <c r="G41" i="4"/>
  <c r="L41" i="4" s="1"/>
  <c r="G54" i="4"/>
  <c r="G26" i="4"/>
  <c r="L26" i="4" s="1"/>
  <c r="G70" i="4"/>
  <c r="L70" i="4" s="1"/>
  <c r="G40" i="4"/>
  <c r="L40" i="4" s="1"/>
  <c r="D73" i="4"/>
  <c r="I73" i="4" s="1"/>
  <c r="D29" i="4"/>
  <c r="I29" i="4" s="1"/>
  <c r="D43" i="4"/>
  <c r="I43" i="4" s="1"/>
  <c r="D57" i="4"/>
  <c r="D58" i="4"/>
  <c r="D30" i="4"/>
  <c r="I30" i="4" s="1"/>
  <c r="D74" i="4"/>
  <c r="I74" i="4" s="1"/>
  <c r="D44" i="4"/>
  <c r="I44" i="4" s="1"/>
  <c r="G85" i="4"/>
  <c r="C74" i="4"/>
  <c r="H74" i="4" s="1"/>
  <c r="C58" i="4"/>
  <c r="C44" i="4"/>
  <c r="H44" i="4" s="1"/>
  <c r="G86" i="4"/>
  <c r="C30" i="4"/>
  <c r="H30" i="4" s="1"/>
  <c r="O11" i="6"/>
  <c r="E66" i="6"/>
  <c r="J66" i="6" s="1"/>
  <c r="C110" i="6"/>
  <c r="E110" i="6" s="1"/>
  <c r="I110" i="6" s="1"/>
  <c r="E80" i="6"/>
  <c r="J80" i="6" s="1"/>
  <c r="D6" i="10"/>
  <c r="G12" i="10" s="1"/>
  <c r="R11" i="6"/>
  <c r="G52" i="5"/>
  <c r="L52" i="5" s="1"/>
  <c r="G66" i="5"/>
  <c r="L66" i="5" s="1"/>
  <c r="F7" i="10"/>
  <c r="I13" i="10" s="1"/>
  <c r="G80" i="5"/>
  <c r="L80" i="5" s="1"/>
  <c r="G96" i="5"/>
  <c r="L96" i="5" s="1"/>
  <c r="D110" i="5"/>
  <c r="F110" i="5" s="1"/>
  <c r="J110" i="5" s="1"/>
  <c r="E80" i="7"/>
  <c r="J80" i="7" s="1"/>
  <c r="E52" i="7"/>
  <c r="J52" i="7" s="1"/>
  <c r="E96" i="7"/>
  <c r="J96" i="7" s="1"/>
  <c r="D8" i="10"/>
  <c r="G14" i="10" s="1"/>
  <c r="E66" i="7"/>
  <c r="J66" i="7" s="1"/>
  <c r="D110" i="7"/>
  <c r="F110" i="7" s="1"/>
  <c r="J110" i="7" s="1"/>
  <c r="K110" i="7" s="1"/>
  <c r="G52" i="7"/>
  <c r="G66" i="7"/>
  <c r="G96" i="7"/>
  <c r="L96" i="7" s="1"/>
  <c r="F8" i="10"/>
  <c r="I14" i="10" s="1"/>
  <c r="L52" i="7"/>
  <c r="C110" i="7"/>
  <c r="E110" i="7" s="1"/>
  <c r="I110" i="7" s="1"/>
  <c r="G80" i="7"/>
  <c r="L80" i="7" s="1"/>
  <c r="F76" i="8"/>
  <c r="K76" i="8" s="1"/>
  <c r="F93" i="8"/>
  <c r="K93" i="8" s="1"/>
  <c r="F47" i="8"/>
  <c r="F62" i="8"/>
  <c r="F70" i="8"/>
  <c r="K70" i="8" s="1"/>
  <c r="F45" i="8"/>
  <c r="F90" i="8"/>
  <c r="K90" i="8" s="1"/>
  <c r="F49" i="8"/>
  <c r="K49" i="8" s="1"/>
  <c r="F74" i="8"/>
  <c r="K74" i="8" s="1"/>
  <c r="G42" i="8"/>
  <c r="L42" i="8" s="1"/>
  <c r="F9" i="10"/>
  <c r="F95" i="8"/>
  <c r="K95" i="8" s="1"/>
  <c r="F43" i="8"/>
  <c r="F63" i="8"/>
  <c r="K63" i="8" s="1"/>
  <c r="F72" i="8"/>
  <c r="K72" i="8" s="1"/>
  <c r="F92" i="8"/>
  <c r="K92" i="8" s="1"/>
  <c r="F50" i="8"/>
  <c r="F75" i="8"/>
  <c r="K75" i="8" s="1"/>
  <c r="L66" i="7"/>
  <c r="J52" i="6"/>
  <c r="D110" i="8"/>
  <c r="F110" i="8" s="1"/>
  <c r="J110" i="8" s="1"/>
  <c r="G80" i="8"/>
  <c r="L80" i="8" s="1"/>
  <c r="G66" i="8"/>
  <c r="L66" i="8" s="1"/>
  <c r="G52" i="8"/>
  <c r="L52" i="8" s="1"/>
  <c r="I15" i="10"/>
  <c r="G96" i="8"/>
  <c r="L96" i="8" s="1"/>
  <c r="D105" i="8"/>
  <c r="F105" i="8" s="1"/>
  <c r="J105" i="8" s="1"/>
  <c r="G79" i="8"/>
  <c r="L79" i="8" s="1"/>
  <c r="C110" i="8"/>
  <c r="E110" i="8" s="1"/>
  <c r="I110" i="8" s="1"/>
  <c r="K110" i="8" s="1"/>
  <c r="D9" i="10"/>
  <c r="G15" i="10" s="1"/>
  <c r="E66" i="8"/>
  <c r="J66" i="8" s="1"/>
  <c r="E96" i="8"/>
  <c r="J96" i="8" s="1"/>
  <c r="E80" i="8"/>
  <c r="J80" i="8" s="1"/>
  <c r="E52" i="8"/>
  <c r="J52" i="8" s="1"/>
  <c r="G63" i="8"/>
  <c r="F60" i="8"/>
  <c r="K60" i="8" s="1"/>
  <c r="F48" i="8"/>
  <c r="F57" i="8"/>
  <c r="F59" i="8"/>
  <c r="K59" i="8" s="1"/>
  <c r="F94" i="8"/>
  <c r="K94" i="8" s="1"/>
  <c r="F52" i="8"/>
  <c r="K52" i="8" s="1"/>
  <c r="F80" i="8"/>
  <c r="K80" i="8" s="1"/>
  <c r="F66" i="8"/>
  <c r="K66" i="8" s="1"/>
  <c r="E9" i="10"/>
  <c r="H15" i="10" s="1"/>
  <c r="F96" i="8"/>
  <c r="K96" i="8" s="1"/>
  <c r="AB11" i="8"/>
  <c r="G57" i="8"/>
  <c r="L57" i="8" s="1"/>
  <c r="G88" i="8"/>
  <c r="L88" i="8" s="1"/>
  <c r="F44" i="8"/>
  <c r="K44" i="8" s="1"/>
  <c r="F42" i="8"/>
  <c r="K42" i="8" s="1"/>
  <c r="F65" i="8"/>
  <c r="K65" i="8" s="1"/>
  <c r="F71" i="8"/>
  <c r="K71" i="8" s="1"/>
  <c r="F78" i="8"/>
  <c r="K78" i="8" s="1"/>
  <c r="G58" i="8"/>
  <c r="G47" i="8"/>
  <c r="G77" i="8"/>
  <c r="L77" i="8" s="1"/>
  <c r="G46" i="8"/>
  <c r="L46" i="8" s="1"/>
  <c r="G73" i="8"/>
  <c r="L73" i="8" s="1"/>
  <c r="G78" i="8"/>
  <c r="L78" i="8" s="1"/>
  <c r="G95" i="8"/>
  <c r="L95" i="8" s="1"/>
  <c r="G60" i="8"/>
  <c r="L60" i="8" s="1"/>
  <c r="G50" i="8"/>
  <c r="L50" i="8" s="1"/>
  <c r="G64" i="8"/>
  <c r="L64" i="8" s="1"/>
  <c r="G91" i="8"/>
  <c r="L91" i="8" s="1"/>
  <c r="G87" i="8"/>
  <c r="L87" i="8" s="1"/>
  <c r="D101" i="8"/>
  <c r="F101" i="8" s="1"/>
  <c r="J101" i="8" s="1"/>
  <c r="G59" i="8"/>
  <c r="L59" i="8" s="1"/>
  <c r="G44" i="8"/>
  <c r="L44" i="8" s="1"/>
  <c r="G48" i="8"/>
  <c r="L48" i="8" s="1"/>
  <c r="G51" i="8"/>
  <c r="G92" i="8"/>
  <c r="L92" i="8" s="1"/>
  <c r="D103" i="8"/>
  <c r="F103" i="8" s="1"/>
  <c r="J103" i="8" s="1"/>
  <c r="G72" i="8"/>
  <c r="L72" i="8" s="1"/>
  <c r="G43" i="8"/>
  <c r="L43" i="8" s="1"/>
  <c r="D107" i="8"/>
  <c r="F107" i="8" s="1"/>
  <c r="J107" i="8" s="1"/>
  <c r="D109" i="8"/>
  <c r="F109" i="8" s="1"/>
  <c r="J109" i="8" s="1"/>
  <c r="G76" i="8"/>
  <c r="L76" i="8" s="1"/>
  <c r="D104" i="8"/>
  <c r="G62" i="8"/>
  <c r="L62" i="8" s="1"/>
  <c r="K51" i="8"/>
  <c r="K48" i="8"/>
  <c r="K62" i="8"/>
  <c r="Y11" i="8"/>
  <c r="O11" i="8"/>
  <c r="K64" i="8"/>
  <c r="K50" i="8"/>
  <c r="L51" i="8"/>
  <c r="G93" i="8"/>
  <c r="L93" i="8" s="1"/>
  <c r="G49" i="8"/>
  <c r="L49" i="8" s="1"/>
  <c r="D106" i="8"/>
  <c r="F106" i="8" s="1"/>
  <c r="J106" i="8" s="1"/>
  <c r="G74" i="8"/>
  <c r="L74" i="8" s="1"/>
  <c r="L63" i="8"/>
  <c r="X11" i="8"/>
  <c r="N11" i="8"/>
  <c r="C42" i="8" s="1"/>
  <c r="L58" i="8"/>
  <c r="G75" i="8"/>
  <c r="L75" i="8" s="1"/>
  <c r="G94" i="8"/>
  <c r="L94" i="8" s="1"/>
  <c r="G89" i="8"/>
  <c r="L89" i="8" s="1"/>
  <c r="G56" i="8"/>
  <c r="L56" i="8" s="1"/>
  <c r="G86" i="8"/>
  <c r="L86" i="8" s="1"/>
  <c r="K56" i="8"/>
  <c r="K57" i="8"/>
  <c r="K43" i="8"/>
  <c r="G45" i="8"/>
  <c r="L45" i="8" s="1"/>
  <c r="F104" i="8"/>
  <c r="J104" i="8" s="1"/>
  <c r="K46" i="8"/>
  <c r="D100" i="8"/>
  <c r="F100" i="8" s="1"/>
  <c r="J100" i="8" s="1"/>
  <c r="D108" i="8"/>
  <c r="F108" i="8" s="1"/>
  <c r="J108" i="8" s="1"/>
  <c r="G65" i="8"/>
  <c r="L65" i="8" s="1"/>
  <c r="C26" i="8"/>
  <c r="E26" i="8" s="1"/>
  <c r="E37" i="8" s="1"/>
  <c r="B26" i="8"/>
  <c r="D26" i="8" s="1"/>
  <c r="D37" i="8" s="1"/>
  <c r="Z11" i="8"/>
  <c r="K45" i="8"/>
  <c r="G71" i="8"/>
  <c r="L71" i="8" s="1"/>
  <c r="K47" i="8"/>
  <c r="K61" i="8"/>
  <c r="L47" i="8"/>
  <c r="D102" i="8"/>
  <c r="F102" i="8" s="1"/>
  <c r="J102" i="8" s="1"/>
  <c r="G70" i="8"/>
  <c r="L70" i="8" s="1"/>
  <c r="G61" i="8"/>
  <c r="L61" i="8" s="1"/>
  <c r="G90" i="8"/>
  <c r="L90" i="8" s="1"/>
  <c r="G32" i="7"/>
  <c r="I32" i="7" s="1"/>
  <c r="G28" i="7"/>
  <c r="I28" i="7" s="1"/>
  <c r="G36" i="7"/>
  <c r="I36" i="7" s="1"/>
  <c r="G31" i="7"/>
  <c r="I31" i="7" s="1"/>
  <c r="G27" i="7"/>
  <c r="I27" i="7" s="1"/>
  <c r="G35" i="7"/>
  <c r="I35" i="7" s="1"/>
  <c r="G30" i="7"/>
  <c r="I30" i="7" s="1"/>
  <c r="G33" i="7"/>
  <c r="I33" i="7" s="1"/>
  <c r="G29" i="7"/>
  <c r="I29" i="7" s="1"/>
  <c r="G34" i="7"/>
  <c r="I34" i="7" s="1"/>
  <c r="AB11" i="7"/>
  <c r="Q11" i="7"/>
  <c r="AA11" i="7"/>
  <c r="O11" i="7"/>
  <c r="Y11" i="7"/>
  <c r="N11" i="7"/>
  <c r="X11" i="7"/>
  <c r="Z11" i="7"/>
  <c r="D35" i="7"/>
  <c r="H122" i="7" s="1"/>
  <c r="D34" i="7"/>
  <c r="H121" i="7" s="1"/>
  <c r="D30" i="7"/>
  <c r="H117" i="7" s="1"/>
  <c r="D33" i="7"/>
  <c r="H120" i="7" s="1"/>
  <c r="D29" i="7"/>
  <c r="H116" i="7" s="1"/>
  <c r="F26" i="7"/>
  <c r="D32" i="7"/>
  <c r="H119" i="7" s="1"/>
  <c r="D28" i="7"/>
  <c r="H115" i="7" s="1"/>
  <c r="D31" i="7"/>
  <c r="H118" i="7" s="1"/>
  <c r="D36" i="7"/>
  <c r="H123" i="7" s="1"/>
  <c r="D27" i="7"/>
  <c r="H114" i="7" s="1"/>
  <c r="E34" i="6"/>
  <c r="E35" i="6"/>
  <c r="E30" i="6"/>
  <c r="E33" i="6"/>
  <c r="E29" i="6"/>
  <c r="G26" i="6"/>
  <c r="E32" i="6"/>
  <c r="E28" i="6"/>
  <c r="E36" i="6"/>
  <c r="E31" i="6"/>
  <c r="E27" i="6"/>
  <c r="Z11" i="6"/>
  <c r="Q11" i="6"/>
  <c r="AA11" i="6"/>
  <c r="Y11" i="6"/>
  <c r="N11" i="6"/>
  <c r="X11" i="6"/>
  <c r="D35" i="6"/>
  <c r="H122" i="6" s="1"/>
  <c r="D34" i="6"/>
  <c r="H121" i="6" s="1"/>
  <c r="D30" i="6"/>
  <c r="D33" i="6"/>
  <c r="D29" i="6"/>
  <c r="F26" i="6"/>
  <c r="D32" i="6"/>
  <c r="D28" i="6"/>
  <c r="D36" i="6"/>
  <c r="H123" i="6" s="1"/>
  <c r="D31" i="6"/>
  <c r="H118" i="6" s="1"/>
  <c r="D27" i="6"/>
  <c r="AB11" i="6"/>
  <c r="F26" i="5"/>
  <c r="F37" i="5" s="1"/>
  <c r="H37" i="5" s="1"/>
  <c r="D28" i="5"/>
  <c r="D36" i="5"/>
  <c r="D29" i="5"/>
  <c r="D27" i="5"/>
  <c r="E33" i="5"/>
  <c r="E31" i="5"/>
  <c r="E32" i="5"/>
  <c r="E34" i="5"/>
  <c r="E35" i="5"/>
  <c r="E28" i="5"/>
  <c r="E36" i="5"/>
  <c r="E29" i="5"/>
  <c r="E27" i="5"/>
  <c r="E30" i="5"/>
  <c r="G26" i="5"/>
  <c r="G37" i="5" s="1"/>
  <c r="I37" i="5" s="1"/>
  <c r="D100" i="5"/>
  <c r="F100" i="5" s="1"/>
  <c r="A121" i="5"/>
  <c r="A107" i="5"/>
  <c r="A120" i="5"/>
  <c r="A106" i="5"/>
  <c r="F11" i="5"/>
  <c r="P11" i="5" s="1"/>
  <c r="A115" i="5"/>
  <c r="A117" i="5"/>
  <c r="A119" i="5"/>
  <c r="N11" i="5"/>
  <c r="AB11" i="5"/>
  <c r="Y11" i="5"/>
  <c r="O11" i="5"/>
  <c r="R11" i="4"/>
  <c r="L58" i="4"/>
  <c r="L60" i="4"/>
  <c r="L52" i="4"/>
  <c r="L56" i="4"/>
  <c r="X11" i="4"/>
  <c r="L55" i="4"/>
  <c r="O11" i="4"/>
  <c r="Y11" i="4"/>
  <c r="Q11" i="4"/>
  <c r="AA11" i="4"/>
  <c r="P11" i="4"/>
  <c r="Z11" i="4"/>
  <c r="L54" i="4"/>
  <c r="L53" i="4"/>
  <c r="E21" i="3"/>
  <c r="I21" i="3" s="1"/>
  <c r="AB7" i="1"/>
  <c r="AB12" i="1"/>
  <c r="AB8" i="1"/>
  <c r="E15" i="3"/>
  <c r="J15" i="3" s="1"/>
  <c r="E23" i="3"/>
  <c r="E22" i="3"/>
  <c r="E19" i="3"/>
  <c r="G19" i="3" s="1"/>
  <c r="E20" i="3"/>
  <c r="E18" i="3"/>
  <c r="G18" i="3" s="1"/>
  <c r="E17" i="3"/>
  <c r="G17" i="3" s="1"/>
  <c r="E16" i="3"/>
  <c r="G16" i="3" s="1"/>
  <c r="M11" i="2"/>
  <c r="K11" i="2"/>
  <c r="J11" i="2"/>
  <c r="L11" i="2"/>
  <c r="T2" i="2"/>
  <c r="D11" i="2"/>
  <c r="K23" i="3"/>
  <c r="K16" i="3"/>
  <c r="K20" i="3"/>
  <c r="K21" i="3"/>
  <c r="K17" i="3"/>
  <c r="K18" i="3"/>
  <c r="K19" i="3"/>
  <c r="K22" i="3"/>
  <c r="F30" i="1"/>
  <c r="AB2" i="1"/>
  <c r="AA11" i="5" l="1"/>
  <c r="D33" i="5"/>
  <c r="D35" i="5"/>
  <c r="D37" i="5"/>
  <c r="H124" i="5" s="1"/>
  <c r="D31" i="5"/>
  <c r="D32" i="5"/>
  <c r="D30" i="5"/>
  <c r="H114" i="5"/>
  <c r="C17" i="9" s="1"/>
  <c r="J37" i="5"/>
  <c r="E124" i="5" s="1"/>
  <c r="H116" i="5"/>
  <c r="N13" i="10"/>
  <c r="M13" i="10"/>
  <c r="K13" i="10"/>
  <c r="H85" i="4"/>
  <c r="I85" i="4"/>
  <c r="H88" i="4"/>
  <c r="I88" i="4"/>
  <c r="H86" i="4"/>
  <c r="I86" i="4"/>
  <c r="I87" i="4"/>
  <c r="H87" i="4"/>
  <c r="E37" i="4"/>
  <c r="J37" i="4" s="1"/>
  <c r="E23" i="4"/>
  <c r="J23" i="4" s="1"/>
  <c r="E51" i="4"/>
  <c r="J51" i="4" s="1"/>
  <c r="E67" i="4"/>
  <c r="J67" i="4" s="1"/>
  <c r="F67" i="4"/>
  <c r="K67" i="4" s="1"/>
  <c r="F23" i="4"/>
  <c r="K23" i="4" s="1"/>
  <c r="F51" i="4"/>
  <c r="K51" i="4" s="1"/>
  <c r="F37" i="4"/>
  <c r="K37" i="4" s="1"/>
  <c r="G23" i="4"/>
  <c r="L23" i="4" s="1"/>
  <c r="G67" i="4"/>
  <c r="L67" i="4" s="1"/>
  <c r="G37" i="4"/>
  <c r="L37" i="4" s="1"/>
  <c r="G51" i="4"/>
  <c r="I81" i="4"/>
  <c r="H81" i="4"/>
  <c r="D67" i="4"/>
  <c r="I67" i="4" s="1"/>
  <c r="D37" i="4"/>
  <c r="I37" i="4" s="1"/>
  <c r="G79" i="4"/>
  <c r="D51" i="4"/>
  <c r="I51" i="4" s="1"/>
  <c r="D23" i="4"/>
  <c r="I23" i="4" s="1"/>
  <c r="D110" i="6"/>
  <c r="F110" i="6" s="1"/>
  <c r="J110" i="6" s="1"/>
  <c r="G96" i="6"/>
  <c r="L96" i="6" s="1"/>
  <c r="G66" i="6"/>
  <c r="L66" i="6" s="1"/>
  <c r="F6" i="10"/>
  <c r="I12" i="10" s="1"/>
  <c r="G52" i="6"/>
  <c r="L52" i="6" s="1"/>
  <c r="G80" i="6"/>
  <c r="L80" i="6" s="1"/>
  <c r="C96" i="6"/>
  <c r="H96" i="6" s="1"/>
  <c r="M96" i="6" s="1"/>
  <c r="C66" i="6"/>
  <c r="H66" i="6" s="1"/>
  <c r="M66" i="6" s="1"/>
  <c r="B6" i="10"/>
  <c r="E12" i="10" s="1"/>
  <c r="C80" i="6"/>
  <c r="H80" i="6" s="1"/>
  <c r="C52" i="6"/>
  <c r="H52" i="6" s="1"/>
  <c r="G124" i="6"/>
  <c r="K110" i="6"/>
  <c r="E6" i="10"/>
  <c r="H12" i="10" s="1"/>
  <c r="F52" i="6"/>
  <c r="K52" i="6" s="1"/>
  <c r="F96" i="6"/>
  <c r="K96" i="6" s="1"/>
  <c r="F66" i="6"/>
  <c r="K66" i="6" s="1"/>
  <c r="F80" i="6"/>
  <c r="K80" i="6" s="1"/>
  <c r="D80" i="6"/>
  <c r="I80" i="6" s="1"/>
  <c r="C6" i="10"/>
  <c r="F12" i="10" s="1"/>
  <c r="D66" i="6"/>
  <c r="I66" i="6" s="1"/>
  <c r="D52" i="6"/>
  <c r="I52" i="6" s="1"/>
  <c r="M52" i="6" s="1"/>
  <c r="D96" i="6"/>
  <c r="I96" i="6" s="1"/>
  <c r="C110" i="5"/>
  <c r="E110" i="5" s="1"/>
  <c r="I110" i="5" s="1"/>
  <c r="E66" i="5"/>
  <c r="J66" i="5" s="1"/>
  <c r="D7" i="10"/>
  <c r="G13" i="10" s="1"/>
  <c r="E80" i="5"/>
  <c r="J80" i="5" s="1"/>
  <c r="E52" i="5"/>
  <c r="J52" i="5" s="1"/>
  <c r="E96" i="5"/>
  <c r="J96" i="5" s="1"/>
  <c r="F66" i="5"/>
  <c r="K66" i="5" s="1"/>
  <c r="E7" i="10"/>
  <c r="H13" i="10" s="1"/>
  <c r="F80" i="5"/>
  <c r="K80" i="5" s="1"/>
  <c r="F96" i="5"/>
  <c r="K96" i="5" s="1"/>
  <c r="F52" i="5"/>
  <c r="K52" i="5" s="1"/>
  <c r="C80" i="5"/>
  <c r="H80" i="5" s="1"/>
  <c r="C96" i="5"/>
  <c r="H96" i="5" s="1"/>
  <c r="B7" i="10"/>
  <c r="E13" i="10" s="1"/>
  <c r="C52" i="5"/>
  <c r="H52" i="5" s="1"/>
  <c r="C66" i="5"/>
  <c r="H66" i="5" s="1"/>
  <c r="K110" i="5"/>
  <c r="G124" i="5"/>
  <c r="D66" i="5"/>
  <c r="I66" i="5" s="1"/>
  <c r="C7" i="10"/>
  <c r="F13" i="10" s="1"/>
  <c r="D80" i="5"/>
  <c r="I80" i="5" s="1"/>
  <c r="D96" i="5"/>
  <c r="I96" i="5" s="1"/>
  <c r="D52" i="5"/>
  <c r="I52" i="5" s="1"/>
  <c r="F66" i="7"/>
  <c r="K66" i="7" s="1"/>
  <c r="F80" i="7"/>
  <c r="K80" i="7" s="1"/>
  <c r="F96" i="7"/>
  <c r="K96" i="7" s="1"/>
  <c r="F52" i="7"/>
  <c r="K52" i="7" s="1"/>
  <c r="E8" i="10"/>
  <c r="H14" i="10" s="1"/>
  <c r="G124" i="7"/>
  <c r="C80" i="7"/>
  <c r="H80" i="7" s="1"/>
  <c r="C96" i="7"/>
  <c r="H96" i="7" s="1"/>
  <c r="C52" i="7"/>
  <c r="H52" i="7" s="1"/>
  <c r="C66" i="7"/>
  <c r="H66" i="7" s="1"/>
  <c r="B8" i="10"/>
  <c r="E14" i="10" s="1"/>
  <c r="D66" i="7"/>
  <c r="I66" i="7" s="1"/>
  <c r="D80" i="7"/>
  <c r="I80" i="7" s="1"/>
  <c r="D96" i="7"/>
  <c r="I96" i="7" s="1"/>
  <c r="C8" i="10"/>
  <c r="F14" i="10" s="1"/>
  <c r="D52" i="7"/>
  <c r="I52" i="7" s="1"/>
  <c r="H124" i="8"/>
  <c r="C19" i="9" s="1"/>
  <c r="C9" i="10"/>
  <c r="F15" i="10" s="1"/>
  <c r="D96" i="8"/>
  <c r="I96" i="8" s="1"/>
  <c r="D80" i="8"/>
  <c r="I80" i="8" s="1"/>
  <c r="D52" i="8"/>
  <c r="I52" i="8" s="1"/>
  <c r="D66" i="8"/>
  <c r="I66" i="8" s="1"/>
  <c r="B9" i="10"/>
  <c r="E15" i="10" s="1"/>
  <c r="G124" i="8"/>
  <c r="B19" i="9" s="1"/>
  <c r="H25" i="9" s="1"/>
  <c r="C96" i="8"/>
  <c r="H96" i="8" s="1"/>
  <c r="C80" i="8"/>
  <c r="H80" i="8" s="1"/>
  <c r="C52" i="8"/>
  <c r="H52" i="8" s="1"/>
  <c r="C66" i="8"/>
  <c r="H66" i="8" s="1"/>
  <c r="D73" i="8"/>
  <c r="I73" i="8" s="1"/>
  <c r="D91" i="8"/>
  <c r="I91" i="8" s="1"/>
  <c r="D87" i="8"/>
  <c r="I87" i="8" s="1"/>
  <c r="D77" i="8"/>
  <c r="I77" i="8" s="1"/>
  <c r="D56" i="8"/>
  <c r="I56" i="8" s="1"/>
  <c r="D46" i="8"/>
  <c r="I46" i="8" s="1"/>
  <c r="D89" i="8"/>
  <c r="I89" i="8" s="1"/>
  <c r="D88" i="8"/>
  <c r="I88" i="8" s="1"/>
  <c r="D60" i="8"/>
  <c r="I60" i="8" s="1"/>
  <c r="D63" i="8"/>
  <c r="I63" i="8" s="1"/>
  <c r="D61" i="8"/>
  <c r="I61" i="8" s="1"/>
  <c r="D58" i="8"/>
  <c r="I58" i="8" s="1"/>
  <c r="D49" i="8"/>
  <c r="I49" i="8" s="1"/>
  <c r="D71" i="8"/>
  <c r="I71" i="8" s="1"/>
  <c r="D70" i="8"/>
  <c r="I70" i="8" s="1"/>
  <c r="D59" i="8"/>
  <c r="I59" i="8" s="1"/>
  <c r="D51" i="8"/>
  <c r="I51" i="8" s="1"/>
  <c r="D50" i="8"/>
  <c r="I50" i="8" s="1"/>
  <c r="D86" i="8"/>
  <c r="I86" i="8" s="1"/>
  <c r="D93" i="8"/>
  <c r="I93" i="8" s="1"/>
  <c r="D47" i="8"/>
  <c r="I47" i="8" s="1"/>
  <c r="D95" i="8"/>
  <c r="I95" i="8" s="1"/>
  <c r="D65" i="8"/>
  <c r="I65" i="8" s="1"/>
  <c r="D62" i="8"/>
  <c r="I62" i="8" s="1"/>
  <c r="D75" i="8"/>
  <c r="I75" i="8" s="1"/>
  <c r="D72" i="8"/>
  <c r="I72" i="8" s="1"/>
  <c r="D79" i="8"/>
  <c r="I79" i="8" s="1"/>
  <c r="D64" i="8"/>
  <c r="I64" i="8" s="1"/>
  <c r="D57" i="8"/>
  <c r="I57" i="8" s="1"/>
  <c r="D78" i="8"/>
  <c r="I78" i="8" s="1"/>
  <c r="D42" i="8"/>
  <c r="I42" i="8" s="1"/>
  <c r="D48" i="8"/>
  <c r="I48" i="8" s="1"/>
  <c r="D94" i="8"/>
  <c r="I94" i="8" s="1"/>
  <c r="D92" i="8"/>
  <c r="I92" i="8" s="1"/>
  <c r="D90" i="8"/>
  <c r="I90" i="8" s="1"/>
  <c r="D43" i="8"/>
  <c r="I43" i="8" s="1"/>
  <c r="D45" i="8"/>
  <c r="I45" i="8" s="1"/>
  <c r="D74" i="8"/>
  <c r="I74" i="8" s="1"/>
  <c r="D44" i="8"/>
  <c r="I44" i="8" s="1"/>
  <c r="D76" i="8"/>
  <c r="I76" i="8" s="1"/>
  <c r="G120" i="8"/>
  <c r="G116" i="8"/>
  <c r="G119" i="8"/>
  <c r="G115" i="8"/>
  <c r="G123" i="8"/>
  <c r="G117" i="8"/>
  <c r="G121" i="8"/>
  <c r="G118" i="8"/>
  <c r="G122" i="8"/>
  <c r="G114" i="8"/>
  <c r="C73" i="8"/>
  <c r="H73" i="8" s="1"/>
  <c r="C71" i="8"/>
  <c r="H71" i="8" s="1"/>
  <c r="C51" i="8"/>
  <c r="H51" i="8" s="1"/>
  <c r="C43" i="8"/>
  <c r="H43" i="8" s="1"/>
  <c r="C48" i="8"/>
  <c r="H48" i="8" s="1"/>
  <c r="C95" i="8"/>
  <c r="H95" i="8" s="1"/>
  <c r="C77" i="8"/>
  <c r="H77" i="8" s="1"/>
  <c r="C74" i="8"/>
  <c r="H74" i="8" s="1"/>
  <c r="C94" i="8"/>
  <c r="H94" i="8" s="1"/>
  <c r="C45" i="8"/>
  <c r="H45" i="8" s="1"/>
  <c r="C50" i="8"/>
  <c r="H50" i="8" s="1"/>
  <c r="C86" i="8"/>
  <c r="H86" i="8" s="1"/>
  <c r="C78" i="8"/>
  <c r="H78" i="8" s="1"/>
  <c r="C91" i="8"/>
  <c r="H91" i="8" s="1"/>
  <c r="C46" i="8"/>
  <c r="H46" i="8" s="1"/>
  <c r="C75" i="8"/>
  <c r="H75" i="8" s="1"/>
  <c r="C64" i="8"/>
  <c r="H64" i="8" s="1"/>
  <c r="C76" i="8"/>
  <c r="H76" i="8" s="1"/>
  <c r="C60" i="8"/>
  <c r="H60" i="8" s="1"/>
  <c r="C49" i="8"/>
  <c r="H49" i="8" s="1"/>
  <c r="H42" i="8"/>
  <c r="C92" i="8"/>
  <c r="H92" i="8" s="1"/>
  <c r="C87" i="8"/>
  <c r="H87" i="8" s="1"/>
  <c r="C57" i="8"/>
  <c r="H57" i="8" s="1"/>
  <c r="C70" i="8"/>
  <c r="H70" i="8" s="1"/>
  <c r="C90" i="8"/>
  <c r="H90" i="8" s="1"/>
  <c r="C65" i="8"/>
  <c r="H65" i="8" s="1"/>
  <c r="C58" i="8"/>
  <c r="H58" i="8" s="1"/>
  <c r="M58" i="8" s="1"/>
  <c r="C89" i="8"/>
  <c r="H89" i="8" s="1"/>
  <c r="C63" i="8"/>
  <c r="H63" i="8" s="1"/>
  <c r="M63" i="8" s="1"/>
  <c r="C56" i="8"/>
  <c r="H56" i="8" s="1"/>
  <c r="C79" i="8"/>
  <c r="H79" i="8" s="1"/>
  <c r="C59" i="8"/>
  <c r="H59" i="8" s="1"/>
  <c r="C47" i="8"/>
  <c r="H47" i="8" s="1"/>
  <c r="C88" i="8"/>
  <c r="H88" i="8" s="1"/>
  <c r="C61" i="8"/>
  <c r="H61" i="8" s="1"/>
  <c r="C72" i="8"/>
  <c r="H72" i="8" s="1"/>
  <c r="C62" i="8"/>
  <c r="H62" i="8" s="1"/>
  <c r="M62" i="8" s="1"/>
  <c r="C44" i="8"/>
  <c r="H44" i="8" s="1"/>
  <c r="C93" i="8"/>
  <c r="H93" i="8" s="1"/>
  <c r="E34" i="8"/>
  <c r="E36" i="8"/>
  <c r="E31" i="8"/>
  <c r="E27" i="8"/>
  <c r="E35" i="8"/>
  <c r="E30" i="8"/>
  <c r="E33" i="8"/>
  <c r="E28" i="8"/>
  <c r="E29" i="8"/>
  <c r="G26" i="8"/>
  <c r="G37" i="8" s="1"/>
  <c r="I37" i="8" s="1"/>
  <c r="E32" i="8"/>
  <c r="E65" i="8"/>
  <c r="J65" i="8" s="1"/>
  <c r="E46" i="8"/>
  <c r="J46" i="8" s="1"/>
  <c r="E94" i="8"/>
  <c r="J94" i="8" s="1"/>
  <c r="E60" i="8"/>
  <c r="J60" i="8" s="1"/>
  <c r="E77" i="8"/>
  <c r="J77" i="8" s="1"/>
  <c r="E56" i="8"/>
  <c r="J56" i="8" s="1"/>
  <c r="E90" i="8"/>
  <c r="J90" i="8" s="1"/>
  <c r="E73" i="8"/>
  <c r="J73" i="8" s="1"/>
  <c r="E71" i="8"/>
  <c r="J71" i="8" s="1"/>
  <c r="C106" i="8"/>
  <c r="E106" i="8" s="1"/>
  <c r="I106" i="8" s="1"/>
  <c r="K106" i="8" s="1"/>
  <c r="E48" i="8"/>
  <c r="J48" i="8" s="1"/>
  <c r="E89" i="8"/>
  <c r="J89" i="8" s="1"/>
  <c r="E87" i="8"/>
  <c r="J87" i="8" s="1"/>
  <c r="E95" i="8"/>
  <c r="J95" i="8" s="1"/>
  <c r="E76" i="8"/>
  <c r="J76" i="8" s="1"/>
  <c r="E62" i="8"/>
  <c r="J62" i="8" s="1"/>
  <c r="E70" i="8"/>
  <c r="J70" i="8" s="1"/>
  <c r="C102" i="8"/>
  <c r="E102" i="8" s="1"/>
  <c r="I102" i="8" s="1"/>
  <c r="K102" i="8" s="1"/>
  <c r="E91" i="8"/>
  <c r="J91" i="8" s="1"/>
  <c r="E86" i="8"/>
  <c r="J86" i="8" s="1"/>
  <c r="E74" i="8"/>
  <c r="J74" i="8" s="1"/>
  <c r="E92" i="8"/>
  <c r="J92" i="8" s="1"/>
  <c r="E72" i="8"/>
  <c r="J72" i="8" s="1"/>
  <c r="E44" i="8"/>
  <c r="J44" i="8" s="1"/>
  <c r="E43" i="8"/>
  <c r="J43" i="8" s="1"/>
  <c r="E45" i="8"/>
  <c r="J45" i="8" s="1"/>
  <c r="E93" i="8"/>
  <c r="J93" i="8" s="1"/>
  <c r="E75" i="8"/>
  <c r="J75" i="8" s="1"/>
  <c r="C109" i="8"/>
  <c r="E109" i="8" s="1"/>
  <c r="I109" i="8" s="1"/>
  <c r="K109" i="8" s="1"/>
  <c r="C108" i="8"/>
  <c r="E108" i="8" s="1"/>
  <c r="I108" i="8" s="1"/>
  <c r="K108" i="8" s="1"/>
  <c r="E59" i="8"/>
  <c r="J59" i="8" s="1"/>
  <c r="E51" i="8"/>
  <c r="J51" i="8" s="1"/>
  <c r="C105" i="8"/>
  <c r="E105" i="8" s="1"/>
  <c r="I105" i="8" s="1"/>
  <c r="K105" i="8" s="1"/>
  <c r="E50" i="8"/>
  <c r="J50" i="8" s="1"/>
  <c r="C107" i="8"/>
  <c r="E107" i="8" s="1"/>
  <c r="I107" i="8" s="1"/>
  <c r="K107" i="8" s="1"/>
  <c r="E57" i="8"/>
  <c r="J57" i="8" s="1"/>
  <c r="E42" i="8"/>
  <c r="J42" i="8" s="1"/>
  <c r="C104" i="8"/>
  <c r="E104" i="8" s="1"/>
  <c r="I104" i="8" s="1"/>
  <c r="K104" i="8" s="1"/>
  <c r="E63" i="8"/>
  <c r="J63" i="8" s="1"/>
  <c r="E49" i="8"/>
  <c r="J49" i="8" s="1"/>
  <c r="C101" i="8"/>
  <c r="E101" i="8" s="1"/>
  <c r="I101" i="8" s="1"/>
  <c r="K101" i="8" s="1"/>
  <c r="C103" i="8"/>
  <c r="E103" i="8" s="1"/>
  <c r="I103" i="8" s="1"/>
  <c r="K103" i="8" s="1"/>
  <c r="E88" i="8"/>
  <c r="J88" i="8" s="1"/>
  <c r="E61" i="8"/>
  <c r="J61" i="8" s="1"/>
  <c r="E79" i="8"/>
  <c r="J79" i="8" s="1"/>
  <c r="E78" i="8"/>
  <c r="J78" i="8" s="1"/>
  <c r="E58" i="8"/>
  <c r="J58" i="8" s="1"/>
  <c r="E47" i="8"/>
  <c r="J47" i="8" s="1"/>
  <c r="E64" i="8"/>
  <c r="J64" i="8" s="1"/>
  <c r="C100" i="8"/>
  <c r="E100" i="8" s="1"/>
  <c r="I100" i="8" s="1"/>
  <c r="K100" i="8" s="1"/>
  <c r="D32" i="8"/>
  <c r="D28" i="8"/>
  <c r="D36" i="8"/>
  <c r="D31" i="8"/>
  <c r="D27" i="8"/>
  <c r="D35" i="8"/>
  <c r="D34" i="8"/>
  <c r="D30" i="8"/>
  <c r="F26" i="8"/>
  <c r="F37" i="8" s="1"/>
  <c r="H37" i="8" s="1"/>
  <c r="J37" i="8" s="1"/>
  <c r="E124" i="8" s="1"/>
  <c r="D33" i="8"/>
  <c r="H120" i="8" s="1"/>
  <c r="D29" i="8"/>
  <c r="F33" i="7"/>
  <c r="H33" i="7" s="1"/>
  <c r="J33" i="7" s="1"/>
  <c r="E120" i="7" s="1"/>
  <c r="F29" i="7"/>
  <c r="H29" i="7" s="1"/>
  <c r="J29" i="7" s="1"/>
  <c r="E116" i="7" s="1"/>
  <c r="F32" i="7"/>
  <c r="H32" i="7" s="1"/>
  <c r="J32" i="7" s="1"/>
  <c r="E119" i="7" s="1"/>
  <c r="F28" i="7"/>
  <c r="H28" i="7" s="1"/>
  <c r="J28" i="7" s="1"/>
  <c r="E115" i="7" s="1"/>
  <c r="F36" i="7"/>
  <c r="H36" i="7" s="1"/>
  <c r="J36" i="7" s="1"/>
  <c r="E123" i="7" s="1"/>
  <c r="F31" i="7"/>
  <c r="H31" i="7" s="1"/>
  <c r="J31" i="7" s="1"/>
  <c r="E118" i="7" s="1"/>
  <c r="F27" i="7"/>
  <c r="H27" i="7" s="1"/>
  <c r="J27" i="7" s="1"/>
  <c r="E114" i="7" s="1"/>
  <c r="F35" i="7"/>
  <c r="H35" i="7" s="1"/>
  <c r="J35" i="7" s="1"/>
  <c r="E122" i="7" s="1"/>
  <c r="F30" i="7"/>
  <c r="H30" i="7" s="1"/>
  <c r="J30" i="7" s="1"/>
  <c r="E117" i="7" s="1"/>
  <c r="F34" i="7"/>
  <c r="H34" i="7" s="1"/>
  <c r="J34" i="7" s="1"/>
  <c r="E121" i="7" s="1"/>
  <c r="G120" i="7"/>
  <c r="G116" i="7"/>
  <c r="G119" i="7"/>
  <c r="G115" i="7"/>
  <c r="G123" i="7"/>
  <c r="G117" i="7"/>
  <c r="G114" i="7"/>
  <c r="B18" i="9" s="1"/>
  <c r="C88" i="7"/>
  <c r="H88" i="7" s="1"/>
  <c r="C48" i="7"/>
  <c r="H48" i="7" s="1"/>
  <c r="G121" i="7"/>
  <c r="G118" i="7"/>
  <c r="C46" i="7"/>
  <c r="H46" i="7" s="1"/>
  <c r="C70" i="7"/>
  <c r="H70" i="7" s="1"/>
  <c r="G122" i="7"/>
  <c r="C62" i="7"/>
  <c r="H62" i="7" s="1"/>
  <c r="C50" i="7"/>
  <c r="H50" i="7" s="1"/>
  <c r="C42" i="7"/>
  <c r="H42" i="7" s="1"/>
  <c r="C79" i="7"/>
  <c r="H79" i="7" s="1"/>
  <c r="C71" i="7"/>
  <c r="H71" i="7" s="1"/>
  <c r="C93" i="7"/>
  <c r="H93" i="7" s="1"/>
  <c r="C78" i="7"/>
  <c r="H78" i="7" s="1"/>
  <c r="C56" i="7"/>
  <c r="H56" i="7" s="1"/>
  <c r="C57" i="7"/>
  <c r="H57" i="7" s="1"/>
  <c r="C47" i="7"/>
  <c r="H47" i="7" s="1"/>
  <c r="C58" i="7"/>
  <c r="H58" i="7" s="1"/>
  <c r="C94" i="7"/>
  <c r="H94" i="7" s="1"/>
  <c r="C95" i="7"/>
  <c r="H95" i="7" s="1"/>
  <c r="C49" i="7"/>
  <c r="H49" i="7" s="1"/>
  <c r="C63" i="7"/>
  <c r="H63" i="7" s="1"/>
  <c r="C59" i="7"/>
  <c r="H59" i="7" s="1"/>
  <c r="C86" i="7"/>
  <c r="H86" i="7" s="1"/>
  <c r="C44" i="7"/>
  <c r="H44" i="7" s="1"/>
  <c r="C92" i="7"/>
  <c r="H92" i="7" s="1"/>
  <c r="C90" i="7"/>
  <c r="H90" i="7" s="1"/>
  <c r="C45" i="7"/>
  <c r="H45" i="7" s="1"/>
  <c r="C87" i="7"/>
  <c r="H87" i="7" s="1"/>
  <c r="C43" i="7"/>
  <c r="H43" i="7" s="1"/>
  <c r="C60" i="7"/>
  <c r="H60" i="7" s="1"/>
  <c r="C61" i="7"/>
  <c r="H61" i="7" s="1"/>
  <c r="C74" i="7"/>
  <c r="H74" i="7" s="1"/>
  <c r="C72" i="7"/>
  <c r="H72" i="7" s="1"/>
  <c r="C91" i="7"/>
  <c r="H91" i="7" s="1"/>
  <c r="C65" i="7"/>
  <c r="H65" i="7" s="1"/>
  <c r="C64" i="7"/>
  <c r="H64" i="7" s="1"/>
  <c r="C75" i="7"/>
  <c r="H75" i="7" s="1"/>
  <c r="C51" i="7"/>
  <c r="H51" i="7" s="1"/>
  <c r="C77" i="7"/>
  <c r="H77" i="7" s="1"/>
  <c r="C76" i="7"/>
  <c r="H76" i="7" s="1"/>
  <c r="C89" i="7"/>
  <c r="H89" i="7" s="1"/>
  <c r="C73" i="7"/>
  <c r="H73" i="7" s="1"/>
  <c r="E46" i="7"/>
  <c r="J46" i="7" s="1"/>
  <c r="E44" i="7"/>
  <c r="J44" i="7" s="1"/>
  <c r="E79" i="7"/>
  <c r="J79" i="7" s="1"/>
  <c r="E71" i="7"/>
  <c r="J71" i="7" s="1"/>
  <c r="E48" i="7"/>
  <c r="J48" i="7" s="1"/>
  <c r="E72" i="7"/>
  <c r="J72" i="7" s="1"/>
  <c r="E94" i="7"/>
  <c r="J94" i="7" s="1"/>
  <c r="E91" i="7"/>
  <c r="J91" i="7" s="1"/>
  <c r="E93" i="7"/>
  <c r="J93" i="7" s="1"/>
  <c r="E75" i="7"/>
  <c r="J75" i="7" s="1"/>
  <c r="E74" i="7"/>
  <c r="J74" i="7" s="1"/>
  <c r="E89" i="7"/>
  <c r="J89" i="7" s="1"/>
  <c r="E87" i="7"/>
  <c r="J87" i="7" s="1"/>
  <c r="E51" i="7"/>
  <c r="J51" i="7" s="1"/>
  <c r="C101" i="7"/>
  <c r="E101" i="7" s="1"/>
  <c r="I101" i="7" s="1"/>
  <c r="E77" i="7"/>
  <c r="J77" i="7" s="1"/>
  <c r="E42" i="7"/>
  <c r="J42" i="7" s="1"/>
  <c r="E64" i="7"/>
  <c r="J64" i="7" s="1"/>
  <c r="E76" i="7"/>
  <c r="J76" i="7" s="1"/>
  <c r="E95" i="7"/>
  <c r="J95" i="7" s="1"/>
  <c r="E49" i="7"/>
  <c r="J49" i="7" s="1"/>
  <c r="C103" i="7"/>
  <c r="E103" i="7" s="1"/>
  <c r="I103" i="7" s="1"/>
  <c r="E62" i="7"/>
  <c r="J62" i="7" s="1"/>
  <c r="E56" i="7"/>
  <c r="J56" i="7" s="1"/>
  <c r="C108" i="7"/>
  <c r="E108" i="7" s="1"/>
  <c r="I108" i="7" s="1"/>
  <c r="E65" i="7"/>
  <c r="J65" i="7" s="1"/>
  <c r="C100" i="7"/>
  <c r="E100" i="7" s="1"/>
  <c r="I100" i="7" s="1"/>
  <c r="E47" i="7"/>
  <c r="J47" i="7" s="1"/>
  <c r="E57" i="7"/>
  <c r="J57" i="7" s="1"/>
  <c r="C105" i="7"/>
  <c r="E105" i="7" s="1"/>
  <c r="I105" i="7" s="1"/>
  <c r="E70" i="7"/>
  <c r="J70" i="7" s="1"/>
  <c r="C102" i="7"/>
  <c r="E102" i="7" s="1"/>
  <c r="I102" i="7" s="1"/>
  <c r="E61" i="7"/>
  <c r="J61" i="7" s="1"/>
  <c r="E45" i="7"/>
  <c r="J45" i="7" s="1"/>
  <c r="E58" i="7"/>
  <c r="J58" i="7" s="1"/>
  <c r="C107" i="7"/>
  <c r="E107" i="7" s="1"/>
  <c r="I107" i="7" s="1"/>
  <c r="E73" i="7"/>
  <c r="J73" i="7" s="1"/>
  <c r="E86" i="7"/>
  <c r="J86" i="7" s="1"/>
  <c r="E78" i="7"/>
  <c r="J78" i="7" s="1"/>
  <c r="C104" i="7"/>
  <c r="E104" i="7" s="1"/>
  <c r="I104" i="7" s="1"/>
  <c r="E90" i="7"/>
  <c r="J90" i="7" s="1"/>
  <c r="E88" i="7"/>
  <c r="J88" i="7" s="1"/>
  <c r="E43" i="7"/>
  <c r="J43" i="7" s="1"/>
  <c r="E59" i="7"/>
  <c r="J59" i="7" s="1"/>
  <c r="E60" i="7"/>
  <c r="J60" i="7" s="1"/>
  <c r="C109" i="7"/>
  <c r="E109" i="7" s="1"/>
  <c r="I109" i="7" s="1"/>
  <c r="E50" i="7"/>
  <c r="J50" i="7" s="1"/>
  <c r="E92" i="7"/>
  <c r="J92" i="7" s="1"/>
  <c r="C106" i="7"/>
  <c r="E106" i="7" s="1"/>
  <c r="I106" i="7" s="1"/>
  <c r="E63" i="7"/>
  <c r="J63" i="7" s="1"/>
  <c r="F94" i="7"/>
  <c r="K94" i="7" s="1"/>
  <c r="F86" i="7"/>
  <c r="K86" i="7" s="1"/>
  <c r="F72" i="7"/>
  <c r="K72" i="7" s="1"/>
  <c r="F61" i="7"/>
  <c r="K61" i="7" s="1"/>
  <c r="F73" i="7"/>
  <c r="K73" i="7" s="1"/>
  <c r="F87" i="7"/>
  <c r="K87" i="7" s="1"/>
  <c r="F74" i="7"/>
  <c r="K74" i="7" s="1"/>
  <c r="F88" i="7"/>
  <c r="K88" i="7" s="1"/>
  <c r="F60" i="7"/>
  <c r="K60" i="7" s="1"/>
  <c r="F48" i="7"/>
  <c r="K48" i="7" s="1"/>
  <c r="F49" i="7"/>
  <c r="K49" i="7" s="1"/>
  <c r="F63" i="7"/>
  <c r="K63" i="7" s="1"/>
  <c r="F51" i="7"/>
  <c r="K51" i="7" s="1"/>
  <c r="F58" i="7"/>
  <c r="K58" i="7" s="1"/>
  <c r="F57" i="7"/>
  <c r="K57" i="7" s="1"/>
  <c r="F64" i="7"/>
  <c r="K64" i="7" s="1"/>
  <c r="F75" i="7"/>
  <c r="K75" i="7" s="1"/>
  <c r="F89" i="7"/>
  <c r="K89" i="7" s="1"/>
  <c r="F77" i="7"/>
  <c r="K77" i="7" s="1"/>
  <c r="F90" i="7"/>
  <c r="K90" i="7" s="1"/>
  <c r="F62" i="7"/>
  <c r="K62" i="7" s="1"/>
  <c r="F50" i="7"/>
  <c r="K50" i="7" s="1"/>
  <c r="F93" i="7"/>
  <c r="K93" i="7" s="1"/>
  <c r="F91" i="7"/>
  <c r="K91" i="7" s="1"/>
  <c r="F70" i="7"/>
  <c r="K70" i="7" s="1"/>
  <c r="F65" i="7"/>
  <c r="K65" i="7" s="1"/>
  <c r="F95" i="7"/>
  <c r="K95" i="7" s="1"/>
  <c r="F59" i="7"/>
  <c r="K59" i="7" s="1"/>
  <c r="F78" i="7"/>
  <c r="K78" i="7" s="1"/>
  <c r="F79" i="7"/>
  <c r="K79" i="7" s="1"/>
  <c r="F42" i="7"/>
  <c r="K42" i="7" s="1"/>
  <c r="F76" i="7"/>
  <c r="K76" i="7" s="1"/>
  <c r="F71" i="7"/>
  <c r="K71" i="7" s="1"/>
  <c r="F44" i="7"/>
  <c r="K44" i="7" s="1"/>
  <c r="F43" i="7"/>
  <c r="K43" i="7" s="1"/>
  <c r="F45" i="7"/>
  <c r="K45" i="7" s="1"/>
  <c r="F56" i="7"/>
  <c r="K56" i="7" s="1"/>
  <c r="F92" i="7"/>
  <c r="K92" i="7" s="1"/>
  <c r="F46" i="7"/>
  <c r="K46" i="7" s="1"/>
  <c r="F47" i="7"/>
  <c r="K47" i="7" s="1"/>
  <c r="G45" i="7"/>
  <c r="L45" i="7" s="1"/>
  <c r="G51" i="7"/>
  <c r="L51" i="7" s="1"/>
  <c r="G43" i="7"/>
  <c r="L43" i="7" s="1"/>
  <c r="G89" i="7"/>
  <c r="L89" i="7" s="1"/>
  <c r="G47" i="7"/>
  <c r="L47" i="7" s="1"/>
  <c r="G75" i="7"/>
  <c r="L75" i="7" s="1"/>
  <c r="G78" i="7"/>
  <c r="L78" i="7" s="1"/>
  <c r="G94" i="7"/>
  <c r="L94" i="7" s="1"/>
  <c r="D107" i="7"/>
  <c r="F107" i="7" s="1"/>
  <c r="J107" i="7" s="1"/>
  <c r="G48" i="7"/>
  <c r="L48" i="7" s="1"/>
  <c r="G76" i="7"/>
  <c r="L76" i="7" s="1"/>
  <c r="G90" i="7"/>
  <c r="L90" i="7" s="1"/>
  <c r="G73" i="7"/>
  <c r="L73" i="7" s="1"/>
  <c r="G72" i="7"/>
  <c r="L72" i="7" s="1"/>
  <c r="G87" i="7"/>
  <c r="L87" i="7" s="1"/>
  <c r="D106" i="7"/>
  <c r="F106" i="7" s="1"/>
  <c r="J106" i="7" s="1"/>
  <c r="G56" i="7"/>
  <c r="L56" i="7" s="1"/>
  <c r="G57" i="7"/>
  <c r="L57" i="7" s="1"/>
  <c r="G50" i="7"/>
  <c r="L50" i="7" s="1"/>
  <c r="G71" i="7"/>
  <c r="L71" i="7" s="1"/>
  <c r="G92" i="7"/>
  <c r="L92" i="7" s="1"/>
  <c r="G62" i="7"/>
  <c r="L62" i="7" s="1"/>
  <c r="G79" i="7"/>
  <c r="L79" i="7" s="1"/>
  <c r="G74" i="7"/>
  <c r="L74" i="7" s="1"/>
  <c r="D105" i="7"/>
  <c r="F105" i="7" s="1"/>
  <c r="J105" i="7" s="1"/>
  <c r="G46" i="7"/>
  <c r="L46" i="7" s="1"/>
  <c r="G58" i="7"/>
  <c r="L58" i="7" s="1"/>
  <c r="G63" i="7"/>
  <c r="L63" i="7" s="1"/>
  <c r="D104" i="7"/>
  <c r="F104" i="7" s="1"/>
  <c r="J104" i="7" s="1"/>
  <c r="G60" i="7"/>
  <c r="L60" i="7" s="1"/>
  <c r="D101" i="7"/>
  <c r="F101" i="7" s="1"/>
  <c r="J101" i="7" s="1"/>
  <c r="D108" i="7"/>
  <c r="F108" i="7" s="1"/>
  <c r="J108" i="7" s="1"/>
  <c r="G95" i="7"/>
  <c r="L95" i="7" s="1"/>
  <c r="G49" i="7"/>
  <c r="L49" i="7" s="1"/>
  <c r="G64" i="7"/>
  <c r="L64" i="7" s="1"/>
  <c r="G59" i="7"/>
  <c r="L59" i="7" s="1"/>
  <c r="G93" i="7"/>
  <c r="L93" i="7" s="1"/>
  <c r="D103" i="7"/>
  <c r="F103" i="7" s="1"/>
  <c r="J103" i="7" s="1"/>
  <c r="G44" i="7"/>
  <c r="L44" i="7" s="1"/>
  <c r="G77" i="7"/>
  <c r="L77" i="7" s="1"/>
  <c r="G65" i="7"/>
  <c r="L65" i="7" s="1"/>
  <c r="G88" i="7"/>
  <c r="L88" i="7" s="1"/>
  <c r="G86" i="7"/>
  <c r="L86" i="7" s="1"/>
  <c r="D102" i="7"/>
  <c r="F102" i="7" s="1"/>
  <c r="J102" i="7" s="1"/>
  <c r="G70" i="7"/>
  <c r="L70" i="7" s="1"/>
  <c r="G61" i="7"/>
  <c r="L61" i="7" s="1"/>
  <c r="D109" i="7"/>
  <c r="F109" i="7" s="1"/>
  <c r="J109" i="7" s="1"/>
  <c r="G42" i="7"/>
  <c r="L42" i="7" s="1"/>
  <c r="G91" i="7"/>
  <c r="L91" i="7" s="1"/>
  <c r="D100" i="7"/>
  <c r="F100" i="7" s="1"/>
  <c r="J100" i="7" s="1"/>
  <c r="D95" i="7"/>
  <c r="I95" i="7" s="1"/>
  <c r="D89" i="7"/>
  <c r="I89" i="7" s="1"/>
  <c r="D47" i="7"/>
  <c r="I47" i="7" s="1"/>
  <c r="D45" i="7"/>
  <c r="I45" i="7" s="1"/>
  <c r="D63" i="7"/>
  <c r="I63" i="7" s="1"/>
  <c r="D65" i="7"/>
  <c r="I65" i="7" s="1"/>
  <c r="D64" i="7"/>
  <c r="I64" i="7" s="1"/>
  <c r="D62" i="7"/>
  <c r="I62" i="7" s="1"/>
  <c r="D50" i="7"/>
  <c r="I50" i="7" s="1"/>
  <c r="D42" i="7"/>
  <c r="I42" i="7" s="1"/>
  <c r="D61" i="7"/>
  <c r="I61" i="7" s="1"/>
  <c r="D49" i="7"/>
  <c r="I49" i="7" s="1"/>
  <c r="D56" i="7"/>
  <c r="I56" i="7" s="1"/>
  <c r="D70" i="7"/>
  <c r="I70" i="7" s="1"/>
  <c r="D57" i="7"/>
  <c r="I57" i="7" s="1"/>
  <c r="D48" i="7"/>
  <c r="I48" i="7" s="1"/>
  <c r="D74" i="7"/>
  <c r="I74" i="7" s="1"/>
  <c r="D91" i="7"/>
  <c r="I91" i="7" s="1"/>
  <c r="D93" i="7"/>
  <c r="I93" i="7" s="1"/>
  <c r="D44" i="7"/>
  <c r="I44" i="7" s="1"/>
  <c r="D46" i="7"/>
  <c r="I46" i="7" s="1"/>
  <c r="D59" i="7"/>
  <c r="I59" i="7" s="1"/>
  <c r="D43" i="7"/>
  <c r="I43" i="7" s="1"/>
  <c r="D72" i="7"/>
  <c r="I72" i="7" s="1"/>
  <c r="D71" i="7"/>
  <c r="I71" i="7" s="1"/>
  <c r="D86" i="7"/>
  <c r="I86" i="7" s="1"/>
  <c r="D78" i="7"/>
  <c r="I78" i="7" s="1"/>
  <c r="D73" i="7"/>
  <c r="I73" i="7" s="1"/>
  <c r="D76" i="7"/>
  <c r="I76" i="7" s="1"/>
  <c r="D92" i="7"/>
  <c r="I92" i="7" s="1"/>
  <c r="D90" i="7"/>
  <c r="I90" i="7" s="1"/>
  <c r="D87" i="7"/>
  <c r="I87" i="7" s="1"/>
  <c r="D77" i="7"/>
  <c r="I77" i="7" s="1"/>
  <c r="D60" i="7"/>
  <c r="I60" i="7" s="1"/>
  <c r="D75" i="7"/>
  <c r="I75" i="7" s="1"/>
  <c r="D88" i="7"/>
  <c r="I88" i="7" s="1"/>
  <c r="D58" i="7"/>
  <c r="I58" i="7" s="1"/>
  <c r="D79" i="7"/>
  <c r="I79" i="7" s="1"/>
  <c r="D94" i="7"/>
  <c r="I94" i="7" s="1"/>
  <c r="D51" i="7"/>
  <c r="I51" i="7" s="1"/>
  <c r="H115" i="6"/>
  <c r="H119" i="6"/>
  <c r="D91" i="6"/>
  <c r="I91" i="6" s="1"/>
  <c r="D90" i="6"/>
  <c r="I90" i="6" s="1"/>
  <c r="D65" i="6"/>
  <c r="I65" i="6" s="1"/>
  <c r="D64" i="6"/>
  <c r="I64" i="6" s="1"/>
  <c r="D44" i="6"/>
  <c r="I44" i="6" s="1"/>
  <c r="D95" i="6"/>
  <c r="I95" i="6" s="1"/>
  <c r="D77" i="6"/>
  <c r="I77" i="6" s="1"/>
  <c r="D76" i="6"/>
  <c r="I76" i="6" s="1"/>
  <c r="D57" i="6"/>
  <c r="I57" i="6" s="1"/>
  <c r="D56" i="6"/>
  <c r="I56" i="6" s="1"/>
  <c r="D50" i="6"/>
  <c r="I50" i="6" s="1"/>
  <c r="D43" i="6"/>
  <c r="I43" i="6" s="1"/>
  <c r="D42" i="6"/>
  <c r="I42" i="6" s="1"/>
  <c r="D63" i="6"/>
  <c r="I63" i="6" s="1"/>
  <c r="D58" i="6"/>
  <c r="I58" i="6" s="1"/>
  <c r="D89" i="6"/>
  <c r="I89" i="6" s="1"/>
  <c r="D62" i="6"/>
  <c r="I62" i="6" s="1"/>
  <c r="D47" i="6"/>
  <c r="I47" i="6" s="1"/>
  <c r="D93" i="6"/>
  <c r="I93" i="6" s="1"/>
  <c r="D59" i="6"/>
  <c r="I59" i="6" s="1"/>
  <c r="D92" i="6"/>
  <c r="I92" i="6" s="1"/>
  <c r="D73" i="6"/>
  <c r="I73" i="6" s="1"/>
  <c r="D72" i="6"/>
  <c r="I72" i="6" s="1"/>
  <c r="D79" i="6"/>
  <c r="I79" i="6" s="1"/>
  <c r="D70" i="6"/>
  <c r="I70" i="6" s="1"/>
  <c r="D86" i="6"/>
  <c r="I86" i="6" s="1"/>
  <c r="D60" i="6"/>
  <c r="I60" i="6" s="1"/>
  <c r="D45" i="6"/>
  <c r="I45" i="6" s="1"/>
  <c r="D51" i="6"/>
  <c r="I51" i="6" s="1"/>
  <c r="D75" i="6"/>
  <c r="I75" i="6" s="1"/>
  <c r="D46" i="6"/>
  <c r="I46" i="6" s="1"/>
  <c r="D49" i="6"/>
  <c r="I49" i="6" s="1"/>
  <c r="D87" i="6"/>
  <c r="I87" i="6" s="1"/>
  <c r="D48" i="6"/>
  <c r="I48" i="6" s="1"/>
  <c r="D88" i="6"/>
  <c r="I88" i="6" s="1"/>
  <c r="D74" i="6"/>
  <c r="I74" i="6" s="1"/>
  <c r="D61" i="6"/>
  <c r="I61" i="6" s="1"/>
  <c r="D78" i="6"/>
  <c r="I78" i="6" s="1"/>
  <c r="D94" i="6"/>
  <c r="I94" i="6" s="1"/>
  <c r="D71" i="6"/>
  <c r="I71" i="6" s="1"/>
  <c r="H116" i="6"/>
  <c r="F89" i="6"/>
  <c r="K89" i="6" s="1"/>
  <c r="F63" i="6"/>
  <c r="K63" i="6" s="1"/>
  <c r="F46" i="6"/>
  <c r="K46" i="6" s="1"/>
  <c r="F65" i="6"/>
  <c r="K65" i="6" s="1"/>
  <c r="F43" i="6"/>
  <c r="K43" i="6" s="1"/>
  <c r="F42" i="6"/>
  <c r="K42" i="6" s="1"/>
  <c r="F91" i="6"/>
  <c r="K91" i="6" s="1"/>
  <c r="F75" i="6"/>
  <c r="K75" i="6" s="1"/>
  <c r="F51" i="6"/>
  <c r="K51" i="6" s="1"/>
  <c r="F45" i="6"/>
  <c r="K45" i="6" s="1"/>
  <c r="F48" i="6"/>
  <c r="K48" i="6" s="1"/>
  <c r="F86" i="6"/>
  <c r="K86" i="6" s="1"/>
  <c r="F72" i="6"/>
  <c r="K72" i="6" s="1"/>
  <c r="F59" i="6"/>
  <c r="K59" i="6" s="1"/>
  <c r="F74" i="6"/>
  <c r="K74" i="6" s="1"/>
  <c r="F77" i="6"/>
  <c r="K77" i="6" s="1"/>
  <c r="F60" i="6"/>
  <c r="K60" i="6" s="1"/>
  <c r="F50" i="6"/>
  <c r="K50" i="6" s="1"/>
  <c r="F61" i="6"/>
  <c r="K61" i="6" s="1"/>
  <c r="F56" i="6"/>
  <c r="K56" i="6" s="1"/>
  <c r="F87" i="6"/>
  <c r="K87" i="6" s="1"/>
  <c r="F62" i="6"/>
  <c r="K62" i="6" s="1"/>
  <c r="F93" i="6"/>
  <c r="K93" i="6" s="1"/>
  <c r="F70" i="6"/>
  <c r="K70" i="6" s="1"/>
  <c r="F95" i="6"/>
  <c r="K95" i="6" s="1"/>
  <c r="F79" i="6"/>
  <c r="K79" i="6" s="1"/>
  <c r="F71" i="6"/>
  <c r="K71" i="6" s="1"/>
  <c r="F73" i="6"/>
  <c r="K73" i="6" s="1"/>
  <c r="F47" i="6"/>
  <c r="K47" i="6" s="1"/>
  <c r="F78" i="6"/>
  <c r="K78" i="6" s="1"/>
  <c r="F90" i="6"/>
  <c r="K90" i="6" s="1"/>
  <c r="F49" i="6"/>
  <c r="K49" i="6" s="1"/>
  <c r="F58" i="6"/>
  <c r="K58" i="6" s="1"/>
  <c r="F76" i="6"/>
  <c r="K76" i="6" s="1"/>
  <c r="F57" i="6"/>
  <c r="K57" i="6" s="1"/>
  <c r="F92" i="6"/>
  <c r="K92" i="6" s="1"/>
  <c r="F44" i="6"/>
  <c r="K44" i="6" s="1"/>
  <c r="F88" i="6"/>
  <c r="K88" i="6" s="1"/>
  <c r="F94" i="6"/>
  <c r="K94" i="6" s="1"/>
  <c r="F64" i="6"/>
  <c r="K64" i="6" s="1"/>
  <c r="G70" i="6"/>
  <c r="L70" i="6" s="1"/>
  <c r="G86" i="6"/>
  <c r="L86" i="6" s="1"/>
  <c r="G60" i="6"/>
  <c r="L60" i="6" s="1"/>
  <c r="G45" i="6"/>
  <c r="L45" i="6" s="1"/>
  <c r="G88" i="6"/>
  <c r="L88" i="6" s="1"/>
  <c r="G43" i="6"/>
  <c r="L43" i="6" s="1"/>
  <c r="G92" i="6"/>
  <c r="L92" i="6" s="1"/>
  <c r="G62" i="6"/>
  <c r="L62" i="6" s="1"/>
  <c r="G72" i="6"/>
  <c r="L72" i="6" s="1"/>
  <c r="G73" i="6"/>
  <c r="L73" i="6" s="1"/>
  <c r="G58" i="6"/>
  <c r="L58" i="6" s="1"/>
  <c r="D102" i="6"/>
  <c r="F102" i="6" s="1"/>
  <c r="J102" i="6" s="1"/>
  <c r="G48" i="6"/>
  <c r="L48" i="6" s="1"/>
  <c r="G89" i="6"/>
  <c r="L89" i="6" s="1"/>
  <c r="G65" i="6"/>
  <c r="L65" i="6" s="1"/>
  <c r="D107" i="6"/>
  <c r="F107" i="6" s="1"/>
  <c r="J107" i="6" s="1"/>
  <c r="G56" i="6"/>
  <c r="L56" i="6" s="1"/>
  <c r="D106" i="6"/>
  <c r="F106" i="6" s="1"/>
  <c r="J106" i="6" s="1"/>
  <c r="G61" i="6"/>
  <c r="L61" i="6" s="1"/>
  <c r="G79" i="6"/>
  <c r="L79" i="6" s="1"/>
  <c r="G74" i="6"/>
  <c r="L74" i="6" s="1"/>
  <c r="G94" i="6"/>
  <c r="L94" i="6" s="1"/>
  <c r="D104" i="6"/>
  <c r="F104" i="6" s="1"/>
  <c r="J104" i="6" s="1"/>
  <c r="G91" i="6"/>
  <c r="L91" i="6" s="1"/>
  <c r="G51" i="6"/>
  <c r="L51" i="6" s="1"/>
  <c r="D109" i="6"/>
  <c r="F109" i="6" s="1"/>
  <c r="J109" i="6" s="1"/>
  <c r="D101" i="6"/>
  <c r="F101" i="6" s="1"/>
  <c r="J101" i="6" s="1"/>
  <c r="G50" i="6"/>
  <c r="L50" i="6" s="1"/>
  <c r="G76" i="6"/>
  <c r="L76" i="6" s="1"/>
  <c r="G71" i="6"/>
  <c r="L71" i="6" s="1"/>
  <c r="G87" i="6"/>
  <c r="L87" i="6" s="1"/>
  <c r="D108" i="6"/>
  <c r="F108" i="6" s="1"/>
  <c r="J108" i="6" s="1"/>
  <c r="D100" i="6"/>
  <c r="F100" i="6" s="1"/>
  <c r="J100" i="6" s="1"/>
  <c r="G46" i="6"/>
  <c r="L46" i="6" s="1"/>
  <c r="G47" i="6"/>
  <c r="L47" i="6" s="1"/>
  <c r="G77" i="6"/>
  <c r="L77" i="6" s="1"/>
  <c r="G63" i="6"/>
  <c r="L63" i="6" s="1"/>
  <c r="G95" i="6"/>
  <c r="L95" i="6" s="1"/>
  <c r="G44" i="6"/>
  <c r="L44" i="6" s="1"/>
  <c r="D105" i="6"/>
  <c r="F105" i="6" s="1"/>
  <c r="J105" i="6" s="1"/>
  <c r="G49" i="6"/>
  <c r="L49" i="6" s="1"/>
  <c r="G75" i="6"/>
  <c r="L75" i="6" s="1"/>
  <c r="G64" i="6"/>
  <c r="L64" i="6" s="1"/>
  <c r="G59" i="6"/>
  <c r="L59" i="6" s="1"/>
  <c r="G78" i="6"/>
  <c r="L78" i="6" s="1"/>
  <c r="G90" i="6"/>
  <c r="L90" i="6" s="1"/>
  <c r="D103" i="6"/>
  <c r="F103" i="6" s="1"/>
  <c r="J103" i="6" s="1"/>
  <c r="G93" i="6"/>
  <c r="L93" i="6" s="1"/>
  <c r="G57" i="6"/>
  <c r="L57" i="6" s="1"/>
  <c r="G42" i="6"/>
  <c r="L42" i="6" s="1"/>
  <c r="F33" i="6"/>
  <c r="H33" i="6" s="1"/>
  <c r="J33" i="6" s="1"/>
  <c r="E120" i="6" s="1"/>
  <c r="F29" i="6"/>
  <c r="H29" i="6" s="1"/>
  <c r="J29" i="6" s="1"/>
  <c r="E116" i="6" s="1"/>
  <c r="F32" i="6"/>
  <c r="H32" i="6" s="1"/>
  <c r="J32" i="6" s="1"/>
  <c r="E119" i="6" s="1"/>
  <c r="F28" i="6"/>
  <c r="H28" i="6" s="1"/>
  <c r="F34" i="6"/>
  <c r="H34" i="6" s="1"/>
  <c r="F36" i="6"/>
  <c r="H36" i="6" s="1"/>
  <c r="F31" i="6"/>
  <c r="H31" i="6" s="1"/>
  <c r="F27" i="6"/>
  <c r="H27" i="6" s="1"/>
  <c r="F35" i="6"/>
  <c r="H35" i="6" s="1"/>
  <c r="F30" i="6"/>
  <c r="H30" i="6" s="1"/>
  <c r="H120" i="6"/>
  <c r="E88" i="6"/>
  <c r="J88" i="6" s="1"/>
  <c r="E62" i="6"/>
  <c r="J62" i="6" s="1"/>
  <c r="E44" i="6"/>
  <c r="J44" i="6" s="1"/>
  <c r="E72" i="6"/>
  <c r="J72" i="6" s="1"/>
  <c r="E74" i="6"/>
  <c r="J74" i="6" s="1"/>
  <c r="E42" i="6"/>
  <c r="J42" i="6" s="1"/>
  <c r="E94" i="6"/>
  <c r="J94" i="6" s="1"/>
  <c r="E71" i="6"/>
  <c r="J71" i="6" s="1"/>
  <c r="E50" i="6"/>
  <c r="J50" i="6" s="1"/>
  <c r="E76" i="6"/>
  <c r="J76" i="6" s="1"/>
  <c r="E79" i="6"/>
  <c r="J79" i="6" s="1"/>
  <c r="E87" i="6"/>
  <c r="J87" i="6" s="1"/>
  <c r="C109" i="6"/>
  <c r="E109" i="6" s="1"/>
  <c r="I109" i="6" s="1"/>
  <c r="C101" i="6"/>
  <c r="E101" i="6" s="1"/>
  <c r="I101" i="6" s="1"/>
  <c r="K101" i="6" s="1"/>
  <c r="E64" i="6"/>
  <c r="J64" i="6" s="1"/>
  <c r="E47" i="6"/>
  <c r="J47" i="6" s="1"/>
  <c r="E70" i="6"/>
  <c r="J70" i="6" s="1"/>
  <c r="E77" i="6"/>
  <c r="J77" i="6" s="1"/>
  <c r="E78" i="6"/>
  <c r="J78" i="6" s="1"/>
  <c r="E73" i="6"/>
  <c r="J73" i="6" s="1"/>
  <c r="E59" i="6"/>
  <c r="J59" i="6" s="1"/>
  <c r="E86" i="6"/>
  <c r="J86" i="6" s="1"/>
  <c r="E89" i="6"/>
  <c r="J89" i="6" s="1"/>
  <c r="C108" i="6"/>
  <c r="E108" i="6" s="1"/>
  <c r="I108" i="6" s="1"/>
  <c r="C100" i="6"/>
  <c r="E100" i="6" s="1"/>
  <c r="I100" i="6" s="1"/>
  <c r="E46" i="6"/>
  <c r="J46" i="6" s="1"/>
  <c r="E90" i="6"/>
  <c r="J90" i="6" s="1"/>
  <c r="C106" i="6"/>
  <c r="E106" i="6" s="1"/>
  <c r="I106" i="6" s="1"/>
  <c r="E48" i="6"/>
  <c r="J48" i="6" s="1"/>
  <c r="C104" i="6"/>
  <c r="E104" i="6" s="1"/>
  <c r="I104" i="6" s="1"/>
  <c r="E61" i="6"/>
  <c r="J61" i="6" s="1"/>
  <c r="E92" i="6"/>
  <c r="J92" i="6" s="1"/>
  <c r="E93" i="6"/>
  <c r="J93" i="6" s="1"/>
  <c r="E56" i="6"/>
  <c r="J56" i="6" s="1"/>
  <c r="E60" i="6"/>
  <c r="J60" i="6" s="1"/>
  <c r="C107" i="6"/>
  <c r="E107" i="6" s="1"/>
  <c r="I107" i="6" s="1"/>
  <c r="E91" i="6"/>
  <c r="J91" i="6" s="1"/>
  <c r="E57" i="6"/>
  <c r="J57" i="6" s="1"/>
  <c r="E49" i="6"/>
  <c r="J49" i="6" s="1"/>
  <c r="C103" i="6"/>
  <c r="E103" i="6" s="1"/>
  <c r="I103" i="6" s="1"/>
  <c r="E75" i="6"/>
  <c r="J75" i="6" s="1"/>
  <c r="E43" i="6"/>
  <c r="J43" i="6" s="1"/>
  <c r="C102" i="6"/>
  <c r="E102" i="6" s="1"/>
  <c r="I102" i="6" s="1"/>
  <c r="E58" i="6"/>
  <c r="J58" i="6" s="1"/>
  <c r="E51" i="6"/>
  <c r="J51" i="6" s="1"/>
  <c r="E95" i="6"/>
  <c r="J95" i="6" s="1"/>
  <c r="E63" i="6"/>
  <c r="J63" i="6" s="1"/>
  <c r="C105" i="6"/>
  <c r="E105" i="6" s="1"/>
  <c r="I105" i="6" s="1"/>
  <c r="E65" i="6"/>
  <c r="J65" i="6" s="1"/>
  <c r="E45" i="6"/>
  <c r="J45" i="6" s="1"/>
  <c r="G32" i="6"/>
  <c r="I32" i="6" s="1"/>
  <c r="G28" i="6"/>
  <c r="I28" i="6" s="1"/>
  <c r="G36" i="6"/>
  <c r="I36" i="6" s="1"/>
  <c r="G31" i="6"/>
  <c r="I31" i="6" s="1"/>
  <c r="G27" i="6"/>
  <c r="I27" i="6" s="1"/>
  <c r="G35" i="6"/>
  <c r="I35" i="6" s="1"/>
  <c r="G30" i="6"/>
  <c r="I30" i="6" s="1"/>
  <c r="G34" i="6"/>
  <c r="I34" i="6" s="1"/>
  <c r="G33" i="6"/>
  <c r="I33" i="6" s="1"/>
  <c r="G29" i="6"/>
  <c r="I29" i="6" s="1"/>
  <c r="G120" i="6"/>
  <c r="G116" i="6"/>
  <c r="G119" i="6"/>
  <c r="G115" i="6"/>
  <c r="G123" i="6"/>
  <c r="G118" i="6"/>
  <c r="G117" i="6"/>
  <c r="C73" i="6"/>
  <c r="H73" i="6" s="1"/>
  <c r="C71" i="6"/>
  <c r="H71" i="6" s="1"/>
  <c r="C74" i="6"/>
  <c r="H74" i="6" s="1"/>
  <c r="G114" i="6"/>
  <c r="B16" i="9" s="1"/>
  <c r="E16" i="9" s="1"/>
  <c r="C42" i="6"/>
  <c r="H42" i="6" s="1"/>
  <c r="C79" i="6"/>
  <c r="H79" i="6" s="1"/>
  <c r="C59" i="6"/>
  <c r="H59" i="6" s="1"/>
  <c r="C48" i="6"/>
  <c r="H48" i="6" s="1"/>
  <c r="C44" i="6"/>
  <c r="H44" i="6" s="1"/>
  <c r="G122" i="6"/>
  <c r="G121" i="6"/>
  <c r="C76" i="6"/>
  <c r="H76" i="6" s="1"/>
  <c r="C57" i="6"/>
  <c r="H57" i="6" s="1"/>
  <c r="C75" i="6"/>
  <c r="H75" i="6" s="1"/>
  <c r="C91" i="6"/>
  <c r="H91" i="6" s="1"/>
  <c r="C61" i="6"/>
  <c r="H61" i="6" s="1"/>
  <c r="C95" i="6"/>
  <c r="H95" i="6" s="1"/>
  <c r="C93" i="6"/>
  <c r="H93" i="6" s="1"/>
  <c r="C50" i="6"/>
  <c r="H50" i="6" s="1"/>
  <c r="C47" i="6"/>
  <c r="H47" i="6" s="1"/>
  <c r="C64" i="6"/>
  <c r="H64" i="6" s="1"/>
  <c r="C46" i="6"/>
  <c r="H46" i="6" s="1"/>
  <c r="C94" i="6"/>
  <c r="H94" i="6" s="1"/>
  <c r="C43" i="6"/>
  <c r="H43" i="6" s="1"/>
  <c r="C56" i="6"/>
  <c r="H56" i="6" s="1"/>
  <c r="C78" i="6"/>
  <c r="H78" i="6" s="1"/>
  <c r="C60" i="6"/>
  <c r="H60" i="6" s="1"/>
  <c r="C87" i="6"/>
  <c r="H87" i="6" s="1"/>
  <c r="C86" i="6"/>
  <c r="H86" i="6" s="1"/>
  <c r="C72" i="6"/>
  <c r="H72" i="6" s="1"/>
  <c r="C63" i="6"/>
  <c r="H63" i="6" s="1"/>
  <c r="C51" i="6"/>
  <c r="H51" i="6" s="1"/>
  <c r="C70" i="6"/>
  <c r="H70" i="6" s="1"/>
  <c r="M70" i="6" s="1"/>
  <c r="C77" i="6"/>
  <c r="H77" i="6" s="1"/>
  <c r="C88" i="6"/>
  <c r="H88" i="6" s="1"/>
  <c r="C89" i="6"/>
  <c r="H89" i="6" s="1"/>
  <c r="C49" i="6"/>
  <c r="H49" i="6" s="1"/>
  <c r="C90" i="6"/>
  <c r="H90" i="6" s="1"/>
  <c r="C65" i="6"/>
  <c r="H65" i="6" s="1"/>
  <c r="C45" i="6"/>
  <c r="H45" i="6" s="1"/>
  <c r="C92" i="6"/>
  <c r="H92" i="6" s="1"/>
  <c r="C58" i="6"/>
  <c r="H58" i="6" s="1"/>
  <c r="M58" i="6" s="1"/>
  <c r="C62" i="6"/>
  <c r="H62" i="6" s="1"/>
  <c r="H117" i="6"/>
  <c r="H115" i="5"/>
  <c r="H123" i="5"/>
  <c r="G35" i="5"/>
  <c r="I35" i="5" s="1"/>
  <c r="G33" i="5"/>
  <c r="I33" i="5" s="1"/>
  <c r="G34" i="5"/>
  <c r="I34" i="5" s="1"/>
  <c r="G32" i="5"/>
  <c r="I32" i="5" s="1"/>
  <c r="G31" i="5"/>
  <c r="I31" i="5" s="1"/>
  <c r="G30" i="5"/>
  <c r="I30" i="5" s="1"/>
  <c r="G27" i="5"/>
  <c r="I27" i="5" s="1"/>
  <c r="G29" i="5"/>
  <c r="I29" i="5" s="1"/>
  <c r="G36" i="5"/>
  <c r="I36" i="5" s="1"/>
  <c r="G28" i="5"/>
  <c r="I28" i="5" s="1"/>
  <c r="H120" i="5"/>
  <c r="H122" i="5"/>
  <c r="F34" i="5"/>
  <c r="H34" i="5" s="1"/>
  <c r="F35" i="5"/>
  <c r="H35" i="5" s="1"/>
  <c r="F36" i="5"/>
  <c r="H36" i="5" s="1"/>
  <c r="F28" i="5"/>
  <c r="H28" i="5" s="1"/>
  <c r="F27" i="5"/>
  <c r="H27" i="5" s="1"/>
  <c r="F29" i="5"/>
  <c r="H29" i="5" s="1"/>
  <c r="F30" i="5"/>
  <c r="H30" i="5" s="1"/>
  <c r="F31" i="5"/>
  <c r="H31" i="5" s="1"/>
  <c r="F33" i="5"/>
  <c r="H33" i="5" s="1"/>
  <c r="F32" i="5"/>
  <c r="H32" i="5" s="1"/>
  <c r="H118" i="5"/>
  <c r="H119" i="5"/>
  <c r="H117" i="5"/>
  <c r="H121" i="5"/>
  <c r="N11" i="2"/>
  <c r="Z11" i="5"/>
  <c r="E59" i="5"/>
  <c r="J59" i="5" s="1"/>
  <c r="D92" i="5"/>
  <c r="I92" i="5" s="1"/>
  <c r="D88" i="5"/>
  <c r="I88" i="5" s="1"/>
  <c r="D93" i="5"/>
  <c r="I93" i="5" s="1"/>
  <c r="D90" i="5"/>
  <c r="I90" i="5" s="1"/>
  <c r="D91" i="5"/>
  <c r="I91" i="5" s="1"/>
  <c r="D89" i="5"/>
  <c r="I89" i="5" s="1"/>
  <c r="D94" i="5"/>
  <c r="I94" i="5" s="1"/>
  <c r="D95" i="5"/>
  <c r="I95" i="5" s="1"/>
  <c r="D86" i="5"/>
  <c r="I86" i="5" s="1"/>
  <c r="D87" i="5"/>
  <c r="I87" i="5" s="1"/>
  <c r="C93" i="5"/>
  <c r="H93" i="5" s="1"/>
  <c r="C89" i="5"/>
  <c r="H89" i="5" s="1"/>
  <c r="C87" i="5"/>
  <c r="H87" i="5" s="1"/>
  <c r="C92" i="5"/>
  <c r="H92" i="5" s="1"/>
  <c r="C95" i="5"/>
  <c r="H95" i="5" s="1"/>
  <c r="C88" i="5"/>
  <c r="H88" i="5" s="1"/>
  <c r="C94" i="5"/>
  <c r="H94" i="5" s="1"/>
  <c r="C86" i="5"/>
  <c r="H86" i="5" s="1"/>
  <c r="C90" i="5"/>
  <c r="H90" i="5" s="1"/>
  <c r="C91" i="5"/>
  <c r="H91" i="5" s="1"/>
  <c r="F92" i="5"/>
  <c r="K92" i="5" s="1"/>
  <c r="F93" i="5"/>
  <c r="K93" i="5" s="1"/>
  <c r="F91" i="5"/>
  <c r="K91" i="5" s="1"/>
  <c r="F89" i="5"/>
  <c r="K89" i="5" s="1"/>
  <c r="F87" i="5"/>
  <c r="K87" i="5" s="1"/>
  <c r="F86" i="5"/>
  <c r="K86" i="5" s="1"/>
  <c r="F88" i="5"/>
  <c r="K88" i="5" s="1"/>
  <c r="F95" i="5"/>
  <c r="K95" i="5" s="1"/>
  <c r="F94" i="5"/>
  <c r="K94" i="5" s="1"/>
  <c r="F90" i="5"/>
  <c r="K90" i="5" s="1"/>
  <c r="D102" i="5"/>
  <c r="D108" i="5"/>
  <c r="D107" i="5"/>
  <c r="D106" i="5"/>
  <c r="D109" i="5"/>
  <c r="D101" i="5"/>
  <c r="J100" i="5"/>
  <c r="D104" i="5"/>
  <c r="D103" i="5"/>
  <c r="D105" i="5"/>
  <c r="G61" i="5"/>
  <c r="L61" i="5" s="1"/>
  <c r="G89" i="5"/>
  <c r="L89" i="5" s="1"/>
  <c r="G62" i="5"/>
  <c r="L62" i="5" s="1"/>
  <c r="G90" i="5"/>
  <c r="L90" i="5" s="1"/>
  <c r="G95" i="5"/>
  <c r="L95" i="5" s="1"/>
  <c r="G93" i="5"/>
  <c r="L93" i="5" s="1"/>
  <c r="G59" i="5"/>
  <c r="L59" i="5" s="1"/>
  <c r="G87" i="5"/>
  <c r="L87" i="5" s="1"/>
  <c r="G64" i="5"/>
  <c r="L64" i="5" s="1"/>
  <c r="G65" i="5"/>
  <c r="L65" i="5" s="1"/>
  <c r="G88" i="5"/>
  <c r="L88" i="5" s="1"/>
  <c r="G63" i="5"/>
  <c r="L63" i="5" s="1"/>
  <c r="G58" i="5"/>
  <c r="L58" i="5" s="1"/>
  <c r="G91" i="5"/>
  <c r="L91" i="5" s="1"/>
  <c r="G60" i="5"/>
  <c r="L60" i="5" s="1"/>
  <c r="G92" i="5"/>
  <c r="L92" i="5" s="1"/>
  <c r="G86" i="5"/>
  <c r="G56" i="5"/>
  <c r="L56" i="5" s="1"/>
  <c r="G57" i="5"/>
  <c r="L57" i="5" s="1"/>
  <c r="G94" i="5"/>
  <c r="L94" i="5" s="1"/>
  <c r="D60" i="5"/>
  <c r="I60" i="5" s="1"/>
  <c r="D61" i="5"/>
  <c r="I61" i="5" s="1"/>
  <c r="D58" i="5"/>
  <c r="I58" i="5" s="1"/>
  <c r="D64" i="5"/>
  <c r="I64" i="5" s="1"/>
  <c r="D56" i="5"/>
  <c r="I56" i="5" s="1"/>
  <c r="D62" i="5"/>
  <c r="I62" i="5" s="1"/>
  <c r="D57" i="5"/>
  <c r="I57" i="5" s="1"/>
  <c r="D63" i="5"/>
  <c r="I63" i="5" s="1"/>
  <c r="D65" i="5"/>
  <c r="I65" i="5" s="1"/>
  <c r="D59" i="5"/>
  <c r="I59" i="5" s="1"/>
  <c r="C57" i="5"/>
  <c r="H57" i="5" s="1"/>
  <c r="C65" i="5"/>
  <c r="H65" i="5" s="1"/>
  <c r="C42" i="5"/>
  <c r="H42" i="5" s="1"/>
  <c r="C58" i="5"/>
  <c r="H58" i="5" s="1"/>
  <c r="C61" i="5"/>
  <c r="H61" i="5" s="1"/>
  <c r="C70" i="5"/>
  <c r="H70" i="5" s="1"/>
  <c r="C63" i="5"/>
  <c r="H63" i="5" s="1"/>
  <c r="C64" i="5"/>
  <c r="H64" i="5" s="1"/>
  <c r="C59" i="5"/>
  <c r="H59" i="5" s="1"/>
  <c r="C56" i="5"/>
  <c r="H56" i="5" s="1"/>
  <c r="C60" i="5"/>
  <c r="H60" i="5" s="1"/>
  <c r="C62" i="5"/>
  <c r="H62" i="5" s="1"/>
  <c r="F58" i="5"/>
  <c r="K58" i="5" s="1"/>
  <c r="F59" i="5"/>
  <c r="K59" i="5" s="1"/>
  <c r="F64" i="5"/>
  <c r="K64" i="5" s="1"/>
  <c r="F62" i="5"/>
  <c r="K62" i="5" s="1"/>
  <c r="F56" i="5"/>
  <c r="K56" i="5" s="1"/>
  <c r="F60" i="5"/>
  <c r="K60" i="5" s="1"/>
  <c r="F63" i="5"/>
  <c r="K63" i="5" s="1"/>
  <c r="F57" i="5"/>
  <c r="K57" i="5" s="1"/>
  <c r="F61" i="5"/>
  <c r="K61" i="5" s="1"/>
  <c r="F65" i="5"/>
  <c r="K65" i="5" s="1"/>
  <c r="C78" i="5"/>
  <c r="H78" i="5" s="1"/>
  <c r="C47" i="5"/>
  <c r="H47" i="5" s="1"/>
  <c r="C72" i="5"/>
  <c r="H72" i="5" s="1"/>
  <c r="C45" i="5"/>
  <c r="H45" i="5" s="1"/>
  <c r="C77" i="5"/>
  <c r="H77" i="5" s="1"/>
  <c r="C50" i="5"/>
  <c r="H50" i="5" s="1"/>
  <c r="C74" i="5"/>
  <c r="H74" i="5" s="1"/>
  <c r="C43" i="5"/>
  <c r="H43" i="5" s="1"/>
  <c r="C48" i="5"/>
  <c r="H48" i="5" s="1"/>
  <c r="C46" i="5"/>
  <c r="H46" i="5" s="1"/>
  <c r="C51" i="5"/>
  <c r="H51" i="5" s="1"/>
  <c r="C75" i="5"/>
  <c r="H75" i="5" s="1"/>
  <c r="C79" i="5"/>
  <c r="H79" i="5" s="1"/>
  <c r="C71" i="5"/>
  <c r="H71" i="5" s="1"/>
  <c r="C73" i="5"/>
  <c r="H73" i="5" s="1"/>
  <c r="C44" i="5"/>
  <c r="H44" i="5" s="1"/>
  <c r="C49" i="5"/>
  <c r="H49" i="5" s="1"/>
  <c r="C76" i="5"/>
  <c r="H76" i="5" s="1"/>
  <c r="F77" i="5"/>
  <c r="K77" i="5" s="1"/>
  <c r="F44" i="5"/>
  <c r="K44" i="5" s="1"/>
  <c r="F76" i="5"/>
  <c r="K76" i="5" s="1"/>
  <c r="F48" i="5"/>
  <c r="K48" i="5" s="1"/>
  <c r="F79" i="5"/>
  <c r="K79" i="5" s="1"/>
  <c r="F78" i="5"/>
  <c r="K78" i="5" s="1"/>
  <c r="F46" i="5"/>
  <c r="K46" i="5" s="1"/>
  <c r="F72" i="5"/>
  <c r="K72" i="5" s="1"/>
  <c r="F51" i="5"/>
  <c r="K51" i="5" s="1"/>
  <c r="F75" i="5"/>
  <c r="K75" i="5" s="1"/>
  <c r="F42" i="5"/>
  <c r="K42" i="5" s="1"/>
  <c r="F45" i="5"/>
  <c r="K45" i="5" s="1"/>
  <c r="F71" i="5"/>
  <c r="K71" i="5" s="1"/>
  <c r="F47" i="5"/>
  <c r="K47" i="5" s="1"/>
  <c r="F70" i="5"/>
  <c r="K70" i="5" s="1"/>
  <c r="F43" i="5"/>
  <c r="K43" i="5" s="1"/>
  <c r="F50" i="5"/>
  <c r="K50" i="5" s="1"/>
  <c r="F74" i="5"/>
  <c r="K74" i="5" s="1"/>
  <c r="F49" i="5"/>
  <c r="K49" i="5" s="1"/>
  <c r="F73" i="5"/>
  <c r="K73" i="5" s="1"/>
  <c r="G50" i="5"/>
  <c r="L50" i="5" s="1"/>
  <c r="G45" i="5"/>
  <c r="L45" i="5" s="1"/>
  <c r="G46" i="5"/>
  <c r="L46" i="5" s="1"/>
  <c r="G51" i="5"/>
  <c r="L51" i="5" s="1"/>
  <c r="G75" i="5"/>
  <c r="L75" i="5" s="1"/>
  <c r="G42" i="5"/>
  <c r="L42" i="5" s="1"/>
  <c r="G76" i="5"/>
  <c r="L76" i="5" s="1"/>
  <c r="G48" i="5"/>
  <c r="L48" i="5" s="1"/>
  <c r="G44" i="5"/>
  <c r="L44" i="5" s="1"/>
  <c r="G49" i="5"/>
  <c r="L49" i="5" s="1"/>
  <c r="G47" i="5"/>
  <c r="L47" i="5" s="1"/>
  <c r="G73" i="5"/>
  <c r="L73" i="5" s="1"/>
  <c r="G74" i="5"/>
  <c r="L74" i="5" s="1"/>
  <c r="G43" i="5"/>
  <c r="L43" i="5" s="1"/>
  <c r="G77" i="5"/>
  <c r="L77" i="5" s="1"/>
  <c r="G70" i="5"/>
  <c r="L70" i="5" s="1"/>
  <c r="G78" i="5"/>
  <c r="L78" i="5" s="1"/>
  <c r="G71" i="5"/>
  <c r="L71" i="5" s="1"/>
  <c r="G72" i="5"/>
  <c r="L72" i="5" s="1"/>
  <c r="G79" i="5"/>
  <c r="L79" i="5" s="1"/>
  <c r="D51" i="5"/>
  <c r="I51" i="5" s="1"/>
  <c r="D46" i="5"/>
  <c r="I46" i="5" s="1"/>
  <c r="D49" i="5"/>
  <c r="I49" i="5" s="1"/>
  <c r="D43" i="5"/>
  <c r="I43" i="5" s="1"/>
  <c r="D75" i="5"/>
  <c r="I75" i="5" s="1"/>
  <c r="D47" i="5"/>
  <c r="I47" i="5" s="1"/>
  <c r="D70" i="5"/>
  <c r="I70" i="5" s="1"/>
  <c r="D50" i="5"/>
  <c r="I50" i="5" s="1"/>
  <c r="D71" i="5"/>
  <c r="I71" i="5" s="1"/>
  <c r="D74" i="5"/>
  <c r="I74" i="5" s="1"/>
  <c r="D73" i="5"/>
  <c r="I73" i="5" s="1"/>
  <c r="D76" i="5"/>
  <c r="I76" i="5" s="1"/>
  <c r="D48" i="5"/>
  <c r="I48" i="5" s="1"/>
  <c r="D78" i="5"/>
  <c r="I78" i="5" s="1"/>
  <c r="D42" i="5"/>
  <c r="I42" i="5" s="1"/>
  <c r="D45" i="5"/>
  <c r="I45" i="5" s="1"/>
  <c r="D79" i="5"/>
  <c r="I79" i="5" s="1"/>
  <c r="D44" i="5"/>
  <c r="I44" i="5" s="1"/>
  <c r="D72" i="5"/>
  <c r="I72" i="5" s="1"/>
  <c r="D77" i="5"/>
  <c r="I77" i="5" s="1"/>
  <c r="L59" i="4"/>
  <c r="L51" i="4"/>
  <c r="L57" i="4"/>
  <c r="K58" i="4"/>
  <c r="K60" i="4"/>
  <c r="K57" i="4"/>
  <c r="K59" i="4"/>
  <c r="K54" i="4"/>
  <c r="K53" i="4"/>
  <c r="K52" i="4"/>
  <c r="K55" i="4"/>
  <c r="K56" i="4"/>
  <c r="I52" i="4"/>
  <c r="I53" i="4"/>
  <c r="I54" i="4"/>
  <c r="I55" i="4"/>
  <c r="I56" i="4"/>
  <c r="I57" i="4"/>
  <c r="I58" i="4"/>
  <c r="I59" i="4"/>
  <c r="I60" i="4"/>
  <c r="J58" i="4"/>
  <c r="J57" i="4"/>
  <c r="J56" i="4"/>
  <c r="J60" i="4"/>
  <c r="J59" i="4"/>
  <c r="J53" i="4"/>
  <c r="J54" i="4"/>
  <c r="J55" i="4"/>
  <c r="J52" i="4"/>
  <c r="H52" i="4"/>
  <c r="H60" i="4"/>
  <c r="H53" i="4"/>
  <c r="H54" i="4"/>
  <c r="H55" i="4"/>
  <c r="H56" i="4"/>
  <c r="H59" i="4"/>
  <c r="H57" i="4"/>
  <c r="H58" i="4"/>
  <c r="H21" i="3"/>
  <c r="J21" i="3"/>
  <c r="I15" i="3"/>
  <c r="G21" i="3"/>
  <c r="H15" i="3"/>
  <c r="G15" i="3"/>
  <c r="J22" i="3"/>
  <c r="I22" i="3"/>
  <c r="H22" i="3"/>
  <c r="J17" i="3"/>
  <c r="I17" i="3"/>
  <c r="H17" i="3"/>
  <c r="J18" i="3"/>
  <c r="I18" i="3"/>
  <c r="H18" i="3"/>
  <c r="J23" i="3"/>
  <c r="I23" i="3"/>
  <c r="H23" i="3"/>
  <c r="G23" i="3"/>
  <c r="J20" i="3"/>
  <c r="I20" i="3"/>
  <c r="H20" i="3"/>
  <c r="G22" i="3"/>
  <c r="G20" i="3"/>
  <c r="J16" i="3"/>
  <c r="I16" i="3"/>
  <c r="H16" i="3"/>
  <c r="J19" i="3"/>
  <c r="I19" i="3"/>
  <c r="H19" i="3"/>
  <c r="F11" i="2"/>
  <c r="P11" i="2" s="1"/>
  <c r="C77" i="2" s="1"/>
  <c r="E77" i="2" s="1"/>
  <c r="I77" i="2" s="1"/>
  <c r="G11" i="2"/>
  <c r="Q11" i="2" s="1"/>
  <c r="E11" i="2"/>
  <c r="H11" i="2"/>
  <c r="R11" i="2" s="1"/>
  <c r="L22" i="3"/>
  <c r="L23" i="3"/>
  <c r="L21" i="3"/>
  <c r="L19" i="3"/>
  <c r="Q36" i="1"/>
  <c r="Q33" i="1"/>
  <c r="J13" i="10" l="1"/>
  <c r="M52" i="5"/>
  <c r="C124" i="5" s="1"/>
  <c r="L13" i="10"/>
  <c r="J28" i="5"/>
  <c r="E115" i="5" s="1"/>
  <c r="J36" i="5"/>
  <c r="E123" i="5" s="1"/>
  <c r="J27" i="5"/>
  <c r="E114" i="5" s="1"/>
  <c r="M56" i="5"/>
  <c r="J29" i="5"/>
  <c r="E116" i="5" s="1"/>
  <c r="D17" i="9"/>
  <c r="G17" i="9"/>
  <c r="H22" i="9"/>
  <c r="G22" i="9"/>
  <c r="H24" i="9"/>
  <c r="E18" i="9"/>
  <c r="E19" i="9"/>
  <c r="I79" i="4"/>
  <c r="H79" i="4"/>
  <c r="C124" i="6"/>
  <c r="M80" i="6"/>
  <c r="F124" i="6" s="1"/>
  <c r="M57" i="6"/>
  <c r="M62" i="6"/>
  <c r="M60" i="6"/>
  <c r="M96" i="5"/>
  <c r="M80" i="5"/>
  <c r="M66" i="5"/>
  <c r="M80" i="7"/>
  <c r="M63" i="7"/>
  <c r="M66" i="7"/>
  <c r="M52" i="7"/>
  <c r="M96" i="7"/>
  <c r="M80" i="8"/>
  <c r="M72" i="8"/>
  <c r="H116" i="8"/>
  <c r="M89" i="8"/>
  <c r="M42" i="8"/>
  <c r="C114" i="8" s="1"/>
  <c r="M78" i="8"/>
  <c r="M66" i="8"/>
  <c r="H119" i="8"/>
  <c r="H121" i="8"/>
  <c r="M61" i="8"/>
  <c r="M86" i="8"/>
  <c r="M52" i="8"/>
  <c r="M60" i="8"/>
  <c r="M96" i="8"/>
  <c r="M64" i="6"/>
  <c r="K107" i="6"/>
  <c r="M92" i="8"/>
  <c r="M95" i="8"/>
  <c r="M78" i="7"/>
  <c r="M49" i="6"/>
  <c r="M86" i="6"/>
  <c r="M42" i="6"/>
  <c r="C114" i="6" s="1"/>
  <c r="K105" i="6"/>
  <c r="K103" i="6"/>
  <c r="K108" i="6"/>
  <c r="K109" i="6"/>
  <c r="M88" i="6"/>
  <c r="M74" i="6"/>
  <c r="M49" i="8"/>
  <c r="C121" i="8" s="1"/>
  <c r="H118" i="8"/>
  <c r="M64" i="8"/>
  <c r="H123" i="8"/>
  <c r="M57" i="8"/>
  <c r="H115" i="8"/>
  <c r="M56" i="8"/>
  <c r="M43" i="8"/>
  <c r="H122" i="8"/>
  <c r="M88" i="8"/>
  <c r="D116" i="8" s="1"/>
  <c r="M65" i="8"/>
  <c r="M50" i="8"/>
  <c r="M51" i="8"/>
  <c r="M91" i="8"/>
  <c r="H114" i="8"/>
  <c r="J15" i="10" s="1"/>
  <c r="G35" i="8"/>
  <c r="I35" i="8" s="1"/>
  <c r="G30" i="8"/>
  <c r="I30" i="8" s="1"/>
  <c r="G34" i="8"/>
  <c r="I34" i="8" s="1"/>
  <c r="G33" i="8"/>
  <c r="I33" i="8" s="1"/>
  <c r="G29" i="8"/>
  <c r="I29" i="8" s="1"/>
  <c r="G31" i="8"/>
  <c r="I31" i="8" s="1"/>
  <c r="G32" i="8"/>
  <c r="I32" i="8" s="1"/>
  <c r="G27" i="8"/>
  <c r="I27" i="8" s="1"/>
  <c r="G28" i="8"/>
  <c r="I28" i="8" s="1"/>
  <c r="G36" i="8"/>
  <c r="I36" i="8" s="1"/>
  <c r="M47" i="8"/>
  <c r="M90" i="8"/>
  <c r="M76" i="8"/>
  <c r="M45" i="8"/>
  <c r="M71" i="8"/>
  <c r="M59" i="8"/>
  <c r="M70" i="8"/>
  <c r="M94" i="8"/>
  <c r="M73" i="8"/>
  <c r="M48" i="8"/>
  <c r="M93" i="8"/>
  <c r="M79" i="8"/>
  <c r="M75" i="8"/>
  <c r="D119" i="8" s="1"/>
  <c r="M74" i="8"/>
  <c r="F36" i="8"/>
  <c r="H36" i="8" s="1"/>
  <c r="F31" i="8"/>
  <c r="H31" i="8" s="1"/>
  <c r="F27" i="8"/>
  <c r="H27" i="8" s="1"/>
  <c r="F35" i="8"/>
  <c r="H35" i="8" s="1"/>
  <c r="F30" i="8"/>
  <c r="H30" i="8" s="1"/>
  <c r="F34" i="8"/>
  <c r="H34" i="8" s="1"/>
  <c r="F33" i="8"/>
  <c r="H33" i="8" s="1"/>
  <c r="F29" i="8"/>
  <c r="H29" i="8" s="1"/>
  <c r="F28" i="8"/>
  <c r="H28" i="8" s="1"/>
  <c r="F32" i="8"/>
  <c r="H32" i="8" s="1"/>
  <c r="H117" i="8"/>
  <c r="M44" i="8"/>
  <c r="M87" i="8"/>
  <c r="M46" i="8"/>
  <c r="M77" i="8"/>
  <c r="K107" i="7"/>
  <c r="M60" i="7"/>
  <c r="M59" i="7"/>
  <c r="M56" i="7"/>
  <c r="M93" i="7"/>
  <c r="K109" i="7"/>
  <c r="K103" i="7"/>
  <c r="M51" i="7"/>
  <c r="M43" i="7"/>
  <c r="M87" i="7"/>
  <c r="M46" i="7"/>
  <c r="K106" i="7"/>
  <c r="K108" i="7"/>
  <c r="M65" i="7"/>
  <c r="M45" i="7"/>
  <c r="M95" i="7"/>
  <c r="M71" i="7"/>
  <c r="M75" i="7"/>
  <c r="M70" i="7"/>
  <c r="K104" i="7"/>
  <c r="K102" i="7"/>
  <c r="M73" i="7"/>
  <c r="M91" i="7"/>
  <c r="M90" i="7"/>
  <c r="M94" i="7"/>
  <c r="M79" i="7"/>
  <c r="K100" i="7"/>
  <c r="M64" i="7"/>
  <c r="M49" i="7"/>
  <c r="K101" i="7"/>
  <c r="M89" i="7"/>
  <c r="M72" i="7"/>
  <c r="M92" i="7"/>
  <c r="M58" i="7"/>
  <c r="M42" i="7"/>
  <c r="M48" i="7"/>
  <c r="K105" i="7"/>
  <c r="M76" i="7"/>
  <c r="M74" i="7"/>
  <c r="M44" i="7"/>
  <c r="M47" i="7"/>
  <c r="M50" i="7"/>
  <c r="M88" i="7"/>
  <c r="M77" i="7"/>
  <c r="M61" i="7"/>
  <c r="M86" i="7"/>
  <c r="M57" i="7"/>
  <c r="M62" i="7"/>
  <c r="M50" i="6"/>
  <c r="K106" i="6"/>
  <c r="K102" i="6"/>
  <c r="M56" i="6"/>
  <c r="M65" i="6"/>
  <c r="M63" i="6"/>
  <c r="M94" i="6"/>
  <c r="M91" i="6"/>
  <c r="M59" i="6"/>
  <c r="K100" i="6"/>
  <c r="J34" i="6"/>
  <c r="E121" i="6" s="1"/>
  <c r="M90" i="6"/>
  <c r="M72" i="6"/>
  <c r="M46" i="6"/>
  <c r="M75" i="6"/>
  <c r="M79" i="6"/>
  <c r="J28" i="6"/>
  <c r="E115" i="6" s="1"/>
  <c r="C121" i="6"/>
  <c r="M89" i="6"/>
  <c r="M87" i="6"/>
  <c r="M47" i="6"/>
  <c r="M76" i="6"/>
  <c r="J30" i="6"/>
  <c r="E117" i="6" s="1"/>
  <c r="C122" i="6"/>
  <c r="M77" i="6"/>
  <c r="M71" i="6"/>
  <c r="J27" i="6"/>
  <c r="E114" i="6" s="1"/>
  <c r="K104" i="6"/>
  <c r="J35" i="6"/>
  <c r="E122" i="6" s="1"/>
  <c r="M78" i="6"/>
  <c r="M92" i="6"/>
  <c r="M95" i="6"/>
  <c r="M44" i="6"/>
  <c r="M73" i="6"/>
  <c r="J31" i="6"/>
  <c r="E118" i="6" s="1"/>
  <c r="M93" i="6"/>
  <c r="M45" i="6"/>
  <c r="M51" i="6"/>
  <c r="M43" i="6"/>
  <c r="M61" i="6"/>
  <c r="M48" i="6"/>
  <c r="J36" i="6"/>
  <c r="E123" i="6" s="1"/>
  <c r="J32" i="5"/>
  <c r="E119" i="5" s="1"/>
  <c r="J30" i="5"/>
  <c r="E117" i="5" s="1"/>
  <c r="F101" i="5"/>
  <c r="J101" i="5" s="1"/>
  <c r="J31" i="5"/>
  <c r="E118" i="5" s="1"/>
  <c r="D23" i="9" s="1"/>
  <c r="F103" i="5"/>
  <c r="J103" i="5" s="1"/>
  <c r="F109" i="5"/>
  <c r="J109" i="5" s="1"/>
  <c r="F106" i="5"/>
  <c r="J106" i="5" s="1"/>
  <c r="J34" i="5"/>
  <c r="E121" i="5" s="1"/>
  <c r="F102" i="5"/>
  <c r="J102" i="5" s="1"/>
  <c r="F107" i="5"/>
  <c r="J107" i="5" s="1"/>
  <c r="J33" i="5"/>
  <c r="E120" i="5" s="1"/>
  <c r="F104" i="5"/>
  <c r="J104" i="5" s="1"/>
  <c r="F105" i="5"/>
  <c r="J105" i="5" s="1"/>
  <c r="F108" i="5"/>
  <c r="J108" i="5" s="1"/>
  <c r="J35" i="5"/>
  <c r="E122" i="5" s="1"/>
  <c r="O11" i="2"/>
  <c r="D83" i="2"/>
  <c r="F83" i="2" s="1"/>
  <c r="J83" i="2" s="1"/>
  <c r="D85" i="2"/>
  <c r="F85" i="2" s="1"/>
  <c r="J85" i="2" s="1"/>
  <c r="D79" i="2"/>
  <c r="F79" i="2" s="1"/>
  <c r="J79" i="2" s="1"/>
  <c r="D80" i="2"/>
  <c r="F80" i="2" s="1"/>
  <c r="J80" i="2" s="1"/>
  <c r="D81" i="2"/>
  <c r="F81" i="2" s="1"/>
  <c r="J81" i="2" s="1"/>
  <c r="D82" i="2"/>
  <c r="F82" i="2" s="1"/>
  <c r="J82" i="2" s="1"/>
  <c r="D84" i="2"/>
  <c r="F84" i="2" s="1"/>
  <c r="J84" i="2" s="1"/>
  <c r="D86" i="2"/>
  <c r="F86" i="2" s="1"/>
  <c r="J86" i="2" s="1"/>
  <c r="D77" i="2"/>
  <c r="F77" i="2" s="1"/>
  <c r="J77" i="2" s="1"/>
  <c r="D78" i="2"/>
  <c r="F78" i="2" s="1"/>
  <c r="J78" i="2" s="1"/>
  <c r="C20" i="2"/>
  <c r="H20" i="2" s="1"/>
  <c r="F91" i="2"/>
  <c r="F92" i="2"/>
  <c r="G121" i="5"/>
  <c r="E44" i="5"/>
  <c r="J44" i="5" s="1"/>
  <c r="M44" i="5" s="1"/>
  <c r="E61" i="5"/>
  <c r="J61" i="5" s="1"/>
  <c r="E50" i="5"/>
  <c r="J50" i="5" s="1"/>
  <c r="M50" i="5" s="1"/>
  <c r="E60" i="5"/>
  <c r="J60" i="5" s="1"/>
  <c r="E88" i="5"/>
  <c r="J88" i="5" s="1"/>
  <c r="M88" i="5" s="1"/>
  <c r="E72" i="5"/>
  <c r="J72" i="5" s="1"/>
  <c r="M72" i="5" s="1"/>
  <c r="G123" i="5"/>
  <c r="E77" i="5"/>
  <c r="J77" i="5" s="1"/>
  <c r="M77" i="5" s="1"/>
  <c r="E47" i="5"/>
  <c r="J47" i="5" s="1"/>
  <c r="M47" i="5" s="1"/>
  <c r="E90" i="5"/>
  <c r="J90" i="5" s="1"/>
  <c r="M90" i="5" s="1"/>
  <c r="E89" i="5"/>
  <c r="J89" i="5" s="1"/>
  <c r="M89" i="5" s="1"/>
  <c r="G114" i="5"/>
  <c r="B17" i="9" s="1"/>
  <c r="I17" i="9" s="1"/>
  <c r="E65" i="5"/>
  <c r="J65" i="5" s="1"/>
  <c r="G120" i="5"/>
  <c r="E74" i="5"/>
  <c r="J74" i="5" s="1"/>
  <c r="M74" i="5" s="1"/>
  <c r="E79" i="5"/>
  <c r="J79" i="5" s="1"/>
  <c r="M79" i="5" s="1"/>
  <c r="E58" i="5"/>
  <c r="J58" i="5" s="1"/>
  <c r="E56" i="5"/>
  <c r="J56" i="5" s="1"/>
  <c r="E76" i="5"/>
  <c r="J76" i="5" s="1"/>
  <c r="M76" i="5" s="1"/>
  <c r="E71" i="5"/>
  <c r="J71" i="5" s="1"/>
  <c r="M71" i="5" s="1"/>
  <c r="E46" i="5"/>
  <c r="J46" i="5" s="1"/>
  <c r="M46" i="5" s="1"/>
  <c r="E43" i="5"/>
  <c r="J43" i="5" s="1"/>
  <c r="M43" i="5" s="1"/>
  <c r="E94" i="5"/>
  <c r="J94" i="5" s="1"/>
  <c r="M94" i="5" s="1"/>
  <c r="E95" i="5"/>
  <c r="J95" i="5" s="1"/>
  <c r="M95" i="5" s="1"/>
  <c r="E91" i="5"/>
  <c r="J91" i="5" s="1"/>
  <c r="M91" i="5" s="1"/>
  <c r="E51" i="5"/>
  <c r="J51" i="5" s="1"/>
  <c r="M51" i="5" s="1"/>
  <c r="E93" i="5"/>
  <c r="J93" i="5" s="1"/>
  <c r="M93" i="5" s="1"/>
  <c r="E42" i="5"/>
  <c r="J42" i="5" s="1"/>
  <c r="M42" i="5" s="1"/>
  <c r="E75" i="5"/>
  <c r="J75" i="5" s="1"/>
  <c r="M75" i="5" s="1"/>
  <c r="E48" i="5"/>
  <c r="J48" i="5" s="1"/>
  <c r="M48" i="5" s="1"/>
  <c r="E57" i="5"/>
  <c r="J57" i="5" s="1"/>
  <c r="E86" i="5"/>
  <c r="J86" i="5" s="1"/>
  <c r="E63" i="5"/>
  <c r="J63" i="5" s="1"/>
  <c r="G115" i="5"/>
  <c r="E49" i="5"/>
  <c r="J49" i="5" s="1"/>
  <c r="M49" i="5" s="1"/>
  <c r="G119" i="5"/>
  <c r="G122" i="5"/>
  <c r="G117" i="5"/>
  <c r="E45" i="5"/>
  <c r="J45" i="5" s="1"/>
  <c r="M45" i="5" s="1"/>
  <c r="E73" i="5"/>
  <c r="J73" i="5" s="1"/>
  <c r="M73" i="5" s="1"/>
  <c r="G116" i="5"/>
  <c r="E62" i="5"/>
  <c r="J62" i="5" s="1"/>
  <c r="E64" i="5"/>
  <c r="J64" i="5" s="1"/>
  <c r="E92" i="5"/>
  <c r="J92" i="5" s="1"/>
  <c r="M92" i="5" s="1"/>
  <c r="E78" i="5"/>
  <c r="J78" i="5" s="1"/>
  <c r="M78" i="5" s="1"/>
  <c r="E70" i="5"/>
  <c r="J70" i="5" s="1"/>
  <c r="M70" i="5" s="1"/>
  <c r="G118" i="5"/>
  <c r="E87" i="5"/>
  <c r="J87" i="5" s="1"/>
  <c r="M87" i="5" s="1"/>
  <c r="C101" i="5"/>
  <c r="E101" i="5" s="1"/>
  <c r="I101" i="5" s="1"/>
  <c r="C102" i="5"/>
  <c r="E102" i="5" s="1"/>
  <c r="I102" i="5" s="1"/>
  <c r="C107" i="5"/>
  <c r="E107" i="5" s="1"/>
  <c r="I107" i="5" s="1"/>
  <c r="C109" i="5"/>
  <c r="E109" i="5" s="1"/>
  <c r="I109" i="5" s="1"/>
  <c r="C104" i="5"/>
  <c r="C106" i="5"/>
  <c r="E106" i="5" s="1"/>
  <c r="I106" i="5" s="1"/>
  <c r="C100" i="5"/>
  <c r="E100" i="5" s="1"/>
  <c r="I100" i="5" s="1"/>
  <c r="K100" i="5" s="1"/>
  <c r="C105" i="5"/>
  <c r="E105" i="5" s="1"/>
  <c r="I105" i="5" s="1"/>
  <c r="C103" i="5"/>
  <c r="E103" i="5" s="1"/>
  <c r="I103" i="5" s="1"/>
  <c r="C108" i="5"/>
  <c r="E108" i="5" s="1"/>
  <c r="I108" i="5" s="1"/>
  <c r="L86" i="5"/>
  <c r="M65" i="5"/>
  <c r="M58" i="5"/>
  <c r="M57" i="5"/>
  <c r="M61" i="5"/>
  <c r="M59" i="5"/>
  <c r="M64" i="5"/>
  <c r="M63" i="5"/>
  <c r="M62" i="5"/>
  <c r="M60" i="5"/>
  <c r="M42" i="4"/>
  <c r="M53" i="4"/>
  <c r="M76" i="4"/>
  <c r="M60" i="4"/>
  <c r="M23" i="4"/>
  <c r="C79" i="4" s="1"/>
  <c r="M45" i="4"/>
  <c r="M55" i="4"/>
  <c r="M30" i="4"/>
  <c r="C86" i="4" s="1"/>
  <c r="M52" i="4"/>
  <c r="M51" i="4"/>
  <c r="M56" i="4"/>
  <c r="M72" i="4"/>
  <c r="M40" i="4"/>
  <c r="M58" i="4"/>
  <c r="M54" i="4"/>
  <c r="M41" i="4"/>
  <c r="M27" i="4"/>
  <c r="C83" i="4" s="1"/>
  <c r="M25" i="4"/>
  <c r="M28" i="4"/>
  <c r="M31" i="4"/>
  <c r="C87" i="4" s="1"/>
  <c r="M26" i="4"/>
  <c r="C82" i="4" s="1"/>
  <c r="M44" i="4"/>
  <c r="M46" i="4"/>
  <c r="M73" i="4"/>
  <c r="M74" i="4"/>
  <c r="M69" i="4"/>
  <c r="M70" i="4"/>
  <c r="M38" i="4"/>
  <c r="M29" i="4"/>
  <c r="M71" i="4"/>
  <c r="M39" i="4"/>
  <c r="M43" i="4"/>
  <c r="M75" i="4"/>
  <c r="M68" i="4"/>
  <c r="M24" i="4"/>
  <c r="M57" i="4"/>
  <c r="M37" i="4"/>
  <c r="M59" i="4"/>
  <c r="M67" i="4"/>
  <c r="M32" i="4"/>
  <c r="C23" i="2"/>
  <c r="C24" i="2"/>
  <c r="G72" i="2"/>
  <c r="L72" i="2" s="1"/>
  <c r="X11" i="2"/>
  <c r="AB11" i="2"/>
  <c r="D72" i="2"/>
  <c r="I72" i="2" s="1"/>
  <c r="Y11" i="2"/>
  <c r="F72" i="2"/>
  <c r="K72" i="2" s="1"/>
  <c r="AA11" i="2"/>
  <c r="Z11" i="2"/>
  <c r="C72" i="2"/>
  <c r="H72" i="2" s="1"/>
  <c r="L20" i="3"/>
  <c r="P2" i="1"/>
  <c r="O2" i="1" s="1"/>
  <c r="M16" i="1"/>
  <c r="M17" i="1"/>
  <c r="M18" i="1"/>
  <c r="M19" i="1"/>
  <c r="M20" i="1"/>
  <c r="M21" i="1"/>
  <c r="M22" i="1"/>
  <c r="M23" i="1"/>
  <c r="M24" i="1"/>
  <c r="M25" i="1"/>
  <c r="G25" i="1"/>
  <c r="E25" i="1"/>
  <c r="H25" i="1"/>
  <c r="G24" i="1"/>
  <c r="E24" i="1"/>
  <c r="H24" i="1"/>
  <c r="G23" i="1"/>
  <c r="E23" i="1"/>
  <c r="H23" i="1"/>
  <c r="G22" i="1"/>
  <c r="E22" i="1"/>
  <c r="H22" i="1"/>
  <c r="G21" i="1"/>
  <c r="E21" i="1"/>
  <c r="H21" i="1"/>
  <c r="G20" i="1"/>
  <c r="E20" i="1"/>
  <c r="H20" i="1"/>
  <c r="Q34" i="1"/>
  <c r="Q35" i="1"/>
  <c r="Q37" i="1"/>
  <c r="Q38" i="1"/>
  <c r="Q39" i="1"/>
  <c r="Q40" i="1"/>
  <c r="F19" i="1"/>
  <c r="G19" i="1"/>
  <c r="E19" i="1"/>
  <c r="H19" i="1"/>
  <c r="F18" i="1"/>
  <c r="H18" i="1"/>
  <c r="G18" i="1"/>
  <c r="E18" i="1"/>
  <c r="I32" i="1"/>
  <c r="E32" i="1"/>
  <c r="H17" i="1"/>
  <c r="G17" i="1"/>
  <c r="F17" i="1"/>
  <c r="E17" i="1"/>
  <c r="Q31" i="1"/>
  <c r="H16" i="1"/>
  <c r="G16" i="1"/>
  <c r="E16" i="1"/>
  <c r="P3" i="1"/>
  <c r="O3" i="1" s="1"/>
  <c r="P4" i="1"/>
  <c r="P5" i="1"/>
  <c r="P6" i="1"/>
  <c r="P7" i="1"/>
  <c r="O7" i="1" s="1"/>
  <c r="P8" i="1"/>
  <c r="O8" i="1" s="1"/>
  <c r="P9" i="1"/>
  <c r="O9" i="1" s="1"/>
  <c r="P10" i="1"/>
  <c r="O10" i="1" s="1"/>
  <c r="P11" i="1"/>
  <c r="O11" i="1" s="1"/>
  <c r="P12" i="1"/>
  <c r="I30" i="1"/>
  <c r="Q30" i="1" s="1"/>
  <c r="H15" i="1"/>
  <c r="G15" i="1"/>
  <c r="F15" i="1"/>
  <c r="E15" i="1"/>
  <c r="D124" i="5" l="1"/>
  <c r="I124" i="5" s="1"/>
  <c r="J124" i="5" s="1"/>
  <c r="C12" i="9" s="1"/>
  <c r="D121" i="5"/>
  <c r="H17" i="9"/>
  <c r="D116" i="5"/>
  <c r="E17" i="9"/>
  <c r="G23" i="9" s="1"/>
  <c r="C81" i="4"/>
  <c r="E81" i="4"/>
  <c r="F81" i="4" s="1"/>
  <c r="J114" i="6"/>
  <c r="B2" i="9" s="1"/>
  <c r="I124" i="6"/>
  <c r="J124" i="6" s="1"/>
  <c r="B12" i="9" s="1"/>
  <c r="D117" i="5"/>
  <c r="F124" i="5"/>
  <c r="C124" i="7"/>
  <c r="F124" i="7"/>
  <c r="D121" i="7"/>
  <c r="D124" i="7"/>
  <c r="D114" i="7"/>
  <c r="D123" i="7"/>
  <c r="D119" i="7"/>
  <c r="D122" i="8"/>
  <c r="D123" i="8"/>
  <c r="D118" i="8"/>
  <c r="D121" i="8"/>
  <c r="D115" i="8"/>
  <c r="C124" i="8"/>
  <c r="F124" i="8"/>
  <c r="D117" i="8"/>
  <c r="D124" i="8"/>
  <c r="D114" i="8"/>
  <c r="D120" i="8"/>
  <c r="D122" i="7"/>
  <c r="D118" i="7"/>
  <c r="D115" i="7"/>
  <c r="D116" i="7"/>
  <c r="D120" i="7"/>
  <c r="D117" i="7"/>
  <c r="D122" i="5"/>
  <c r="D119" i="5"/>
  <c r="D123" i="5"/>
  <c r="D115" i="5"/>
  <c r="D118" i="5"/>
  <c r="M23" i="9" s="1"/>
  <c r="D120" i="5"/>
  <c r="F114" i="6"/>
  <c r="I121" i="6"/>
  <c r="J121" i="6" s="1"/>
  <c r="B9" i="9" s="1"/>
  <c r="F114" i="8"/>
  <c r="F121" i="8"/>
  <c r="J31" i="8"/>
  <c r="E118" i="8" s="1"/>
  <c r="J29" i="8"/>
  <c r="E116" i="8" s="1"/>
  <c r="J33" i="8"/>
  <c r="E120" i="8" s="1"/>
  <c r="J34" i="8"/>
  <c r="E121" i="8" s="1"/>
  <c r="C116" i="8"/>
  <c r="F116" i="8"/>
  <c r="J32" i="8"/>
  <c r="E119" i="8" s="1"/>
  <c r="C117" i="8"/>
  <c r="F117" i="8"/>
  <c r="C123" i="8"/>
  <c r="F123" i="8"/>
  <c r="C115" i="8"/>
  <c r="F115" i="8"/>
  <c r="C120" i="8"/>
  <c r="F120" i="8"/>
  <c r="J28" i="8"/>
  <c r="E115" i="8" s="1"/>
  <c r="J36" i="8"/>
  <c r="E123" i="8" s="1"/>
  <c r="C122" i="8"/>
  <c r="I122" i="8" s="1"/>
  <c r="J122" i="8" s="1"/>
  <c r="E10" i="9" s="1"/>
  <c r="F122" i="8"/>
  <c r="J30" i="8"/>
  <c r="E117" i="8" s="1"/>
  <c r="J35" i="8"/>
  <c r="E122" i="8" s="1"/>
  <c r="C118" i="8"/>
  <c r="F118" i="8"/>
  <c r="J27" i="8"/>
  <c r="E114" i="8" s="1"/>
  <c r="C119" i="8"/>
  <c r="I119" i="8" s="1"/>
  <c r="J119" i="8" s="1"/>
  <c r="E7" i="9" s="1"/>
  <c r="F119" i="8"/>
  <c r="C115" i="7"/>
  <c r="F115" i="7"/>
  <c r="C120" i="7"/>
  <c r="F120" i="7"/>
  <c r="C114" i="7"/>
  <c r="F114" i="7"/>
  <c r="C119" i="7"/>
  <c r="F119" i="7"/>
  <c r="C123" i="7"/>
  <c r="F123" i="7"/>
  <c r="C121" i="7"/>
  <c r="I121" i="7" s="1"/>
  <c r="J121" i="7" s="1"/>
  <c r="D9" i="9" s="1"/>
  <c r="F121" i="7"/>
  <c r="C116" i="7"/>
  <c r="F116" i="7"/>
  <c r="C118" i="7"/>
  <c r="F118" i="7"/>
  <c r="C117" i="7"/>
  <c r="F117" i="7"/>
  <c r="C122" i="7"/>
  <c r="F122" i="7"/>
  <c r="C117" i="6"/>
  <c r="F117" i="6"/>
  <c r="F122" i="6"/>
  <c r="C119" i="6"/>
  <c r="F119" i="6"/>
  <c r="I122" i="6"/>
  <c r="J122" i="6" s="1"/>
  <c r="B10" i="9" s="1"/>
  <c r="C118" i="6"/>
  <c r="F118" i="6"/>
  <c r="C116" i="6"/>
  <c r="F116" i="6"/>
  <c r="C120" i="6"/>
  <c r="F120" i="6"/>
  <c r="C115" i="6"/>
  <c r="F115" i="6"/>
  <c r="F121" i="6"/>
  <c r="C123" i="6"/>
  <c r="F123" i="6"/>
  <c r="K106" i="5"/>
  <c r="E104" i="5"/>
  <c r="I104" i="5" s="1"/>
  <c r="K104" i="5" s="1"/>
  <c r="K109" i="5"/>
  <c r="K107" i="5"/>
  <c r="K105" i="5"/>
  <c r="K108" i="5"/>
  <c r="K102" i="5"/>
  <c r="K103" i="5"/>
  <c r="K101" i="5"/>
  <c r="F98" i="2"/>
  <c r="F96" i="2"/>
  <c r="F93" i="2"/>
  <c r="F95" i="2"/>
  <c r="F97" i="2"/>
  <c r="F94" i="2"/>
  <c r="C83" i="2"/>
  <c r="K77" i="2"/>
  <c r="C85" i="2"/>
  <c r="C79" i="2"/>
  <c r="C81" i="2"/>
  <c r="C84" i="2"/>
  <c r="C78" i="2"/>
  <c r="C80" i="2"/>
  <c r="C82" i="2"/>
  <c r="C86" i="2"/>
  <c r="E72" i="2"/>
  <c r="J72" i="2" s="1"/>
  <c r="M72" i="2" s="1"/>
  <c r="F99" i="2"/>
  <c r="F119" i="5"/>
  <c r="M86" i="5"/>
  <c r="D114" i="5" s="1"/>
  <c r="F121" i="5"/>
  <c r="F118" i="5"/>
  <c r="F120" i="5"/>
  <c r="F122" i="5"/>
  <c r="F116" i="5"/>
  <c r="F115" i="5"/>
  <c r="F123" i="5"/>
  <c r="F117" i="5"/>
  <c r="C114" i="5"/>
  <c r="C116" i="5"/>
  <c r="C119" i="5"/>
  <c r="C117" i="5"/>
  <c r="C118" i="5"/>
  <c r="C121" i="5"/>
  <c r="C115" i="5"/>
  <c r="C123" i="5"/>
  <c r="C122" i="5"/>
  <c r="C120" i="5"/>
  <c r="D88" i="4"/>
  <c r="D83" i="4"/>
  <c r="D82" i="4"/>
  <c r="D84" i="4"/>
  <c r="E84" i="4"/>
  <c r="F84" i="4" s="1"/>
  <c r="E86" i="4"/>
  <c r="F86" i="4" s="1"/>
  <c r="E82" i="4"/>
  <c r="F82" i="4" s="1"/>
  <c r="D79" i="4"/>
  <c r="E87" i="4"/>
  <c r="F87" i="4" s="1"/>
  <c r="D80" i="4"/>
  <c r="C84" i="4"/>
  <c r="D87" i="4"/>
  <c r="E85" i="4"/>
  <c r="F85" i="4" s="1"/>
  <c r="C85" i="4"/>
  <c r="E88" i="4"/>
  <c r="F88" i="4" s="1"/>
  <c r="C88" i="4"/>
  <c r="C80" i="4"/>
  <c r="E80" i="4"/>
  <c r="F80" i="4" s="1"/>
  <c r="E79" i="4"/>
  <c r="F79" i="4" s="1"/>
  <c r="E83" i="4"/>
  <c r="F83" i="4" s="1"/>
  <c r="D85" i="4"/>
  <c r="D86" i="4"/>
  <c r="D81" i="4"/>
  <c r="G42" i="2"/>
  <c r="L42" i="2" s="1"/>
  <c r="G49" i="2"/>
  <c r="L49" i="2" s="1"/>
  <c r="G36" i="2"/>
  <c r="L36" i="2" s="1"/>
  <c r="G37" i="2"/>
  <c r="L37" i="2" s="1"/>
  <c r="G55" i="2"/>
  <c r="L55" i="2" s="1"/>
  <c r="G34" i="2"/>
  <c r="L34" i="2" s="1"/>
  <c r="G38" i="2"/>
  <c r="L38" i="2" s="1"/>
  <c r="G43" i="2"/>
  <c r="L43" i="2" s="1"/>
  <c r="G56" i="2"/>
  <c r="L56" i="2" s="1"/>
  <c r="G35" i="2"/>
  <c r="L35" i="2" s="1"/>
  <c r="G57" i="2"/>
  <c r="L57" i="2" s="1"/>
  <c r="G51" i="2"/>
  <c r="L51" i="2" s="1"/>
  <c r="G39" i="2"/>
  <c r="L39" i="2" s="1"/>
  <c r="G52" i="2"/>
  <c r="L52" i="2" s="1"/>
  <c r="G53" i="2"/>
  <c r="L53" i="2" s="1"/>
  <c r="G41" i="2"/>
  <c r="L41" i="2" s="1"/>
  <c r="G48" i="2"/>
  <c r="L48" i="2" s="1"/>
  <c r="G40" i="2"/>
  <c r="L40" i="2" s="1"/>
  <c r="G50" i="2"/>
  <c r="L50" i="2" s="1"/>
  <c r="G54" i="2"/>
  <c r="L54" i="2" s="1"/>
  <c r="G68" i="2"/>
  <c r="L68" i="2" s="1"/>
  <c r="G20" i="2"/>
  <c r="L20" i="2" s="1"/>
  <c r="G27" i="2"/>
  <c r="L27" i="2" s="1"/>
  <c r="G66" i="2"/>
  <c r="L66" i="2" s="1"/>
  <c r="G70" i="2"/>
  <c r="L70" i="2" s="1"/>
  <c r="G29" i="2"/>
  <c r="L29" i="2" s="1"/>
  <c r="G24" i="2"/>
  <c r="L24" i="2" s="1"/>
  <c r="G21" i="2"/>
  <c r="L21" i="2" s="1"/>
  <c r="G71" i="2"/>
  <c r="L71" i="2" s="1"/>
  <c r="G65" i="2"/>
  <c r="L65" i="2" s="1"/>
  <c r="G23" i="2"/>
  <c r="L23" i="2" s="1"/>
  <c r="G64" i="2"/>
  <c r="L64" i="2" s="1"/>
  <c r="G25" i="2"/>
  <c r="L25" i="2" s="1"/>
  <c r="G69" i="2"/>
  <c r="L69" i="2" s="1"/>
  <c r="G63" i="2"/>
  <c r="L63" i="2" s="1"/>
  <c r="G22" i="2"/>
  <c r="L22" i="2" s="1"/>
  <c r="G26" i="2"/>
  <c r="L26" i="2" s="1"/>
  <c r="G28" i="2"/>
  <c r="L28" i="2" s="1"/>
  <c r="G67" i="2"/>
  <c r="L67" i="2" s="1"/>
  <c r="D43" i="2"/>
  <c r="I43" i="2" s="1"/>
  <c r="D57" i="2"/>
  <c r="I57" i="2" s="1"/>
  <c r="D56" i="2"/>
  <c r="I56" i="2" s="1"/>
  <c r="D37" i="2"/>
  <c r="I37" i="2" s="1"/>
  <c r="D52" i="2"/>
  <c r="I52" i="2" s="1"/>
  <c r="D35" i="2"/>
  <c r="I35" i="2" s="1"/>
  <c r="D36" i="2"/>
  <c r="I36" i="2" s="1"/>
  <c r="D51" i="2"/>
  <c r="I51" i="2" s="1"/>
  <c r="D50" i="2"/>
  <c r="I50" i="2" s="1"/>
  <c r="D38" i="2"/>
  <c r="I38" i="2" s="1"/>
  <c r="D53" i="2"/>
  <c r="I53" i="2" s="1"/>
  <c r="D39" i="2"/>
  <c r="I39" i="2" s="1"/>
  <c r="D54" i="2"/>
  <c r="I54" i="2" s="1"/>
  <c r="D42" i="2"/>
  <c r="I42" i="2" s="1"/>
  <c r="D40" i="2"/>
  <c r="I40" i="2" s="1"/>
  <c r="D34" i="2"/>
  <c r="I34" i="2" s="1"/>
  <c r="D48" i="2"/>
  <c r="I48" i="2" s="1"/>
  <c r="D49" i="2"/>
  <c r="I49" i="2" s="1"/>
  <c r="D41" i="2"/>
  <c r="I41" i="2" s="1"/>
  <c r="D55" i="2"/>
  <c r="I55" i="2" s="1"/>
  <c r="D68" i="2"/>
  <c r="I68" i="2" s="1"/>
  <c r="D27" i="2"/>
  <c r="I27" i="2" s="1"/>
  <c r="D20" i="2"/>
  <c r="I20" i="2" s="1"/>
  <c r="D29" i="2"/>
  <c r="I29" i="2" s="1"/>
  <c r="D26" i="2"/>
  <c r="I26" i="2" s="1"/>
  <c r="D21" i="2"/>
  <c r="I21" i="2" s="1"/>
  <c r="D63" i="2"/>
  <c r="I63" i="2" s="1"/>
  <c r="D66" i="2"/>
  <c r="I66" i="2" s="1"/>
  <c r="D71" i="2"/>
  <c r="I71" i="2" s="1"/>
  <c r="D22" i="2"/>
  <c r="I22" i="2" s="1"/>
  <c r="D28" i="2"/>
  <c r="I28" i="2" s="1"/>
  <c r="D70" i="2"/>
  <c r="I70" i="2" s="1"/>
  <c r="D67" i="2"/>
  <c r="I67" i="2" s="1"/>
  <c r="D65" i="2"/>
  <c r="I65" i="2" s="1"/>
  <c r="D64" i="2"/>
  <c r="I64" i="2" s="1"/>
  <c r="D25" i="2"/>
  <c r="I25" i="2" s="1"/>
  <c r="D23" i="2"/>
  <c r="I23" i="2" s="1"/>
  <c r="D69" i="2"/>
  <c r="I69" i="2" s="1"/>
  <c r="D24" i="2"/>
  <c r="I24" i="2" s="1"/>
  <c r="C36" i="2"/>
  <c r="H36" i="2" s="1"/>
  <c r="C66" i="2"/>
  <c r="H66" i="2" s="1"/>
  <c r="C56" i="2"/>
  <c r="H56" i="2" s="1"/>
  <c r="C49" i="2"/>
  <c r="H49" i="2" s="1"/>
  <c r="C34" i="2"/>
  <c r="H34" i="2" s="1"/>
  <c r="C50" i="2"/>
  <c r="H50" i="2" s="1"/>
  <c r="C57" i="2"/>
  <c r="H57" i="2" s="1"/>
  <c r="C67" i="2"/>
  <c r="H67" i="2" s="1"/>
  <c r="C48" i="2"/>
  <c r="H48" i="2" s="1"/>
  <c r="C52" i="2"/>
  <c r="H52" i="2" s="1"/>
  <c r="C53" i="2"/>
  <c r="H53" i="2" s="1"/>
  <c r="C40" i="2"/>
  <c r="H40" i="2" s="1"/>
  <c r="C38" i="2"/>
  <c r="H38" i="2" s="1"/>
  <c r="C54" i="2"/>
  <c r="H54" i="2" s="1"/>
  <c r="C69" i="2"/>
  <c r="H69" i="2" s="1"/>
  <c r="C68" i="2"/>
  <c r="H68" i="2" s="1"/>
  <c r="C65" i="2"/>
  <c r="H65" i="2" s="1"/>
  <c r="C64" i="2"/>
  <c r="H64" i="2" s="1"/>
  <c r="C37" i="2"/>
  <c r="H37" i="2" s="1"/>
  <c r="C51" i="2"/>
  <c r="H51" i="2" s="1"/>
  <c r="C43" i="2"/>
  <c r="H43" i="2" s="1"/>
  <c r="C55" i="2"/>
  <c r="H55" i="2" s="1"/>
  <c r="C42" i="2"/>
  <c r="H42" i="2" s="1"/>
  <c r="C70" i="2"/>
  <c r="H70" i="2" s="1"/>
  <c r="C39" i="2"/>
  <c r="H39" i="2" s="1"/>
  <c r="C35" i="2"/>
  <c r="H35" i="2" s="1"/>
  <c r="C71" i="2"/>
  <c r="H71" i="2" s="1"/>
  <c r="C63" i="2"/>
  <c r="H63" i="2" s="1"/>
  <c r="C41" i="2"/>
  <c r="H41" i="2" s="1"/>
  <c r="C22" i="2"/>
  <c r="H22" i="2" s="1"/>
  <c r="C28" i="2"/>
  <c r="H28" i="2" s="1"/>
  <c r="C27" i="2"/>
  <c r="H27" i="2" s="1"/>
  <c r="C25" i="2"/>
  <c r="H25" i="2" s="1"/>
  <c r="C21" i="2"/>
  <c r="H21" i="2" s="1"/>
  <c r="H24" i="2"/>
  <c r="C29" i="2"/>
  <c r="H29" i="2" s="1"/>
  <c r="H23" i="2"/>
  <c r="C26" i="2"/>
  <c r="H26" i="2" s="1"/>
  <c r="E51" i="2"/>
  <c r="J51" i="2" s="1"/>
  <c r="E49" i="2"/>
  <c r="J49" i="2" s="1"/>
  <c r="E35" i="2"/>
  <c r="J35" i="2" s="1"/>
  <c r="E42" i="2"/>
  <c r="J42" i="2" s="1"/>
  <c r="E54" i="2"/>
  <c r="J54" i="2" s="1"/>
  <c r="E48" i="2"/>
  <c r="J48" i="2" s="1"/>
  <c r="E66" i="2"/>
  <c r="J66" i="2" s="1"/>
  <c r="E39" i="2"/>
  <c r="J39" i="2" s="1"/>
  <c r="E41" i="2"/>
  <c r="J41" i="2" s="1"/>
  <c r="E37" i="2"/>
  <c r="J37" i="2" s="1"/>
  <c r="E40" i="2"/>
  <c r="J40" i="2" s="1"/>
  <c r="E36" i="2"/>
  <c r="J36" i="2" s="1"/>
  <c r="E50" i="2"/>
  <c r="J50" i="2" s="1"/>
  <c r="E55" i="2"/>
  <c r="J55" i="2" s="1"/>
  <c r="E53" i="2"/>
  <c r="J53" i="2" s="1"/>
  <c r="E43" i="2"/>
  <c r="J43" i="2" s="1"/>
  <c r="E52" i="2"/>
  <c r="J52" i="2" s="1"/>
  <c r="E56" i="2"/>
  <c r="J56" i="2" s="1"/>
  <c r="E57" i="2"/>
  <c r="J57" i="2" s="1"/>
  <c r="E38" i="2"/>
  <c r="J38" i="2" s="1"/>
  <c r="E34" i="2"/>
  <c r="J34" i="2" s="1"/>
  <c r="E26" i="2"/>
  <c r="J26" i="2" s="1"/>
  <c r="E28" i="2"/>
  <c r="J28" i="2" s="1"/>
  <c r="E64" i="2"/>
  <c r="J64" i="2" s="1"/>
  <c r="E68" i="2"/>
  <c r="J68" i="2" s="1"/>
  <c r="E21" i="2"/>
  <c r="J21" i="2" s="1"/>
  <c r="E65" i="2"/>
  <c r="J65" i="2" s="1"/>
  <c r="E20" i="2"/>
  <c r="J20" i="2" s="1"/>
  <c r="E22" i="2"/>
  <c r="J22" i="2" s="1"/>
  <c r="E70" i="2"/>
  <c r="J70" i="2" s="1"/>
  <c r="E23" i="2"/>
  <c r="J23" i="2" s="1"/>
  <c r="E25" i="2"/>
  <c r="J25" i="2" s="1"/>
  <c r="E67" i="2"/>
  <c r="J67" i="2" s="1"/>
  <c r="E63" i="2"/>
  <c r="J63" i="2" s="1"/>
  <c r="E71" i="2"/>
  <c r="J71" i="2" s="1"/>
  <c r="E69" i="2"/>
  <c r="J69" i="2" s="1"/>
  <c r="E27" i="2"/>
  <c r="J27" i="2" s="1"/>
  <c r="E29" i="2"/>
  <c r="J29" i="2" s="1"/>
  <c r="E24" i="2"/>
  <c r="J24" i="2" s="1"/>
  <c r="F37" i="2"/>
  <c r="K37" i="2" s="1"/>
  <c r="F50" i="2"/>
  <c r="K50" i="2" s="1"/>
  <c r="F48" i="2"/>
  <c r="K48" i="2" s="1"/>
  <c r="F41" i="2"/>
  <c r="K41" i="2" s="1"/>
  <c r="F51" i="2"/>
  <c r="K51" i="2" s="1"/>
  <c r="F52" i="2"/>
  <c r="K52" i="2" s="1"/>
  <c r="F43" i="2"/>
  <c r="K43" i="2" s="1"/>
  <c r="F56" i="2"/>
  <c r="K56" i="2" s="1"/>
  <c r="F55" i="2"/>
  <c r="K55" i="2" s="1"/>
  <c r="F70" i="2"/>
  <c r="K70" i="2" s="1"/>
  <c r="F54" i="2"/>
  <c r="K54" i="2" s="1"/>
  <c r="F49" i="2"/>
  <c r="K49" i="2" s="1"/>
  <c r="F57" i="2"/>
  <c r="K57" i="2" s="1"/>
  <c r="F36" i="2"/>
  <c r="K36" i="2" s="1"/>
  <c r="F53" i="2"/>
  <c r="K53" i="2" s="1"/>
  <c r="F35" i="2"/>
  <c r="K35" i="2" s="1"/>
  <c r="F67" i="2"/>
  <c r="K67" i="2" s="1"/>
  <c r="F39" i="2"/>
  <c r="K39" i="2" s="1"/>
  <c r="F42" i="2"/>
  <c r="K42" i="2" s="1"/>
  <c r="F66" i="2"/>
  <c r="K66" i="2" s="1"/>
  <c r="F34" i="2"/>
  <c r="K34" i="2" s="1"/>
  <c r="F38" i="2"/>
  <c r="K38" i="2" s="1"/>
  <c r="F71" i="2"/>
  <c r="K71" i="2" s="1"/>
  <c r="F40" i="2"/>
  <c r="K40" i="2" s="1"/>
  <c r="F65" i="2"/>
  <c r="K65" i="2" s="1"/>
  <c r="F68" i="2"/>
  <c r="K68" i="2" s="1"/>
  <c r="F69" i="2"/>
  <c r="K69" i="2" s="1"/>
  <c r="F23" i="2"/>
  <c r="K23" i="2" s="1"/>
  <c r="F21" i="2"/>
  <c r="K21" i="2" s="1"/>
  <c r="F28" i="2"/>
  <c r="K28" i="2" s="1"/>
  <c r="F25" i="2"/>
  <c r="K25" i="2" s="1"/>
  <c r="F22" i="2"/>
  <c r="K22" i="2" s="1"/>
  <c r="F63" i="2"/>
  <c r="K63" i="2" s="1"/>
  <c r="F64" i="2"/>
  <c r="K64" i="2" s="1"/>
  <c r="F20" i="2"/>
  <c r="K20" i="2" s="1"/>
  <c r="F27" i="2"/>
  <c r="K27" i="2" s="1"/>
  <c r="F24" i="2"/>
  <c r="K24" i="2" s="1"/>
  <c r="F29" i="2"/>
  <c r="K29" i="2" s="1"/>
  <c r="F26" i="2"/>
  <c r="K26" i="2" s="1"/>
  <c r="J21" i="1"/>
  <c r="K21" i="1"/>
  <c r="K24" i="1"/>
  <c r="J24" i="1"/>
  <c r="K17" i="1"/>
  <c r="J17" i="1"/>
  <c r="K19" i="1"/>
  <c r="J19" i="1"/>
  <c r="J22" i="1"/>
  <c r="K22" i="1"/>
  <c r="K16" i="1"/>
  <c r="J16" i="1"/>
  <c r="I25" i="1"/>
  <c r="K25" i="1"/>
  <c r="J25" i="1"/>
  <c r="K15" i="1"/>
  <c r="K20" i="1"/>
  <c r="J20" i="1"/>
  <c r="K18" i="1"/>
  <c r="J18" i="1"/>
  <c r="J23" i="1"/>
  <c r="K23" i="1"/>
  <c r="I23" i="1"/>
  <c r="I21" i="1"/>
  <c r="Q32" i="1"/>
  <c r="I24" i="1"/>
  <c r="I20" i="1"/>
  <c r="I22" i="1"/>
  <c r="I17" i="1"/>
  <c r="I18" i="1"/>
  <c r="I19" i="1"/>
  <c r="I16" i="1"/>
  <c r="O6" i="1"/>
  <c r="O5" i="1"/>
  <c r="O4" i="1"/>
  <c r="O12" i="1"/>
  <c r="I15" i="1"/>
  <c r="L23" i="9" l="1"/>
  <c r="E23" i="9"/>
  <c r="F17" i="9"/>
  <c r="H23" i="9"/>
  <c r="I117" i="7"/>
  <c r="J117" i="7" s="1"/>
  <c r="D5" i="9" s="1"/>
  <c r="I124" i="7"/>
  <c r="J124" i="7" s="1"/>
  <c r="D12" i="9" s="1"/>
  <c r="I121" i="8"/>
  <c r="J121" i="8" s="1"/>
  <c r="E9" i="9" s="1"/>
  <c r="I124" i="8"/>
  <c r="I118" i="8"/>
  <c r="J118" i="8" s="1"/>
  <c r="E6" i="9" s="1"/>
  <c r="I116" i="8"/>
  <c r="J116" i="8" s="1"/>
  <c r="E4" i="9" s="1"/>
  <c r="I116" i="6"/>
  <c r="J116" i="6" s="1"/>
  <c r="B4" i="9" s="1"/>
  <c r="E81" i="2"/>
  <c r="I81" i="2" s="1"/>
  <c r="K81" i="2" s="1"/>
  <c r="E85" i="2"/>
  <c r="I85" i="2" s="1"/>
  <c r="K85" i="2" s="1"/>
  <c r="E86" i="2"/>
  <c r="I86" i="2" s="1"/>
  <c r="K86" i="2" s="1"/>
  <c r="E82" i="2"/>
  <c r="I82" i="2" s="1"/>
  <c r="K82" i="2" s="1"/>
  <c r="E83" i="2"/>
  <c r="I83" i="2" s="1"/>
  <c r="K83" i="2" s="1"/>
  <c r="E79" i="2"/>
  <c r="I79" i="2" s="1"/>
  <c r="K79" i="2" s="1"/>
  <c r="E80" i="2"/>
  <c r="I80" i="2" s="1"/>
  <c r="K80" i="2" s="1"/>
  <c r="E78" i="2"/>
  <c r="I78" i="2" s="1"/>
  <c r="K78" i="2" s="1"/>
  <c r="E84" i="2"/>
  <c r="I84" i="2" s="1"/>
  <c r="K84" i="2" s="1"/>
  <c r="I119" i="7"/>
  <c r="J119" i="7" s="1"/>
  <c r="D7" i="9" s="1"/>
  <c r="I118" i="7"/>
  <c r="J118" i="7" s="1"/>
  <c r="D6" i="9" s="1"/>
  <c r="I122" i="7"/>
  <c r="J122" i="7" s="1"/>
  <c r="D10" i="9" s="1"/>
  <c r="I114" i="7"/>
  <c r="J114" i="7" s="1"/>
  <c r="D2" i="9" s="1"/>
  <c r="I120" i="6"/>
  <c r="J120" i="6" s="1"/>
  <c r="B8" i="9" s="1"/>
  <c r="I123" i="6"/>
  <c r="J123" i="6" s="1"/>
  <c r="B11" i="9" s="1"/>
  <c r="I117" i="6"/>
  <c r="J117" i="6" s="1"/>
  <c r="B5" i="9" s="1"/>
  <c r="I118" i="6"/>
  <c r="J118" i="6" s="1"/>
  <c r="B6" i="9" s="1"/>
  <c r="I114" i="8"/>
  <c r="J114" i="8" s="1"/>
  <c r="E2" i="9" s="1"/>
  <c r="I120" i="8"/>
  <c r="J120" i="8" s="1"/>
  <c r="E8" i="9" s="1"/>
  <c r="I115" i="8"/>
  <c r="J115" i="8" s="1"/>
  <c r="E3" i="9" s="1"/>
  <c r="I123" i="8"/>
  <c r="J123" i="8" s="1"/>
  <c r="E11" i="9" s="1"/>
  <c r="I117" i="8"/>
  <c r="J117" i="8" s="1"/>
  <c r="E5" i="9" s="1"/>
  <c r="I116" i="7"/>
  <c r="J116" i="7" s="1"/>
  <c r="D4" i="9" s="1"/>
  <c r="I123" i="7"/>
  <c r="I120" i="7"/>
  <c r="J120" i="7" s="1"/>
  <c r="D8" i="9" s="1"/>
  <c r="I115" i="7"/>
  <c r="J115" i="7" s="1"/>
  <c r="D3" i="9" s="1"/>
  <c r="I119" i="6"/>
  <c r="J119" i="6" s="1"/>
  <c r="B7" i="9" s="1"/>
  <c r="I121" i="5"/>
  <c r="J121" i="5" s="1"/>
  <c r="C9" i="9" s="1"/>
  <c r="I117" i="5"/>
  <c r="J117" i="5" s="1"/>
  <c r="C5" i="9" s="1"/>
  <c r="I118" i="5"/>
  <c r="C23" i="9" s="1"/>
  <c r="I119" i="5"/>
  <c r="J119" i="5" s="1"/>
  <c r="C7" i="9" s="1"/>
  <c r="I122" i="5"/>
  <c r="J122" i="5" s="1"/>
  <c r="C10" i="9" s="1"/>
  <c r="I120" i="5"/>
  <c r="J120" i="5" s="1"/>
  <c r="C8" i="9" s="1"/>
  <c r="I116" i="5"/>
  <c r="J116" i="5" s="1"/>
  <c r="C4" i="9" s="1"/>
  <c r="I114" i="5"/>
  <c r="J114" i="5" s="1"/>
  <c r="C2" i="9" s="1"/>
  <c r="I123" i="5"/>
  <c r="J123" i="5" s="1"/>
  <c r="C11" i="9" s="1"/>
  <c r="I115" i="5"/>
  <c r="J115" i="5" s="1"/>
  <c r="C3" i="9" s="1"/>
  <c r="F114" i="5"/>
  <c r="M34" i="2"/>
  <c r="D90" i="2" s="1"/>
  <c r="M39" i="2"/>
  <c r="M40" i="2"/>
  <c r="M37" i="2"/>
  <c r="M35" i="2"/>
  <c r="M36" i="2"/>
  <c r="M42" i="2"/>
  <c r="M41" i="2"/>
  <c r="M43" i="2"/>
  <c r="M38" i="2"/>
  <c r="M48" i="2"/>
  <c r="M63" i="2"/>
  <c r="M20" i="2"/>
  <c r="M28" i="2"/>
  <c r="M27" i="2"/>
  <c r="M64" i="2"/>
  <c r="M66" i="2"/>
  <c r="M26" i="2"/>
  <c r="M57" i="2"/>
  <c r="M70" i="2"/>
  <c r="M22" i="2"/>
  <c r="M71" i="2"/>
  <c r="M29" i="2"/>
  <c r="M67" i="2"/>
  <c r="M55" i="2"/>
  <c r="D97" i="2" s="1"/>
  <c r="M24" i="2"/>
  <c r="E94" i="2" s="1"/>
  <c r="M51" i="2"/>
  <c r="M49" i="2"/>
  <c r="M68" i="2"/>
  <c r="M50" i="2"/>
  <c r="D92" i="2" s="1"/>
  <c r="M21" i="2"/>
  <c r="M53" i="2"/>
  <c r="M56" i="2"/>
  <c r="D98" i="2" s="1"/>
  <c r="M69" i="2"/>
  <c r="M23" i="2"/>
  <c r="M54" i="2"/>
  <c r="M65" i="2"/>
  <c r="M25" i="2"/>
  <c r="M52" i="2"/>
  <c r="N40" i="1"/>
  <c r="O40" i="1" s="1"/>
  <c r="P40" i="1" s="1"/>
  <c r="N38" i="1"/>
  <c r="O38" i="1" s="1"/>
  <c r="P38" i="1" s="1"/>
  <c r="N31" i="1"/>
  <c r="O31" i="1" s="1"/>
  <c r="P31" i="1" s="1"/>
  <c r="N39" i="1"/>
  <c r="O39" i="1" s="1"/>
  <c r="P39" i="1" s="1"/>
  <c r="N33" i="1"/>
  <c r="O33" i="1" s="1"/>
  <c r="P33" i="1" s="1"/>
  <c r="N37" i="1"/>
  <c r="O37" i="1" s="1"/>
  <c r="P37" i="1" s="1"/>
  <c r="N36" i="1"/>
  <c r="O36" i="1" s="1"/>
  <c r="P36" i="1" s="1"/>
  <c r="N35" i="1"/>
  <c r="O35" i="1" s="1"/>
  <c r="P35" i="1" s="1"/>
  <c r="I23" i="9" l="1"/>
  <c r="J23" i="9"/>
  <c r="K23" i="9"/>
  <c r="D95" i="2"/>
  <c r="E90" i="2"/>
  <c r="D99" i="2"/>
  <c r="J115" i="6"/>
  <c r="B3" i="9" s="1"/>
  <c r="J123" i="7"/>
  <c r="D11" i="9" s="1"/>
  <c r="C24" i="9"/>
  <c r="J124" i="8"/>
  <c r="E12" i="9" s="1"/>
  <c r="C25" i="9"/>
  <c r="D94" i="2"/>
  <c r="D96" i="2"/>
  <c r="D91" i="2"/>
  <c r="D93" i="2"/>
  <c r="E93" i="2"/>
  <c r="C91" i="2"/>
  <c r="E91" i="2"/>
  <c r="E99" i="2"/>
  <c r="C97" i="2"/>
  <c r="E97" i="2"/>
  <c r="E95" i="2"/>
  <c r="C98" i="2"/>
  <c r="E98" i="2"/>
  <c r="E92" i="2"/>
  <c r="C90" i="2"/>
  <c r="C96" i="2"/>
  <c r="E96" i="2"/>
  <c r="J118" i="5"/>
  <c r="C6" i="9" s="1"/>
  <c r="C99" i="2"/>
  <c r="C92" i="2"/>
  <c r="C93" i="2"/>
  <c r="C94" i="2"/>
  <c r="C95" i="2"/>
  <c r="F31" i="1"/>
  <c r="G31" i="1" s="1"/>
  <c r="H31" i="1" s="1"/>
  <c r="F38" i="1"/>
  <c r="G38" i="1" s="1"/>
  <c r="H38" i="1" s="1"/>
  <c r="F33" i="1"/>
  <c r="G33" i="1" s="1"/>
  <c r="H33" i="1" s="1"/>
  <c r="J33" i="1"/>
  <c r="K33" i="1" s="1"/>
  <c r="L33" i="1" s="1"/>
  <c r="G36" i="1"/>
  <c r="H36" i="1" s="1"/>
  <c r="J36" i="1"/>
  <c r="K36" i="1" s="1"/>
  <c r="L36" i="1" s="1"/>
  <c r="C36" i="1"/>
  <c r="F39" i="1"/>
  <c r="F35" i="1"/>
  <c r="F37" i="1"/>
  <c r="F40" i="1"/>
  <c r="G40" i="1" s="1"/>
  <c r="J31" i="1"/>
  <c r="K31" i="1" s="1"/>
  <c r="L31" i="1" s="1"/>
  <c r="J40" i="1"/>
  <c r="K40" i="1" s="1"/>
  <c r="L40" i="1" s="1"/>
  <c r="J35" i="1"/>
  <c r="K35" i="1" s="1"/>
  <c r="L35" i="1" s="1"/>
  <c r="J39" i="1"/>
  <c r="K39" i="1" s="1"/>
  <c r="L39" i="1" s="1"/>
  <c r="J37" i="1"/>
  <c r="K37" i="1" s="1"/>
  <c r="L37" i="1" s="1"/>
  <c r="J38" i="1"/>
  <c r="K38" i="1" s="1"/>
  <c r="L38" i="1" s="1"/>
  <c r="C33" i="1"/>
  <c r="W10" i="1"/>
  <c r="W9" i="1"/>
  <c r="W5" i="1"/>
  <c r="W3" i="1"/>
  <c r="W12" i="1"/>
  <c r="W11" i="1"/>
  <c r="W8" i="1"/>
  <c r="W7" i="1"/>
  <c r="N32" i="1"/>
  <c r="O32" i="1" s="1"/>
  <c r="P32" i="1" s="1"/>
  <c r="E6" i="1"/>
  <c r="N34" i="1"/>
  <c r="O34" i="1" s="1"/>
  <c r="P34" i="1" s="1"/>
  <c r="C32" i="1" l="1"/>
  <c r="D32" i="1" s="1"/>
  <c r="C34" i="1"/>
  <c r="D34" i="1" s="1"/>
  <c r="G37" i="1"/>
  <c r="H37" i="1" s="1"/>
  <c r="G30" i="1"/>
  <c r="H30" i="1" s="1"/>
  <c r="J30" i="1"/>
  <c r="D36" i="1"/>
  <c r="R36" i="1"/>
  <c r="S36" i="1" s="1"/>
  <c r="O30" i="1"/>
  <c r="P30" i="1" s="1"/>
  <c r="G35" i="1"/>
  <c r="H35" i="1" s="1"/>
  <c r="G39" i="1"/>
  <c r="H39" i="1" s="1"/>
  <c r="Y8" i="1"/>
  <c r="D33" i="1"/>
  <c r="R33" i="1"/>
  <c r="S33" i="1" s="1"/>
  <c r="Y11" i="1"/>
  <c r="C39" i="1"/>
  <c r="D39" i="1" s="1"/>
  <c r="Y9" i="1"/>
  <c r="C37" i="1"/>
  <c r="D37" i="1" s="1"/>
  <c r="Y10" i="1"/>
  <c r="C38" i="1"/>
  <c r="D38" i="1" s="1"/>
  <c r="Y12" i="1"/>
  <c r="C40" i="1"/>
  <c r="D40" i="1" s="1"/>
  <c r="Y3" i="1"/>
  <c r="C31" i="1"/>
  <c r="D31" i="1" s="1"/>
  <c r="Y7" i="1"/>
  <c r="C35" i="1"/>
  <c r="D35" i="1" s="1"/>
  <c r="Y5" i="1"/>
  <c r="F32" i="1"/>
  <c r="F34" i="1"/>
  <c r="G34" i="1" s="1"/>
  <c r="H40" i="1"/>
  <c r="J32" i="1"/>
  <c r="K32" i="1" s="1"/>
  <c r="L32" i="1" s="1"/>
  <c r="J34" i="1"/>
  <c r="K34" i="1" s="1"/>
  <c r="L34" i="1" s="1"/>
  <c r="W6" i="1"/>
  <c r="W4" i="1"/>
  <c r="Y4" i="1" l="1"/>
  <c r="Y6" i="1"/>
  <c r="L18" i="3"/>
  <c r="G32" i="1"/>
  <c r="H32" i="1" s="1"/>
  <c r="R31" i="1"/>
  <c r="S31" i="1" s="1"/>
  <c r="R35" i="1"/>
  <c r="S35" i="1" s="1"/>
  <c r="C30" i="1"/>
  <c r="D30" i="1" s="1"/>
  <c r="Y2" i="1"/>
  <c r="R38" i="1"/>
  <c r="S38" i="1" s="1"/>
  <c r="R39" i="1"/>
  <c r="S39" i="1" s="1"/>
  <c r="R37" i="1"/>
  <c r="S37" i="1" s="1"/>
  <c r="R40" i="1"/>
  <c r="S40" i="1" s="1"/>
  <c r="K30" i="1"/>
  <c r="L30" i="1" s="1"/>
  <c r="R32" i="1" l="1"/>
  <c r="S32" i="1" s="1"/>
  <c r="L17" i="3"/>
  <c r="L16" i="3"/>
  <c r="L15" i="3"/>
  <c r="R30" i="1"/>
  <c r="S30" i="1" s="1"/>
  <c r="R34" i="1"/>
  <c r="S34" i="1" s="1"/>
  <c r="H34" i="1"/>
  <c r="B30" i="3" l="1"/>
  <c r="B29" i="3"/>
  <c r="B35" i="3"/>
  <c r="B31" i="3"/>
  <c r="B34" i="3"/>
  <c r="B32" i="3"/>
  <c r="B28" i="3"/>
  <c r="B33" i="3"/>
  <c r="F28" i="3" l="1"/>
  <c r="G28" i="3" s="1"/>
  <c r="J28" i="3"/>
  <c r="K28" i="3" s="1"/>
  <c r="H28" i="3"/>
  <c r="I28" i="3" s="1"/>
  <c r="C30" i="3"/>
  <c r="H30" i="3"/>
  <c r="I30" i="3" s="1"/>
  <c r="J30" i="3"/>
  <c r="K30" i="3" s="1"/>
  <c r="F30" i="3"/>
  <c r="G30" i="3" s="1"/>
  <c r="D30" i="3"/>
  <c r="E30" i="3" s="1"/>
  <c r="M30" i="3" s="1"/>
  <c r="C35" i="3"/>
  <c r="F35" i="3"/>
  <c r="G35" i="3" s="1"/>
  <c r="D35" i="3"/>
  <c r="E35" i="3" s="1"/>
  <c r="J35" i="3"/>
  <c r="K35" i="3" s="1"/>
  <c r="H35" i="3"/>
  <c r="I35" i="3" s="1"/>
  <c r="C32" i="3"/>
  <c r="J32" i="3"/>
  <c r="K32" i="3" s="1"/>
  <c r="H32" i="3"/>
  <c r="I32" i="3" s="1"/>
  <c r="F32" i="3"/>
  <c r="G32" i="3" s="1"/>
  <c r="D32" i="3"/>
  <c r="E32" i="3" s="1"/>
  <c r="M32" i="3" s="1"/>
  <c r="C33" i="3"/>
  <c r="D33" i="3"/>
  <c r="E33" i="3" s="1"/>
  <c r="M33" i="3" s="1"/>
  <c r="J33" i="3"/>
  <c r="K33" i="3" s="1"/>
  <c r="F33" i="3"/>
  <c r="G33" i="3" s="1"/>
  <c r="H33" i="3"/>
  <c r="I33" i="3" s="1"/>
  <c r="C31" i="3"/>
  <c r="J31" i="3"/>
  <c r="K31" i="3" s="1"/>
  <c r="H31" i="3"/>
  <c r="I31" i="3" s="1"/>
  <c r="F31" i="3"/>
  <c r="G31" i="3" s="1"/>
  <c r="D31" i="3"/>
  <c r="E31" i="3" s="1"/>
  <c r="M31" i="3" s="1"/>
  <c r="C28" i="3"/>
  <c r="E28" i="3"/>
  <c r="M28" i="3" s="1"/>
  <c r="C34" i="3"/>
  <c r="D34" i="3"/>
  <c r="E34" i="3" s="1"/>
  <c r="M34" i="3" s="1"/>
  <c r="H34" i="3"/>
  <c r="I34" i="3" s="1"/>
  <c r="F34" i="3"/>
  <c r="G34" i="3" s="1"/>
  <c r="J34" i="3"/>
  <c r="K34" i="3" s="1"/>
  <c r="C29" i="3"/>
  <c r="J29" i="3"/>
  <c r="K29" i="3" s="1"/>
  <c r="H29" i="3"/>
  <c r="I29" i="3" s="1"/>
  <c r="F29" i="3"/>
  <c r="G29" i="3" s="1"/>
  <c r="D29" i="3"/>
  <c r="E29" i="3" s="1"/>
  <c r="M29" i="3" s="1"/>
  <c r="N34" i="3" l="1"/>
  <c r="N32" i="3"/>
  <c r="N30" i="3"/>
  <c r="N29" i="3"/>
  <c r="N33" i="3"/>
  <c r="N31" i="3"/>
  <c r="L34" i="3"/>
  <c r="L31" i="3"/>
  <c r="N28" i="3"/>
  <c r="L32" i="3"/>
  <c r="L30" i="3"/>
  <c r="L33" i="3"/>
  <c r="L35" i="3"/>
  <c r="L29" i="3"/>
  <c r="M35" i="3"/>
  <c r="N35" i="3"/>
  <c r="L28" i="3"/>
  <c r="J40" i="10"/>
  <c r="J42" i="10" l="1"/>
  <c r="G41" i="10"/>
  <c r="G42" i="10" s="1"/>
  <c r="D41" i="10"/>
  <c r="D42" i="10" s="1"/>
  <c r="B41" i="10"/>
  <c r="C41" i="10"/>
  <c r="C42" i="10" s="1"/>
  <c r="J41" i="10"/>
  <c r="I41" i="10"/>
  <c r="I42" i="10" s="1"/>
  <c r="E41" i="10"/>
  <c r="E42" i="10" s="1"/>
  <c r="H41" i="10"/>
  <c r="H42" i="10" s="1"/>
  <c r="F41" i="10"/>
  <c r="F42" i="10" s="1"/>
  <c r="L41" i="10" l="1"/>
  <c r="B42" i="10"/>
  <c r="B43" i="10" s="1"/>
  <c r="B28" i="10"/>
  <c r="B29" i="10" s="1"/>
</calcChain>
</file>

<file path=xl/sharedStrings.xml><?xml version="1.0" encoding="utf-8"?>
<sst xmlns="http://schemas.openxmlformats.org/spreadsheetml/2006/main" count="905" uniqueCount="238">
  <si>
    <t>EPC ID</t>
  </si>
  <si>
    <t>2014C</t>
  </si>
  <si>
    <t>Ciss</t>
  </si>
  <si>
    <t>Coss</t>
  </si>
  <si>
    <t>Cox</t>
  </si>
  <si>
    <t>Cgs</t>
  </si>
  <si>
    <t>Cds</t>
  </si>
  <si>
    <t>Crss=Cgd</t>
  </si>
  <si>
    <t>W</t>
  </si>
  <si>
    <t>L</t>
  </si>
  <si>
    <t>Vgs</t>
  </si>
  <si>
    <t>Vth</t>
  </si>
  <si>
    <t>Ron-data</t>
  </si>
  <si>
    <t>Ron-calc</t>
  </si>
  <si>
    <t>2015C</t>
  </si>
  <si>
    <t>u(m2/Vs)</t>
  </si>
  <si>
    <t>Ronc/Rond</t>
  </si>
  <si>
    <t>Iout</t>
  </si>
  <si>
    <t>Vout</t>
  </si>
  <si>
    <t>Vin</t>
  </si>
  <si>
    <t>D</t>
  </si>
  <si>
    <t>Fsw</t>
  </si>
  <si>
    <t>Current ripple</t>
  </si>
  <si>
    <t>Voltage ripple</t>
  </si>
  <si>
    <t>Inductance</t>
  </si>
  <si>
    <t>Ids-HS</t>
  </si>
  <si>
    <t>Ids-LS</t>
  </si>
  <si>
    <t>HS-Loss</t>
  </si>
  <si>
    <t>Cond-Sim</t>
  </si>
  <si>
    <t>Cond-calc</t>
  </si>
  <si>
    <t>Psw-sim</t>
  </si>
  <si>
    <t>Psw-calc</t>
  </si>
  <si>
    <t>Pg-Sim</t>
  </si>
  <si>
    <t>Pg-Calc</t>
  </si>
  <si>
    <t>Poss-sim</t>
  </si>
  <si>
    <t>Poss-calc</t>
  </si>
  <si>
    <t>Total-sim</t>
  </si>
  <si>
    <t>Total-calc</t>
  </si>
  <si>
    <t>ɛ</t>
  </si>
  <si>
    <t>ɛ0</t>
  </si>
  <si>
    <t>Ecrit</t>
  </si>
  <si>
    <t>qNd</t>
  </si>
  <si>
    <t>Vds-max</t>
  </si>
  <si>
    <t>Wdrift</t>
  </si>
  <si>
    <t>q</t>
  </si>
  <si>
    <t>Vpl</t>
  </si>
  <si>
    <t>Rg</t>
  </si>
  <si>
    <t>Rdr</t>
  </si>
  <si>
    <t>Ig</t>
  </si>
  <si>
    <t>Qsw-calc</t>
  </si>
  <si>
    <t>Qg-calc</t>
  </si>
  <si>
    <t>Qoss-calc</t>
  </si>
  <si>
    <t>Output Current (A)</t>
  </si>
  <si>
    <t>I La</t>
  </si>
  <si>
    <t>I Lb</t>
  </si>
  <si>
    <t>I Qc</t>
  </si>
  <si>
    <t>I Q1a</t>
  </si>
  <si>
    <t>I Q2a</t>
  </si>
  <si>
    <t>I Q1b</t>
  </si>
  <si>
    <t>I Q2b</t>
  </si>
  <si>
    <t>V Qc</t>
  </si>
  <si>
    <t>V Q1a</t>
  </si>
  <si>
    <t>V Q2a</t>
  </si>
  <si>
    <t>V Q1b</t>
  </si>
  <si>
    <t>V Q2b</t>
  </si>
  <si>
    <t>u</t>
  </si>
  <si>
    <t>Vg</t>
  </si>
  <si>
    <t>Cgs0</t>
  </si>
  <si>
    <t>Coss0</t>
  </si>
  <si>
    <t>Wopt-Qc</t>
  </si>
  <si>
    <t>Wopt-Q1a</t>
  </si>
  <si>
    <t>Wopt-Q2a</t>
  </si>
  <si>
    <t>Wopt-Q1b</t>
  </si>
  <si>
    <t>Wopt-Q2b</t>
  </si>
  <si>
    <t>L-Qc</t>
  </si>
  <si>
    <t>L-Q1a</t>
  </si>
  <si>
    <t>L-Q1b</t>
  </si>
  <si>
    <t>L-Q2a</t>
  </si>
  <si>
    <t>L-Q2b</t>
  </si>
  <si>
    <t>Ron</t>
  </si>
  <si>
    <t>Ron-Qc</t>
  </si>
  <si>
    <t>Ron-Q1a</t>
  </si>
  <si>
    <t>Ron-Q2a</t>
  </si>
  <si>
    <t>Ron-Q1b</t>
  </si>
  <si>
    <t>Ron-Q2b</t>
  </si>
  <si>
    <t>I ds</t>
  </si>
  <si>
    <t>V ds</t>
  </si>
  <si>
    <t>Wopt</t>
  </si>
  <si>
    <t>Qsw</t>
  </si>
  <si>
    <t>Qg</t>
  </si>
  <si>
    <t>Qoss</t>
  </si>
  <si>
    <t>Pcond</t>
  </si>
  <si>
    <t>Psw</t>
  </si>
  <si>
    <t>Multiplying Factor</t>
  </si>
  <si>
    <t>Pg</t>
  </si>
  <si>
    <t>Poss</t>
  </si>
  <si>
    <t>Total Loss</t>
  </si>
  <si>
    <t>Conduction Loss</t>
  </si>
  <si>
    <t>Switching Loss</t>
  </si>
  <si>
    <t>Ids-max</t>
  </si>
  <si>
    <t>Ids-max (Calc)</t>
  </si>
  <si>
    <t>Ids-max (DS)</t>
  </si>
  <si>
    <t>Wmin</t>
  </si>
  <si>
    <t>Wmin, L (constant)</t>
  </si>
  <si>
    <t>Wopt - pl</t>
  </si>
  <si>
    <t>Ids-10A</t>
  </si>
  <si>
    <t>130nm-12V_LDMOS</t>
  </si>
  <si>
    <t>Tox</t>
  </si>
  <si>
    <t>Kp</t>
  </si>
  <si>
    <t>Technology</t>
  </si>
  <si>
    <t>Pc-Qc</t>
  </si>
  <si>
    <t>Pc-Q1a</t>
  </si>
  <si>
    <t>Pc-Q2a</t>
  </si>
  <si>
    <t>Pc-Q1b</t>
  </si>
  <si>
    <t>Pc-Q2b</t>
  </si>
  <si>
    <t>HS-switching loss</t>
  </si>
  <si>
    <t>Psw-Qc</t>
  </si>
  <si>
    <t>Psw-Q1a</t>
  </si>
  <si>
    <t>Psw-Q2a</t>
  </si>
  <si>
    <t>Psw-Q1b</t>
  </si>
  <si>
    <t>Psw-Q2b</t>
  </si>
  <si>
    <t>Qsw-Qc</t>
  </si>
  <si>
    <t>Qsw-Q1a</t>
  </si>
  <si>
    <t>Qsw-Q2a</t>
  </si>
  <si>
    <t>Qsw-Q1b</t>
  </si>
  <si>
    <t>Qsw-Q2b</t>
  </si>
  <si>
    <t>Gate Capacitance loss</t>
  </si>
  <si>
    <t>Qg-Qc</t>
  </si>
  <si>
    <t>Qg-Q1a</t>
  </si>
  <si>
    <t>Qg-Q2a</t>
  </si>
  <si>
    <t>Qg-Q1b</t>
  </si>
  <si>
    <t>Qg-Q2b</t>
  </si>
  <si>
    <t>Pg-Qc</t>
  </si>
  <si>
    <t>Pg-Q1a</t>
  </si>
  <si>
    <t>Pg-Q2a</t>
  </si>
  <si>
    <t>Pg-Q1b</t>
  </si>
  <si>
    <t>Pg-Q2b</t>
  </si>
  <si>
    <t>Output Capacitance Loss</t>
  </si>
  <si>
    <t>Qoss-Qc</t>
  </si>
  <si>
    <t>Qoss-Q1a</t>
  </si>
  <si>
    <t>Qoss-Q2a</t>
  </si>
  <si>
    <t>Qoss-Q1b</t>
  </si>
  <si>
    <t>Qoss-Q2b</t>
  </si>
  <si>
    <t>Poss-Qc</t>
  </si>
  <si>
    <t>Poss-Q1a</t>
  </si>
  <si>
    <t>Poss-Q2a</t>
  </si>
  <si>
    <t>Poss-Q1b</t>
  </si>
  <si>
    <t>Poss-Q2b</t>
  </si>
  <si>
    <t>Wmin-Qc</t>
  </si>
  <si>
    <t>Wmin-Q1a</t>
  </si>
  <si>
    <t>Wmin-Q2a</t>
  </si>
  <si>
    <t>Wmin-Q1b</t>
  </si>
  <si>
    <t>Wmin-Q2b</t>
  </si>
  <si>
    <t>Conduction loss</t>
  </si>
  <si>
    <t>Switching loss</t>
  </si>
  <si>
    <t>Total loss</t>
  </si>
  <si>
    <t>Wdrift (is it same as width of the FeT?)</t>
  </si>
  <si>
    <t>Value</t>
  </si>
  <si>
    <t>Units</t>
  </si>
  <si>
    <t>Area of VR(mm2)</t>
  </si>
  <si>
    <t>FeT loss in VR</t>
  </si>
  <si>
    <t>Area of VR (mm2)</t>
  </si>
  <si>
    <t>Output Cureent</t>
  </si>
  <si>
    <t>Deadtime Loss</t>
  </si>
  <si>
    <t>Pdt-Q2a</t>
  </si>
  <si>
    <t>Pdt-Q2b</t>
  </si>
  <si>
    <t>DT-Q2a</t>
  </si>
  <si>
    <t>DT-Q2b</t>
  </si>
  <si>
    <t>Vsd-Q2b</t>
  </si>
  <si>
    <t>Vsd-Q2a</t>
  </si>
  <si>
    <t>Inductor Conduction Loss</t>
  </si>
  <si>
    <t>R La</t>
  </si>
  <si>
    <t>R Lb</t>
  </si>
  <si>
    <t>P La</t>
  </si>
  <si>
    <t>P Lb</t>
  </si>
  <si>
    <t>Inductor loss</t>
  </si>
  <si>
    <t>La</t>
  </si>
  <si>
    <t>Lb</t>
  </si>
  <si>
    <t>FeT Efficiency</t>
  </si>
  <si>
    <t>FeT Conduction loss</t>
  </si>
  <si>
    <t>FeT Switching loss</t>
  </si>
  <si>
    <t>Total Efficiency</t>
  </si>
  <si>
    <t>FeT Area of VR (mm2)</t>
  </si>
  <si>
    <t>Inductor Area [mm2)</t>
  </si>
  <si>
    <t>No. of parallel La</t>
  </si>
  <si>
    <t>No. of parallel Lb</t>
  </si>
  <si>
    <t>Output Capacitance loss</t>
  </si>
  <si>
    <t>FeT Area</t>
  </si>
  <si>
    <t>Inductor Area</t>
  </si>
  <si>
    <t>Output Current per VR</t>
  </si>
  <si>
    <t>Total power delivered</t>
  </si>
  <si>
    <t>No. of VRs</t>
  </si>
  <si>
    <t>Area availabe on interpoer (mm)</t>
  </si>
  <si>
    <t xml:space="preserve">Area available per side  (mm) </t>
  </si>
  <si>
    <t>VRs per side</t>
  </si>
  <si>
    <t>Area per VR (mm)</t>
  </si>
  <si>
    <t>Aopt-Qc (mm)</t>
  </si>
  <si>
    <t>Aopt-Q1b (mm)</t>
  </si>
  <si>
    <t>Aopt-Q2b (mm)</t>
  </si>
  <si>
    <t>Inductor Area (mm)</t>
  </si>
  <si>
    <t>Aopt-Q2a (mm)</t>
  </si>
  <si>
    <t>Aopt-Q1a (mm)</t>
  </si>
  <si>
    <t>VR - Segment average distance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</si>
  <si>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</si>
  <si>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</si>
  <si>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</si>
  <si>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</si>
  <si>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</si>
  <si>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</si>
  <si>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</si>
  <si>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</si>
  <si>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</si>
  <si>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R/m</t>
  </si>
  <si>
    <t>Current through path</t>
  </si>
  <si>
    <t>Power in path</t>
  </si>
  <si>
    <t>O/P Current VR optimized for</t>
  </si>
  <si>
    <t>Output per VR</t>
  </si>
  <si>
    <t>10A</t>
  </si>
  <si>
    <t>25A</t>
  </si>
  <si>
    <t>50A</t>
  </si>
  <si>
    <t>125A</t>
  </si>
  <si>
    <t>Efficiency</t>
  </si>
  <si>
    <t>No.of horizontall distrivuted inductors</t>
  </si>
  <si>
    <t>Max Current density</t>
  </si>
  <si>
    <t>Minimum current density</t>
  </si>
  <si>
    <t>Converter</t>
  </si>
  <si>
    <t>Area per inductor</t>
  </si>
  <si>
    <t>No.of vertically distributed inductors</t>
  </si>
  <si>
    <t>Active loss</t>
  </si>
  <si>
    <t>PPDN loss</t>
  </si>
  <si>
    <t>Passive loss</t>
  </si>
  <si>
    <t>Max current density</t>
  </si>
  <si>
    <t>I/A - Max</t>
  </si>
  <si>
    <t>I/A - Min</t>
  </si>
  <si>
    <t>No. of inductors</t>
  </si>
  <si>
    <t>Net VR area(mm2)</t>
  </si>
  <si>
    <t>Min current density</t>
  </si>
  <si>
    <t>Inductor peak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</si>
</sst>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1" fontId="4" fillId="0" borderId="0" xfId="0" applyNumberFormat="1" applyFont="1" applyAlignment="1">
      <alignment horizontal="center" wrapText="1"/>
    </xf>
    <xf numFmtId="11" fontId="4" fillId="0" borderId="0" xfId="0" applyNumberFormat="1" applyFont="1"/>
    <xf numFmtId="0" fontId="4" fillId="0" borderId="10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1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2" fontId="4" fillId="0" borderId="0" xfId="0" applyNumberFormat="1" applyFont="1"/>
    <xf numFmtId="0" fontId="5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2" fontId="4" fillId="0" borderId="1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1" fontId="4" fillId="3" borderId="4" xfId="0" applyNumberFormat="1" applyFont="1" applyFill="1" applyBorder="1" applyAlignment="1">
      <alignment horizontal="center" vertical="center" wrapText="1"/>
    </xf>
    <xf numFmtId="11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11" fontId="4" fillId="4" borderId="0" xfId="0" applyNumberFormat="1" applyFont="1" applyFill="1" applyAlignment="1">
      <alignment horizontal="center" vertical="center"/>
    </xf>
    <xf numFmtId="11" fontId="4" fillId="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593669375743"/>
          <c:y val="0.23818915898772294"/>
          <c:w val="0.74347959102005889"/>
          <c:h val="0.53148971153046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Total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Sheet1!$A$28:$A$36</c:f>
              <c:numCache>
                <c:formatCode>0.00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1.4</c:v>
                </c:pt>
                <c:pt idx="6">
                  <c:v>1.8</c:v>
                </c:pt>
                <c:pt idx="7">
                  <c:v>2.2000000000000002</c:v>
                </c:pt>
              </c:numCache>
            </c:numRef>
          </c:xVal>
          <c:yVal>
            <c:numRef>
              <c:f>Sheet1!$L$28:$L$36</c:f>
              <c:numCache>
                <c:formatCode>0.00</c:formatCode>
                <c:ptCount val="9"/>
                <c:pt idx="0">
                  <c:v>1.6941388587521389</c:v>
                </c:pt>
                <c:pt idx="1">
                  <c:v>0.94480821687090344</c:v>
                </c:pt>
                <c:pt idx="2">
                  <c:v>0.73847079735263998</c:v>
                </c:pt>
                <c:pt idx="3">
                  <c:v>0.66788168342512</c:v>
                </c:pt>
                <c:pt idx="4">
                  <c:v>0.65159189173389687</c:v>
                </c:pt>
                <c:pt idx="5">
                  <c:v>0.68882572265526165</c:v>
                </c:pt>
                <c:pt idx="6">
                  <c:v>0.76743046575666218</c:v>
                </c:pt>
                <c:pt idx="7">
                  <c:v>0.86484016893989724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E-4917-B6F0-2B5C533C2BCE}"/>
            </c:ext>
          </c:extLst>
        </c:ser>
        <c:ser>
          <c:idx val="1"/>
          <c:order val="1"/>
          <c:tx>
            <c:strRef>
              <c:f>Sheet1!$M$27</c:f>
              <c:strCache>
                <c:ptCount val="1"/>
                <c:pt idx="0">
                  <c:v>Conduction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Sheet1!$A$28:$A$36</c:f>
              <c:numCache>
                <c:formatCode>0.00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1.4</c:v>
                </c:pt>
                <c:pt idx="6">
                  <c:v>1.8</c:v>
                </c:pt>
                <c:pt idx="7">
                  <c:v>2.2000000000000002</c:v>
                </c:pt>
              </c:numCache>
            </c:numRef>
          </c:xVal>
          <c:yVal>
            <c:numRef>
              <c:f>Sheet1!$M$28:$M$36</c:f>
              <c:numCache>
                <c:formatCode>0.000</c:formatCode>
                <c:ptCount val="9"/>
                <c:pt idx="0">
                  <c:v>1.6289796670889158</c:v>
                </c:pt>
                <c:pt idx="1">
                  <c:v>0.81448983354445792</c:v>
                </c:pt>
                <c:pt idx="2">
                  <c:v>0.54299322236297187</c:v>
                </c:pt>
                <c:pt idx="3">
                  <c:v>0.40724491677222896</c:v>
                </c:pt>
                <c:pt idx="4">
                  <c:v>0.32579593341778318</c:v>
                </c:pt>
                <c:pt idx="5">
                  <c:v>0.23271138101270233</c:v>
                </c:pt>
                <c:pt idx="6">
                  <c:v>0.18099774078765735</c:v>
                </c:pt>
                <c:pt idx="7">
                  <c:v>0.14808906064444691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E-4917-B6F0-2B5C533C2BCE}"/>
            </c:ext>
          </c:extLst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Switching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66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Sheet1!$A$28:$A$36</c:f>
              <c:numCache>
                <c:formatCode>0.00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1.4</c:v>
                </c:pt>
                <c:pt idx="6">
                  <c:v>1.8</c:v>
                </c:pt>
                <c:pt idx="7">
                  <c:v>2.2000000000000002</c:v>
                </c:pt>
              </c:numCache>
            </c:numRef>
          </c:xVal>
          <c:yVal>
            <c:numRef>
              <c:f>Sheet1!$N$28:$N$36</c:f>
              <c:numCache>
                <c:formatCode>0.000</c:formatCode>
                <c:ptCount val="9"/>
                <c:pt idx="0">
                  <c:v>6.515918668355665E-2</c:v>
                </c:pt>
                <c:pt idx="1">
                  <c:v>0.1303183733671133</c:v>
                </c:pt>
                <c:pt idx="2">
                  <c:v>0.19547756005066994</c:v>
                </c:pt>
                <c:pt idx="3">
                  <c:v>0.2606367467342266</c:v>
                </c:pt>
                <c:pt idx="4">
                  <c:v>0.32579593341778329</c:v>
                </c:pt>
                <c:pt idx="5">
                  <c:v>0.45611430678489651</c:v>
                </c:pt>
                <c:pt idx="6">
                  <c:v>0.58643268015200989</c:v>
                </c:pt>
                <c:pt idx="7">
                  <c:v>0.71675105351912316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E-4917-B6F0-2B5C533C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</c:scatterChart>
      <c:scatterChart>
        <c:scatterStyle val="lineMarker"/>
        <c:varyColors val="0"/>
        <c:ser>
          <c:idx val="3"/>
          <c:order val="3"/>
          <c:tx>
            <c:strRef>
              <c:f>Sheet1!$C$27</c:f>
              <c:strCache>
                <c:ptCount val="1"/>
                <c:pt idx="0">
                  <c:v>Ids-max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7030A0">
                  <a:alpha val="51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Sheet1!$B$28:$B$36</c:f>
              <c:numCache>
                <c:formatCode>0.00E+00</c:formatCode>
                <c:ptCount val="9"/>
                <c:pt idx="0">
                  <c:v>5.3950001938885147E-4</c:v>
                </c:pt>
                <c:pt idx="1">
                  <c:v>1.0790000387777029E-3</c:v>
                </c:pt>
                <c:pt idx="2">
                  <c:v>1.6185000581665542E-3</c:v>
                </c:pt>
                <c:pt idx="3">
                  <c:v>2.1580000775554059E-3</c:v>
                </c:pt>
                <c:pt idx="4">
                  <c:v>2.6975000969442571E-3</c:v>
                </c:pt>
                <c:pt idx="5">
                  <c:v>3.7765001357219596E-3</c:v>
                </c:pt>
                <c:pt idx="6">
                  <c:v>4.8555001744996626E-3</c:v>
                </c:pt>
                <c:pt idx="7">
                  <c:v>5.9345002132773659E-3</c:v>
                </c:pt>
              </c:numCache>
            </c:numRef>
          </c:xVal>
          <c:yVal>
            <c:numRef>
              <c:f>Sheet1!$C$28:$C$36</c:f>
              <c:numCache>
                <c:formatCode>0.00</c:formatCode>
                <c:ptCount val="9"/>
                <c:pt idx="0">
                  <c:v>88.09195283354461</c:v>
                </c:pt>
                <c:pt idx="1">
                  <c:v>176.18390566708922</c:v>
                </c:pt>
                <c:pt idx="2">
                  <c:v>264.27585850063389</c:v>
                </c:pt>
                <c:pt idx="3">
                  <c:v>352.36781133417844</c:v>
                </c:pt>
                <c:pt idx="4">
                  <c:v>440.45976416772305</c:v>
                </c:pt>
                <c:pt idx="5">
                  <c:v>616.64366983481216</c:v>
                </c:pt>
                <c:pt idx="6">
                  <c:v>792.82757550190149</c:v>
                </c:pt>
                <c:pt idx="7">
                  <c:v>969.01148116899083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4-448A-94F3-E0CE869B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42735"/>
        <c:axId val="512767535"/>
      </c:scatterChart>
      <c:valAx>
        <c:axId val="1490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Optimal width multiplying factor </a:t>
                </a:r>
              </a:p>
            </c:rich>
          </c:tx>
          <c:layout>
            <c:manualLayout>
              <c:xMode val="edge"/>
              <c:yMode val="edge"/>
              <c:x val="0.30881885345865678"/>
              <c:y val="0.8973326004019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</c:valAx>
      <c:valAx>
        <c:axId val="15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 loss (W)</a:t>
                </a:r>
              </a:p>
            </c:rich>
          </c:tx>
          <c:layout>
            <c:manualLayout>
              <c:xMode val="edge"/>
              <c:yMode val="edge"/>
              <c:x val="1.6041731775595289E-4"/>
              <c:y val="0.34677588942426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</c:valAx>
      <c:valAx>
        <c:axId val="5127675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Ids (A)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647753492609167"/>
              <c:y val="0.3555424416947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742735"/>
        <c:crosses val="max"/>
        <c:crossBetween val="midCat"/>
      </c:valAx>
      <c:valAx>
        <c:axId val="51274273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FeT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767535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661386022480761E-2"/>
          <c:y val="1.4124653727797526E-2"/>
          <c:w val="0.87179513677011089"/>
          <c:h val="7.246710310921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Results!$A$22</c:f>
              <c:strCache>
                <c:ptCount val="1"/>
                <c:pt idx="0">
                  <c:v>10A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Results!$C$21:$I$21</c15:sqref>
                  </c15:fullRef>
                </c:ext>
              </c:extLst>
              <c:f>Results!$C$21:$H$21</c:f>
              <c:strCache>
                <c:ptCount val="6"/>
                <c:pt idx="0">
                  <c:v>Converter</c:v>
                </c:pt>
                <c:pt idx="1">
                  <c:v>Passive loss</c:v>
                </c:pt>
                <c:pt idx="2">
                  <c:v>Active loss</c:v>
                </c:pt>
                <c:pt idx="3">
                  <c:v>PPDN loss</c:v>
                </c:pt>
                <c:pt idx="4">
                  <c:v>I/A - Max</c:v>
                </c:pt>
                <c:pt idx="5">
                  <c:v>I/A -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Results!$C$22:$I$22</c15:sqref>
                  </c15:fullRef>
                </c:ext>
              </c:extLst>
              <c:f>Results!$C$22:$H$22</c:f>
              <c:numCache>
                <c:formatCode>0.00</c:formatCode>
                <c:ptCount val="6"/>
                <c:pt idx="0">
                  <c:v>140.80070488331188</c:v>
                </c:pt>
                <c:pt idx="1">
                  <c:v>33.333333333333336</c:v>
                </c:pt>
                <c:pt idx="2">
                  <c:v>107.46737154997857</c:v>
                </c:pt>
                <c:pt idx="3">
                  <c:v>6.4363577659856901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7F5-849F-86F5A41BD3BD}"/>
            </c:ext>
          </c:extLst>
        </c:ser>
        <c:ser>
          <c:idx val="1"/>
          <c:order val="1"/>
          <c:tx>
            <c:strRef>
              <c:f>Results!$A$23</c:f>
              <c:strCache>
                <c:ptCount val="1"/>
                <c:pt idx="0">
                  <c:v>25A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Results!$C$21:$I$21</c15:sqref>
                  </c15:fullRef>
                </c:ext>
              </c:extLst>
              <c:f>Results!$C$21:$H$21</c:f>
              <c:strCache>
                <c:ptCount val="6"/>
                <c:pt idx="0">
                  <c:v>Converter</c:v>
                </c:pt>
                <c:pt idx="1">
                  <c:v>Passive loss</c:v>
                </c:pt>
                <c:pt idx="2">
                  <c:v>Active loss</c:v>
                </c:pt>
                <c:pt idx="3">
                  <c:v>PPDN loss</c:v>
                </c:pt>
                <c:pt idx="4">
                  <c:v>I/A - Max</c:v>
                </c:pt>
                <c:pt idx="5">
                  <c:v>I/A -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Results!$C$23:$I$23</c15:sqref>
                  </c15:fullRef>
                </c:ext>
              </c:extLst>
              <c:f>Results!$C$23:$H$23</c:f>
              <c:numCache>
                <c:formatCode>0.00</c:formatCode>
                <c:ptCount val="6"/>
                <c:pt idx="0">
                  <c:v>116.9593105654598</c:v>
                </c:pt>
                <c:pt idx="1">
                  <c:v>41.666666666666671</c:v>
                </c:pt>
                <c:pt idx="2">
                  <c:v>75.292643898793131</c:v>
                </c:pt>
                <c:pt idx="3">
                  <c:v>14.851771632733758</c:v>
                </c:pt>
                <c:pt idx="4">
                  <c:v>2.3491284806679094</c:v>
                </c:pt>
                <c:pt idx="5">
                  <c:v>1.4204298618777522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7F5-849F-86F5A41BD3BD}"/>
            </c:ext>
          </c:extLst>
        </c:ser>
        <c:ser>
          <c:idx val="2"/>
          <c:order val="2"/>
          <c:tx>
            <c:strRef>
              <c:f>Results!$A$24</c:f>
              <c:strCache>
                <c:ptCount val="1"/>
                <c:pt idx="0">
                  <c:v>50A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Results!$C$21:$I$21</c15:sqref>
                  </c15:fullRef>
                </c:ext>
              </c:extLst>
              <c:f>Results!$C$21:$H$21</c:f>
              <c:strCache>
                <c:ptCount val="6"/>
                <c:pt idx="0">
                  <c:v>Converter</c:v>
                </c:pt>
                <c:pt idx="1">
                  <c:v>Passive loss</c:v>
                </c:pt>
                <c:pt idx="2">
                  <c:v>Active loss</c:v>
                </c:pt>
                <c:pt idx="3">
                  <c:v>PPDN loss</c:v>
                </c:pt>
                <c:pt idx="4">
                  <c:v>I/A - Max</c:v>
                </c:pt>
                <c:pt idx="5">
                  <c:v>I/A -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Results!$C$24:$I$24</c15:sqref>
                  </c15:fullRef>
                </c:ext>
              </c:extLst>
              <c:f>Results!$C$24:$H$24</c:f>
              <c:numCache>
                <c:formatCode>0.00</c:formatCode>
                <c:ptCount val="6"/>
                <c:pt idx="0">
                  <c:v>105.50908322473704</c:v>
                </c:pt>
                <c:pt idx="1">
                  <c:v>45.63492063492064</c:v>
                </c:pt>
                <c:pt idx="2">
                  <c:v>59.8741625898164</c:v>
                </c:pt>
                <c:pt idx="3">
                  <c:v>29.703543265467516</c:v>
                </c:pt>
                <c:pt idx="4">
                  <c:v>1.6610846785587303</c:v>
                </c:pt>
                <c:pt idx="5">
                  <c:v>1.0260893106289066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7F5-849F-86F5A41BD3BD}"/>
            </c:ext>
          </c:extLst>
        </c:ser>
        <c:ser>
          <c:idx val="3"/>
          <c:order val="3"/>
          <c:tx>
            <c:strRef>
              <c:f>Results!$A$25</c:f>
              <c:strCache>
                <c:ptCount val="1"/>
                <c:pt idx="0">
                  <c:v>125A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Results!$C$21:$I$21</c15:sqref>
                  </c15:fullRef>
                </c:ext>
              </c:extLst>
              <c:f>Results!$C$21:$H$21</c:f>
              <c:strCache>
                <c:ptCount val="6"/>
                <c:pt idx="0">
                  <c:v>Converter</c:v>
                </c:pt>
                <c:pt idx="1">
                  <c:v>Passive loss</c:v>
                </c:pt>
                <c:pt idx="2">
                  <c:v>Active loss</c:v>
                </c:pt>
                <c:pt idx="3">
                  <c:v>PPDN loss</c:v>
                </c:pt>
                <c:pt idx="4">
                  <c:v>I/A - Max</c:v>
                </c:pt>
                <c:pt idx="5">
                  <c:v>I/A -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Results!$C$25:$I$25</c15:sqref>
                  </c15:fullRef>
                </c:ext>
              </c:extLst>
              <c:f>Results!$C$25:$H$25</c:f>
              <c:numCache>
                <c:formatCode>0.00</c:formatCode>
                <c:ptCount val="6"/>
                <c:pt idx="0">
                  <c:v>94.926204550501495</c:v>
                </c:pt>
                <c:pt idx="1">
                  <c:v>48.111837327523595</c:v>
                </c:pt>
                <c:pt idx="2">
                  <c:v>46.814367222977893</c:v>
                </c:pt>
                <c:pt idx="3">
                  <c:v>91.176905093347457</c:v>
                </c:pt>
                <c:pt idx="4">
                  <c:v>1.0505621941308492</c:v>
                </c:pt>
                <c:pt idx="5">
                  <c:v>0.66492408096269495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0-47F5-849F-86F5A41BD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36"/>
        <c:axId val="1223033455"/>
        <c:axId val="891367695"/>
      </c:barChart>
      <c:catAx>
        <c:axId val="122303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1367695"/>
        <c:crossesAt val="0.1"/>
        <c:auto val="1"/>
        <c:lblAlgn val="ctr"/>
        <c:lblOffset val="100"/>
        <c:noMultiLvlLbl val="0"/>
      </c:catAx>
      <c:valAx>
        <c:axId val="8913676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303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48V-1V, 25A</a:t>
            </a:r>
          </a:p>
        </c:rich>
      </c:tx>
      <c:layout>
        <c:manualLayout>
          <c:xMode val="edge"/>
          <c:yMode val="edge"/>
          <c:x val="0.70141338442817514"/>
          <c:y val="5.9742444633464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5657064956885"/>
          <c:y val="5.2352916438874637E-2"/>
          <c:w val="0.79191332877473675"/>
          <c:h val="0.68248820718103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'DSCH-Optimization'!$E$89</c:f>
              <c:strCache>
                <c:ptCount val="1"/>
                <c:pt idx="0">
                  <c:v>Total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'DSCH-Optimization'!$F$91:$F$99</c:f>
              <c:numCache>
                <c:formatCode>0.00</c:formatCode>
                <c:ptCount val="9"/>
                <c:pt idx="0">
                  <c:v>7.040122337881856</c:v>
                </c:pt>
                <c:pt idx="1">
                  <c:v>10.560183506822783</c:v>
                </c:pt>
                <c:pt idx="2">
                  <c:v>14.080244675763712</c:v>
                </c:pt>
                <c:pt idx="3">
                  <c:v>17.600305844704639</c:v>
                </c:pt>
                <c:pt idx="4">
                  <c:v>21.120367013645566</c:v>
                </c:pt>
                <c:pt idx="5">
                  <c:v>24.640428182586493</c:v>
                </c:pt>
                <c:pt idx="6">
                  <c:v>28.160489351527424</c:v>
                </c:pt>
                <c:pt idx="7">
                  <c:v>31.680550520468355</c:v>
                </c:pt>
                <c:pt idx="8">
                  <c:v>35.200611689409278</c:v>
                </c:pt>
              </c:numCache>
            </c:numRef>
          </c:xVal>
          <c:yVal>
            <c:numRef>
              <c:f>'DSCH-Optimization'!$E$91:$E$99</c:f>
              <c:numCache>
                <c:formatCode>0.00E+00</c:formatCode>
                <c:ptCount val="9"/>
                <c:pt idx="0">
                  <c:v>3.0257665916854308</c:v>
                </c:pt>
                <c:pt idx="1">
                  <c:v>2.4271407135218461</c:v>
                </c:pt>
                <c:pt idx="2">
                  <c:v>2.2219435793135456</c:v>
                </c:pt>
                <c:pt idx="3">
                  <c:v>2.1741179426873578</c:v>
                </c:pt>
                <c:pt idx="4">
                  <c:v>2.2049780548522273</c:v>
                </c:pt>
                <c:pt idx="5">
                  <c:v>2.2808014520405582</c:v>
                </c:pt>
                <c:pt idx="6">
                  <c:v>2.3847269023685511</c:v>
                </c:pt>
                <c:pt idx="7">
                  <c:v>2.5073870547896533</c:v>
                </c:pt>
                <c:pt idx="8">
                  <c:v>2.6431614986759313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8-4663-A795-C2579F8E6EAA}"/>
            </c:ext>
          </c:extLst>
        </c:ser>
        <c:ser>
          <c:idx val="1"/>
          <c:order val="1"/>
          <c:tx>
            <c:strRef>
              <c:f>'DSCH-Optimization'!$C$89</c:f>
              <c:strCache>
                <c:ptCount val="1"/>
                <c:pt idx="0">
                  <c:v>Conduction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'DSCH-Optimization'!$F$91:$F$99</c:f>
              <c:numCache>
                <c:formatCode>0.00</c:formatCode>
                <c:ptCount val="9"/>
                <c:pt idx="0">
                  <c:v>7.040122337881856</c:v>
                </c:pt>
                <c:pt idx="1">
                  <c:v>10.560183506822783</c:v>
                </c:pt>
                <c:pt idx="2">
                  <c:v>14.080244675763712</c:v>
                </c:pt>
                <c:pt idx="3">
                  <c:v>17.600305844704639</c:v>
                </c:pt>
                <c:pt idx="4">
                  <c:v>21.120367013645566</c:v>
                </c:pt>
                <c:pt idx="5">
                  <c:v>24.640428182586493</c:v>
                </c:pt>
                <c:pt idx="6">
                  <c:v>28.160489351527424</c:v>
                </c:pt>
                <c:pt idx="7">
                  <c:v>31.680550520468355</c:v>
                </c:pt>
                <c:pt idx="8">
                  <c:v>35.200611689409278</c:v>
                </c:pt>
              </c:numCache>
            </c:numRef>
          </c:xVal>
          <c:yVal>
            <c:numRef>
              <c:f>'DSCH-Optimization'!$C$91:$C$99</c:f>
              <c:numCache>
                <c:formatCode>0.00E+00</c:formatCode>
                <c:ptCount val="9"/>
                <c:pt idx="0">
                  <c:v>2.3528951218372849</c:v>
                </c:pt>
                <c:pt idx="1">
                  <c:v>1.5685967478915235</c:v>
                </c:pt>
                <c:pt idx="2">
                  <c:v>1.1764475609186424</c:v>
                </c:pt>
                <c:pt idx="3">
                  <c:v>0.94115804873491404</c:v>
                </c:pt>
                <c:pt idx="4">
                  <c:v>0.78429837394576174</c:v>
                </c:pt>
                <c:pt idx="5">
                  <c:v>0.67225574909636732</c:v>
                </c:pt>
                <c:pt idx="6">
                  <c:v>0.58822378045932122</c:v>
                </c:pt>
                <c:pt idx="7">
                  <c:v>0.52286558263050786</c:v>
                </c:pt>
                <c:pt idx="8">
                  <c:v>0.47057902436745702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8-4663-A795-C2579F8E6EAA}"/>
            </c:ext>
          </c:extLst>
        </c:ser>
        <c:ser>
          <c:idx val="2"/>
          <c:order val="2"/>
          <c:tx>
            <c:strRef>
              <c:f>'DSCH-Optimization'!$D$89</c:f>
              <c:strCache>
                <c:ptCount val="1"/>
                <c:pt idx="0">
                  <c:v>Switching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50">
                  <a:alpha val="70000"/>
                </a:srgbClr>
              </a:solidFill>
              <a:ln w="15875">
                <a:noFill/>
              </a:ln>
              <a:effectLst/>
            </c:spPr>
          </c:marker>
          <c:xVal>
            <c:numRef>
              <c:f>'DSCH-Optimization'!$F$91:$F$99</c:f>
              <c:numCache>
                <c:formatCode>0.00</c:formatCode>
                <c:ptCount val="9"/>
                <c:pt idx="0">
                  <c:v>7.040122337881856</c:v>
                </c:pt>
                <c:pt idx="1">
                  <c:v>10.560183506822783</c:v>
                </c:pt>
                <c:pt idx="2">
                  <c:v>14.080244675763712</c:v>
                </c:pt>
                <c:pt idx="3">
                  <c:v>17.600305844704639</c:v>
                </c:pt>
                <c:pt idx="4">
                  <c:v>21.120367013645566</c:v>
                </c:pt>
                <c:pt idx="5">
                  <c:v>24.640428182586493</c:v>
                </c:pt>
                <c:pt idx="6">
                  <c:v>28.160489351527424</c:v>
                </c:pt>
                <c:pt idx="7">
                  <c:v>31.680550520468355</c:v>
                </c:pt>
                <c:pt idx="8">
                  <c:v>35.200611689409278</c:v>
                </c:pt>
              </c:numCache>
            </c:numRef>
          </c:xVal>
          <c:yVal>
            <c:numRef>
              <c:f>'DSCH-Optimization'!$D$91:$D$99</c:f>
              <c:numCache>
                <c:formatCode>0.00E+00</c:formatCode>
                <c:ptCount val="9"/>
                <c:pt idx="0">
                  <c:v>0.37646321949396566</c:v>
                </c:pt>
                <c:pt idx="1">
                  <c:v>0.56469482924094838</c:v>
                </c:pt>
                <c:pt idx="2">
                  <c:v>0.75292643898793132</c:v>
                </c:pt>
                <c:pt idx="3">
                  <c:v>0.94115804873491404</c:v>
                </c:pt>
                <c:pt idx="4">
                  <c:v>1.1293896584818968</c:v>
                </c:pt>
                <c:pt idx="5">
                  <c:v>1.3176212682288799</c:v>
                </c:pt>
                <c:pt idx="6">
                  <c:v>1.5058528779758626</c:v>
                </c:pt>
                <c:pt idx="7">
                  <c:v>1.6940844877228454</c:v>
                </c:pt>
                <c:pt idx="8">
                  <c:v>1.8823160974698281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8-4663-A795-C2579F8E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Ids-max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8"/>
                  <c:spPr>
                    <a:solidFill>
                      <a:srgbClr val="7030A0">
                        <a:alpha val="51000"/>
                      </a:srgb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Sheet1!$B$28:$B$36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5.3950001938885147E-4</c:v>
                      </c:pt>
                      <c:pt idx="1">
                        <c:v>1.0790000387777029E-3</c:v>
                      </c:pt>
                      <c:pt idx="2">
                        <c:v>1.6185000581665542E-3</c:v>
                      </c:pt>
                      <c:pt idx="3">
                        <c:v>2.1580000775554059E-3</c:v>
                      </c:pt>
                      <c:pt idx="4">
                        <c:v>2.6975000969442571E-3</c:v>
                      </c:pt>
                      <c:pt idx="5">
                        <c:v>3.7765001357219596E-3</c:v>
                      </c:pt>
                      <c:pt idx="6">
                        <c:v>4.8555001744996626E-3</c:v>
                      </c:pt>
                      <c:pt idx="7">
                        <c:v>5.9345002132773659E-3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Sheet1!$C$28:$C$36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88.09195283354461</c:v>
                      </c:pt>
                      <c:pt idx="1">
                        <c:v>176.18390566708922</c:v>
                      </c:pt>
                      <c:pt idx="2">
                        <c:v>264.27585850063389</c:v>
                      </c:pt>
                      <c:pt idx="3">
                        <c:v>352.36781133417844</c:v>
                      </c:pt>
                      <c:pt idx="4">
                        <c:v>440.45976416772305</c:v>
                      </c:pt>
                      <c:pt idx="5">
                        <c:v>616.64366983481216</c:v>
                      </c:pt>
                      <c:pt idx="6">
                        <c:v>792.82757550190149</c:v>
                      </c:pt>
                      <c:pt idx="7">
                        <c:v>969.01148116899083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728-4663-A795-C2579F8E6EA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73029904"/>
        <c:axId val="16730120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'DSCH-Optimization'!$F$89</c15:sqref>
                        </c15:formulaRef>
                      </c:ext>
                    </c:extLst>
                    <c:strCache>
                      <c:ptCount val="1"/>
                      <c:pt idx="0">
                        <c:v>Area of VR (mm2)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'DSCH-Optimization'!$B$90:$B$99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1.2</c:v>
                      </c:pt>
                      <c:pt idx="6">
                        <c:v>1.4</c:v>
                      </c:pt>
                      <c:pt idx="7">
                        <c:v>1.6</c:v>
                      </c:pt>
                      <c:pt idx="8">
                        <c:v>1.8</c:v>
                      </c:pt>
                      <c:pt idx="9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'DSCH-Optimization'!$F$90:$F$99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3.520061168940928</c:v>
                      </c:pt>
                      <c:pt idx="1">
                        <c:v>7.040122337881856</c:v>
                      </c:pt>
                      <c:pt idx="2">
                        <c:v>10.560183506822783</c:v>
                      </c:pt>
                      <c:pt idx="3">
                        <c:v>14.080244675763712</c:v>
                      </c:pt>
                      <c:pt idx="4">
                        <c:v>17.600305844704639</c:v>
                      </c:pt>
                      <c:pt idx="5">
                        <c:v>21.120367013645566</c:v>
                      </c:pt>
                      <c:pt idx="6">
                        <c:v>24.640428182586493</c:v>
                      </c:pt>
                      <c:pt idx="7">
                        <c:v>28.160489351527424</c:v>
                      </c:pt>
                      <c:pt idx="8">
                        <c:v>31.680550520468355</c:v>
                      </c:pt>
                      <c:pt idx="9">
                        <c:v>35.200611689409278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83-4EA3-BFD6-9B45987B79A2}"/>
                  </c:ext>
                </c:extLst>
              </c15:ser>
            </c15:filteredScatterSeries>
          </c:ext>
        </c:extLst>
      </c:scatterChart>
      <c:valAx>
        <c:axId val="1490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Active area (mm2) </a:t>
                </a:r>
              </a:p>
            </c:rich>
          </c:tx>
          <c:layout>
            <c:manualLayout>
              <c:xMode val="edge"/>
              <c:yMode val="edge"/>
              <c:x val="0.3792518239431491"/>
              <c:y val="0.82976465781147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  <c:majorUnit val="5"/>
      </c:valAx>
      <c:valAx>
        <c:axId val="15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Power loss (W)</a:t>
                </a:r>
              </a:p>
            </c:rich>
          </c:tx>
          <c:layout>
            <c:manualLayout>
              <c:xMode val="edge"/>
              <c:yMode val="edge"/>
              <c:x val="2.3660991602243608E-2"/>
              <c:y val="0.22998549168435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</c:valAx>
      <c:valAx>
        <c:axId val="1673012048"/>
        <c:scaling>
          <c:orientation val="minMax"/>
        </c:scaling>
        <c:delete val="1"/>
        <c:axPos val="r"/>
        <c:numFmt formatCode="#,##0" sourceLinked="0"/>
        <c:majorTickMark val="out"/>
        <c:minorTickMark val="none"/>
        <c:tickLblPos val="nextTo"/>
        <c:crossAx val="1673029904"/>
        <c:crosses val="max"/>
        <c:crossBetween val="midCat"/>
      </c:valAx>
      <c:valAx>
        <c:axId val="167302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0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172591198887255E-2"/>
          <c:y val="0.90875091483930559"/>
          <c:w val="0.98317533977124061"/>
          <c:h val="8.883541148785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456395418478"/>
          <c:y val="0.11445194223332919"/>
          <c:w val="0.72154997473481497"/>
          <c:h val="0.64732770676793794"/>
        </c:manualLayout>
      </c:layout>
      <c:scatterChart>
        <c:scatterStyle val="lineMarker"/>
        <c:varyColors val="0"/>
        <c:ser>
          <c:idx val="4"/>
          <c:order val="4"/>
          <c:tx>
            <c:strRef>
              <c:f>'DSCH-Optimization (I)'!$G$78</c:f>
              <c:strCache>
                <c:ptCount val="1"/>
                <c:pt idx="0">
                  <c:v>Area of VR(mm2)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'DSCH-Optimization (I)'!$A$79:$A$89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(I)'!$G$79:$G$88</c:f>
              <c:numCache>
                <c:formatCode>0.00</c:formatCode>
                <c:ptCount val="10"/>
                <c:pt idx="0">
                  <c:v>6.1505169169688756</c:v>
                </c:pt>
                <c:pt idx="1">
                  <c:v>12.105424423713027</c:v>
                </c:pt>
                <c:pt idx="2">
                  <c:v>17.95077613216165</c:v>
                </c:pt>
                <c:pt idx="3">
                  <c:v>23.725605004585343</c:v>
                </c:pt>
                <c:pt idx="4">
                  <c:v>29.45094471007685</c:v>
                </c:pt>
                <c:pt idx="5">
                  <c:v>35.139450699903207</c:v>
                </c:pt>
                <c:pt idx="6">
                  <c:v>40.799347736519309</c:v>
                </c:pt>
                <c:pt idx="7">
                  <c:v>46.436295047724933</c:v>
                </c:pt>
                <c:pt idx="8">
                  <c:v>52.05436170525585</c:v>
                </c:pt>
                <c:pt idx="9">
                  <c:v>57.656577471541496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29-4D3B-AA66-AAF40007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'DSCH-Optimization (I)'!$E$78</c15:sqref>
                        </c15:formulaRef>
                      </c:ext>
                    </c:extLst>
                    <c:strCache>
                      <c:ptCount val="1"/>
                      <c:pt idx="0">
                        <c:v>Total loss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190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'DSCH-Optimization (I)'!$A$80:$A$88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'DSCH-Optimization (I)'!$E$80:$E$88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0.40618848453574469</c:v>
                      </c:pt>
                      <c:pt idx="1">
                        <c:v>0.63317505973701582</c:v>
                      </c:pt>
                      <c:pt idx="2">
                        <c:v>0.87319004907058839</c:v>
                      </c:pt>
                      <c:pt idx="3">
                        <c:v>1.1248990257533027</c:v>
                      </c:pt>
                      <c:pt idx="4">
                        <c:v>1.3873014508491426</c:v>
                      </c:pt>
                      <c:pt idx="5">
                        <c:v>1.6596125328603737</c:v>
                      </c:pt>
                      <c:pt idx="6">
                        <c:v>1.9411960581284546</c:v>
                      </c:pt>
                      <c:pt idx="7">
                        <c:v>2.2315231101544066</c:v>
                      </c:pt>
                      <c:pt idx="8">
                        <c:v>2.5301451630545158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A29-4D3B-AA66-AAF40007538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'DSCH-Optimization (I)'!$C$78</c15:sqref>
                        </c15:formulaRef>
                      </c:ext>
                    </c:extLst>
                    <c:strCache>
                      <c:ptCount val="1"/>
                      <c:pt idx="0">
                        <c:v>Conduction loss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9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'DSCH-Optimization (I)'!$A$80:$A$88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'DSCH-Optimization (I)'!$C$80:$C$88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0.20309424226787232</c:v>
                      </c:pt>
                      <c:pt idx="1">
                        <c:v>0.31658752986850791</c:v>
                      </c:pt>
                      <c:pt idx="2">
                        <c:v>0.4365950245352942</c:v>
                      </c:pt>
                      <c:pt idx="3">
                        <c:v>0.56244951287665135</c:v>
                      </c:pt>
                      <c:pt idx="4">
                        <c:v>0.69365072542457129</c:v>
                      </c:pt>
                      <c:pt idx="5">
                        <c:v>0.82980626643018685</c:v>
                      </c:pt>
                      <c:pt idx="6">
                        <c:v>0.97059802906422743</c:v>
                      </c:pt>
                      <c:pt idx="7">
                        <c:v>1.1157615550772031</c:v>
                      </c:pt>
                      <c:pt idx="8">
                        <c:v>1.2650725815272579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29-4D3B-AA66-AAF40007538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'DSCH-Optimization (I)'!$D$78</c15:sqref>
                        </c15:formulaRef>
                      </c:ext>
                    </c:extLst>
                    <c:strCache>
                      <c:ptCount val="1"/>
                      <c:pt idx="0">
                        <c:v>Switching loss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00B050">
                        <a:alpha val="66000"/>
                      </a:srgbClr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'DSCH-Optimization (I)'!$A$80:$A$88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'DSCH-Optimization (I)'!$D$80:$D$88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0.20309424226787237</c:v>
                      </c:pt>
                      <c:pt idx="1">
                        <c:v>0.31658752986850797</c:v>
                      </c:pt>
                      <c:pt idx="2">
                        <c:v>0.4365950245352942</c:v>
                      </c:pt>
                      <c:pt idx="3">
                        <c:v>0.56244951287665135</c:v>
                      </c:pt>
                      <c:pt idx="4">
                        <c:v>0.6936507254245714</c:v>
                      </c:pt>
                      <c:pt idx="5">
                        <c:v>0.82980626643018707</c:v>
                      </c:pt>
                      <c:pt idx="6">
                        <c:v>0.97059802906422743</c:v>
                      </c:pt>
                      <c:pt idx="7">
                        <c:v>1.1157615550772033</c:v>
                      </c:pt>
                      <c:pt idx="8">
                        <c:v>1.2650725815272579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29-4D3B-AA66-AAF40007538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'DSCH-Optimization (I)'!$F$78</c:f>
              <c:strCache>
                <c:ptCount val="1"/>
                <c:pt idx="0">
                  <c:v>FeT loss in 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7030A0">
                  <a:alpha val="51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'DSCH-Optimization (I)'!$A$79:$A$88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(I)'!$F$79:$F$88</c:f>
              <c:numCache>
                <c:formatCode>0.00</c:formatCode>
                <c:ptCount val="10"/>
                <c:pt idx="0">
                  <c:v>3.7374922657169622</c:v>
                </c:pt>
                <c:pt idx="1">
                  <c:v>3.9033358384711803</c:v>
                </c:pt>
                <c:pt idx="2">
                  <c:v>4.0502013015113461</c:v>
                </c:pt>
                <c:pt idx="3">
                  <c:v>4.1833090534691353</c:v>
                </c:pt>
                <c:pt idx="4">
                  <c:v>4.3058502336962308</c:v>
                </c:pt>
                <c:pt idx="5">
                  <c:v>4.4199449673033646</c:v>
                </c:pt>
                <c:pt idx="6">
                  <c:v>4.5270869444480795</c:v>
                </c:pt>
                <c:pt idx="7">
                  <c:v>4.6283755366395649</c:v>
                </c:pt>
                <c:pt idx="8">
                  <c:v>4.724647784383321</c:v>
                </c:pt>
                <c:pt idx="9">
                  <c:v>4.8165584831355401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A29-4D3B-AA66-AAF40007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26432"/>
        <c:axId val="1063726928"/>
      </c:scatterChart>
      <c:valAx>
        <c:axId val="149036528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</a:t>
                </a:r>
                <a:r>
                  <a:rPr lang="en-US" baseline="0"/>
                  <a:t> current of VR (A)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36582836603952207"/>
              <c:y val="0.83964589933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  <c:majorUnit val="5"/>
      </c:valAx>
      <c:valAx>
        <c:axId val="15160912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area</a:t>
                </a:r>
                <a:r>
                  <a:rPr lang="en-US" baseline="0"/>
                  <a:t> ()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923784967318203E-3"/>
              <c:y val="0.3574657515340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  <c:majorUnit val="10"/>
      </c:valAx>
      <c:valAx>
        <c:axId val="1063726928"/>
        <c:scaling>
          <c:orientation val="minMax"/>
          <c:max val="5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Fet</a:t>
                </a:r>
                <a:r>
                  <a:rPr lang="en-US" baseline="0"/>
                  <a:t> loss wrt total power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487903449652578"/>
              <c:y val="0.24962379344895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3726432"/>
        <c:crosses val="max"/>
        <c:crossBetween val="midCat"/>
      </c:valAx>
      <c:valAx>
        <c:axId val="1063726432"/>
        <c:scaling>
          <c:orientation val="minMax"/>
          <c:max val="57.96"/>
          <c:min val="5.95"/>
        </c:scaling>
        <c:delete val="1"/>
        <c:axPos val="t"/>
        <c:numFmt formatCode="General" sourceLinked="1"/>
        <c:majorTickMark val="out"/>
        <c:minorTickMark val="none"/>
        <c:tickLblPos val="nextTo"/>
        <c:crossAx val="1063726928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365747094722527E-2"/>
          <c:y val="0.90200839955812295"/>
          <c:w val="0.66894542444571814"/>
          <c:h val="4.8871073938353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6701279161758"/>
          <c:y val="0.11403490431828839"/>
          <c:w val="0.69864463945047206"/>
          <c:h val="0.64774481377453652"/>
        </c:manualLayout>
      </c:layout>
      <c:scatterChart>
        <c:scatterStyle val="lineMarker"/>
        <c:varyColors val="0"/>
        <c:ser>
          <c:idx val="2"/>
          <c:order val="2"/>
          <c:tx>
            <c:strRef>
              <c:f>'DSCH-Optimization (10A) '!$D$113</c:f>
              <c:strCache>
                <c:ptCount val="1"/>
                <c:pt idx="0">
                  <c:v>FeT Switching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66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'DSCH-Optimization (10A)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(10A) '!$D$114:$D$123</c:f>
              <c:numCache>
                <c:formatCode>0.00E+00</c:formatCode>
                <c:ptCount val="10"/>
                <c:pt idx="0">
                  <c:v>0.49286110098018804</c:v>
                </c:pt>
                <c:pt idx="1">
                  <c:v>0.53733685774989293</c:v>
                </c:pt>
                <c:pt idx="2">
                  <c:v>0.58181261451959776</c:v>
                </c:pt>
                <c:pt idx="3">
                  <c:v>0.62628837128930259</c:v>
                </c:pt>
                <c:pt idx="4">
                  <c:v>0.67076412805900743</c:v>
                </c:pt>
                <c:pt idx="5">
                  <c:v>0.71523988482871226</c:v>
                </c:pt>
                <c:pt idx="6">
                  <c:v>0.75971564159841709</c:v>
                </c:pt>
                <c:pt idx="7">
                  <c:v>0.80419139836812203</c:v>
                </c:pt>
                <c:pt idx="8">
                  <c:v>0.84866715513782687</c:v>
                </c:pt>
                <c:pt idx="9">
                  <c:v>0.8931429119075317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6-418A-BD20-91C78C9D7E4B}"/>
            </c:ext>
          </c:extLst>
        </c:ser>
        <c:ser>
          <c:idx val="1"/>
          <c:order val="1"/>
          <c:tx>
            <c:strRef>
              <c:f>'DSCH-Optimization (10A) '!$C$113</c:f>
              <c:strCache>
                <c:ptCount val="1"/>
                <c:pt idx="0">
                  <c:v>FeT Conduction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'DSCH-Optimization (10A)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(10A) '!$C$114:$C$123</c:f>
              <c:numCache>
                <c:formatCode>0.00E+00</c:formatCode>
                <c:ptCount val="10"/>
                <c:pt idx="0">
                  <c:v>0.13433421443747318</c:v>
                </c:pt>
                <c:pt idx="1">
                  <c:v>0.5373368577498927</c:v>
                </c:pt>
                <c:pt idx="2">
                  <c:v>1.2090079299372585</c:v>
                </c:pt>
                <c:pt idx="3">
                  <c:v>2.1493474309995708</c:v>
                </c:pt>
                <c:pt idx="4">
                  <c:v>3.3583553609368302</c:v>
                </c:pt>
                <c:pt idx="5">
                  <c:v>4.8360317197490339</c:v>
                </c:pt>
                <c:pt idx="6">
                  <c:v>6.5823765074361846</c:v>
                </c:pt>
                <c:pt idx="7">
                  <c:v>8.5973897239982833</c:v>
                </c:pt>
                <c:pt idx="8">
                  <c:v>10.881071369435325</c:v>
                </c:pt>
                <c:pt idx="9">
                  <c:v>13.433421443747321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6-418A-BD20-91C78C9D7E4B}"/>
            </c:ext>
          </c:extLst>
        </c:ser>
        <c:ser>
          <c:idx val="4"/>
          <c:order val="4"/>
          <c:tx>
            <c:strRef>
              <c:f>'DSCH-Optimization (10A) '!$E$113</c:f>
              <c:strCache>
                <c:ptCount val="1"/>
                <c:pt idx="0">
                  <c:v>Inductor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'DSCH-Optimization (10A)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(10A) '!$E$114:$E$123</c:f>
              <c:numCache>
                <c:formatCode>0.00E+00</c:formatCode>
                <c:ptCount val="10"/>
                <c:pt idx="0">
                  <c:v>8.3333333333333343E-2</c:v>
                </c:pt>
                <c:pt idx="1">
                  <c:v>0.33333333333333337</c:v>
                </c:pt>
                <c:pt idx="2">
                  <c:v>0.75</c:v>
                </c:pt>
                <c:pt idx="3">
                  <c:v>1.3333333333333335</c:v>
                </c:pt>
                <c:pt idx="4">
                  <c:v>2.0833333333333335</c:v>
                </c:pt>
                <c:pt idx="5">
                  <c:v>3</c:v>
                </c:pt>
                <c:pt idx="6">
                  <c:v>4.083333333333333</c:v>
                </c:pt>
                <c:pt idx="7">
                  <c:v>5.3333333333333339</c:v>
                </c:pt>
                <c:pt idx="8">
                  <c:v>6.75</c:v>
                </c:pt>
                <c:pt idx="9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6-418A-BD20-91C78C9D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Ids-max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8"/>
                  <c:spPr>
                    <a:solidFill>
                      <a:srgbClr val="7030A0">
                        <a:alpha val="51000"/>
                      </a:srgb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Sheet1!$B$28:$B$36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5.3950001938885147E-4</c:v>
                      </c:pt>
                      <c:pt idx="1">
                        <c:v>1.0790000387777029E-3</c:v>
                      </c:pt>
                      <c:pt idx="2">
                        <c:v>1.6185000581665542E-3</c:v>
                      </c:pt>
                      <c:pt idx="3">
                        <c:v>2.1580000775554059E-3</c:v>
                      </c:pt>
                      <c:pt idx="4">
                        <c:v>2.6975000969442571E-3</c:v>
                      </c:pt>
                      <c:pt idx="5">
                        <c:v>3.7765001357219596E-3</c:v>
                      </c:pt>
                      <c:pt idx="6">
                        <c:v>4.8555001744996626E-3</c:v>
                      </c:pt>
                      <c:pt idx="7">
                        <c:v>5.9345002132773659E-3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Sheet1!$C$28:$C$36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88.09195283354461</c:v>
                      </c:pt>
                      <c:pt idx="1">
                        <c:v>176.18390566708922</c:v>
                      </c:pt>
                      <c:pt idx="2">
                        <c:v>264.27585850063389</c:v>
                      </c:pt>
                      <c:pt idx="3">
                        <c:v>352.36781133417844</c:v>
                      </c:pt>
                      <c:pt idx="4">
                        <c:v>440.45976416772305</c:v>
                      </c:pt>
                      <c:pt idx="5">
                        <c:v>616.64366983481216</c:v>
                      </c:pt>
                      <c:pt idx="6">
                        <c:v>792.82757550190149</c:v>
                      </c:pt>
                      <c:pt idx="7">
                        <c:v>969.01148116899083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96-418A-BD20-91C78C9D7E4B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'DSCH-Optimization (10A) '!$J$113</c:f>
              <c:strCache>
                <c:ptCount val="1"/>
                <c:pt idx="0">
                  <c:v>Total Efficiency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'DSCH-Optimization (10A)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(10A) '!$J$114:$J$123</c:f>
              <c:numCache>
                <c:formatCode>0.00E+00</c:formatCode>
                <c:ptCount val="10"/>
                <c:pt idx="0">
                  <c:v>87.557567916126274</c:v>
                </c:pt>
                <c:pt idx="1">
                  <c:v>87.657729848815819</c:v>
                </c:pt>
                <c:pt idx="2">
                  <c:v>85.51481364274153</c:v>
                </c:pt>
                <c:pt idx="3">
                  <c:v>82.956678435698862</c:v>
                </c:pt>
                <c:pt idx="4">
                  <c:v>80.353677489733926</c:v>
                </c:pt>
                <c:pt idx="5">
                  <c:v>77.818444765483861</c:v>
                </c:pt>
                <c:pt idx="6">
                  <c:v>75.38972370494001</c:v>
                </c:pt>
                <c:pt idx="7">
                  <c:v>73.079496693786567</c:v>
                </c:pt>
                <c:pt idx="8">
                  <c:v>70.888760801338833</c:v>
                </c:pt>
                <c:pt idx="9">
                  <c:v>68.813749523869248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6-418A-BD20-91C78C9D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88335"/>
        <c:axId val="1061045055"/>
      </c:scatterChart>
      <c:valAx>
        <c:axId val="149036528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</a:t>
                </a:r>
                <a:r>
                  <a:rPr lang="en-US" baseline="0"/>
                  <a:t> Current (A)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37528072277478869"/>
              <c:y val="0.8416723761990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  <c:majorUnit val="5"/>
      </c:valAx>
      <c:valAx>
        <c:axId val="15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</a:t>
                </a:r>
                <a:r>
                  <a:rPr lang="en-US" baseline="0"/>
                  <a:t> loss 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8.5683022448324441E-3"/>
              <c:y val="0.27245304847351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</c:valAx>
      <c:valAx>
        <c:axId val="1061045055"/>
        <c:scaling>
          <c:orientation val="minMax"/>
          <c:max val="97"/>
          <c:min val="5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9988335"/>
        <c:crosses val="max"/>
        <c:crossBetween val="midCat"/>
      </c:valAx>
      <c:valAx>
        <c:axId val="157998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0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379591198960905E-2"/>
          <c:y val="0.91405891158819641"/>
          <c:w val="0.95429553600203132"/>
          <c:h val="8.312033298240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48V-1V, 25A</a:t>
            </a:r>
          </a:p>
        </c:rich>
      </c:tx>
      <c:layout>
        <c:manualLayout>
          <c:xMode val="edge"/>
          <c:yMode val="edge"/>
          <c:x val="0.61530082080676396"/>
          <c:y val="4.376612796101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8164584648439"/>
          <c:y val="4.2771482535987997E-2"/>
          <c:w val="0.69259222344042426"/>
          <c:h val="0.63739739168678111"/>
        </c:manualLayout>
      </c:layout>
      <c:scatterChart>
        <c:scatterStyle val="lineMarker"/>
        <c:varyColors val="0"/>
        <c:ser>
          <c:idx val="2"/>
          <c:order val="2"/>
          <c:tx>
            <c:strRef>
              <c:f>'DSCH-Optimization (25A)'!$D$113</c:f>
              <c:strCache>
                <c:ptCount val="1"/>
                <c:pt idx="0">
                  <c:v>FeT Switching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0B050">
                  <a:alpha val="66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'DSCH-Optimization (25A)'!$A$114:$A$124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(25A)'!$D$114:$D$124</c:f>
              <c:numCache>
                <c:formatCode>0.00E+00</c:formatCode>
                <c:ptCount val="11"/>
                <c:pt idx="0">
                  <c:v>0.72548825603176714</c:v>
                </c:pt>
                <c:pt idx="1">
                  <c:v>0.77940570420755384</c:v>
                </c:pt>
                <c:pt idx="2">
                  <c:v>0.83332315238334054</c:v>
                </c:pt>
                <c:pt idx="3">
                  <c:v>0.88724060055912735</c:v>
                </c:pt>
                <c:pt idx="4">
                  <c:v>0.94115804873491404</c:v>
                </c:pt>
                <c:pt idx="5">
                  <c:v>0.99507549691070074</c:v>
                </c:pt>
                <c:pt idx="6">
                  <c:v>1.0489929450864874</c:v>
                </c:pt>
                <c:pt idx="7">
                  <c:v>1.1029103932622741</c:v>
                </c:pt>
                <c:pt idx="8">
                  <c:v>1.1568278414380608</c:v>
                </c:pt>
                <c:pt idx="9">
                  <c:v>1.2107452896138475</c:v>
                </c:pt>
                <c:pt idx="10">
                  <c:v>2.0195070122506484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D7-458B-A832-9BFBAA4DFB4F}"/>
            </c:ext>
          </c:extLst>
        </c:ser>
        <c:ser>
          <c:idx val="1"/>
          <c:order val="1"/>
          <c:tx>
            <c:strRef>
              <c:f>'DSCH-Optimization (25A)'!$C$113</c:f>
              <c:strCache>
                <c:ptCount val="1"/>
                <c:pt idx="0">
                  <c:v>FeT Conduction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'DSCH-Optimization (25A)'!$A$114:$A$124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(25A)'!$C$114:$C$124</c:f>
              <c:numCache>
                <c:formatCode>0.00E+00</c:formatCode>
                <c:ptCount val="11"/>
                <c:pt idx="0">
                  <c:v>3.7646321949396558E-2</c:v>
                </c:pt>
                <c:pt idx="1">
                  <c:v>0.15058528779758623</c:v>
                </c:pt>
                <c:pt idx="2">
                  <c:v>0.33881689754456895</c:v>
                </c:pt>
                <c:pt idx="3">
                  <c:v>0.60234115119034493</c:v>
                </c:pt>
                <c:pt idx="4">
                  <c:v>0.94115804873491404</c:v>
                </c:pt>
                <c:pt idx="5">
                  <c:v>1.3552675901782758</c:v>
                </c:pt>
                <c:pt idx="6">
                  <c:v>1.8446697755204309</c:v>
                </c:pt>
                <c:pt idx="7">
                  <c:v>2.4093646047613797</c:v>
                </c:pt>
                <c:pt idx="8">
                  <c:v>3.0493520779011209</c:v>
                </c:pt>
                <c:pt idx="9">
                  <c:v>3.7646321949396562</c:v>
                </c:pt>
                <c:pt idx="10">
                  <c:v>23.528951218372843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7-458B-A832-9BFBAA4DFB4F}"/>
            </c:ext>
          </c:extLst>
        </c:ser>
        <c:ser>
          <c:idx val="4"/>
          <c:order val="4"/>
          <c:tx>
            <c:strRef>
              <c:f>'DSCH-Optimization (25A)'!$E$113</c:f>
              <c:strCache>
                <c:ptCount val="1"/>
                <c:pt idx="0">
                  <c:v>Inductor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tx1">
                  <a:lumMod val="50000"/>
                  <a:lumOff val="50000"/>
                  <a:alpha val="7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'DSCH-Optimization (25A)'!$A$114:$A$124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(25A)'!$E$114:$E$124</c:f>
              <c:numCache>
                <c:formatCode>0.00E+00</c:formatCode>
                <c:ptCount val="11"/>
                <c:pt idx="0">
                  <c:v>4.1666666666666671E-2</c:v>
                </c:pt>
                <c:pt idx="1">
                  <c:v>0.16666666666666669</c:v>
                </c:pt>
                <c:pt idx="2">
                  <c:v>0.375</c:v>
                </c:pt>
                <c:pt idx="3">
                  <c:v>0.66666666666666674</c:v>
                </c:pt>
                <c:pt idx="4">
                  <c:v>1.0416666666666667</c:v>
                </c:pt>
                <c:pt idx="5">
                  <c:v>1.5</c:v>
                </c:pt>
                <c:pt idx="6">
                  <c:v>2.0416666666666665</c:v>
                </c:pt>
                <c:pt idx="7">
                  <c:v>2.666666666666667</c:v>
                </c:pt>
                <c:pt idx="8">
                  <c:v>3.375</c:v>
                </c:pt>
                <c:pt idx="9">
                  <c:v>4.166666666666667</c:v>
                </c:pt>
                <c:pt idx="10">
                  <c:v>26.041666666666664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A-4C70-9A87-2F5841C0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Ids-max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8"/>
                  <c:spPr>
                    <a:solidFill>
                      <a:srgbClr val="7030A0">
                        <a:alpha val="51000"/>
                      </a:srgb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Sheet1!$B$28:$B$36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5.3950001938885147E-4</c:v>
                      </c:pt>
                      <c:pt idx="1">
                        <c:v>1.0790000387777029E-3</c:v>
                      </c:pt>
                      <c:pt idx="2">
                        <c:v>1.6185000581665542E-3</c:v>
                      </c:pt>
                      <c:pt idx="3">
                        <c:v>2.1580000775554059E-3</c:v>
                      </c:pt>
                      <c:pt idx="4">
                        <c:v>2.6975000969442571E-3</c:v>
                      </c:pt>
                      <c:pt idx="5">
                        <c:v>3.7765001357219596E-3</c:v>
                      </c:pt>
                      <c:pt idx="6">
                        <c:v>4.8555001744996626E-3</c:v>
                      </c:pt>
                      <c:pt idx="7">
                        <c:v>5.9345002132773659E-3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Sheet1!$C$28:$C$36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88.09195283354461</c:v>
                      </c:pt>
                      <c:pt idx="1">
                        <c:v>176.18390566708922</c:v>
                      </c:pt>
                      <c:pt idx="2">
                        <c:v>264.27585850063389</c:v>
                      </c:pt>
                      <c:pt idx="3">
                        <c:v>352.36781133417844</c:v>
                      </c:pt>
                      <c:pt idx="4">
                        <c:v>440.45976416772305</c:v>
                      </c:pt>
                      <c:pt idx="5">
                        <c:v>616.64366983481216</c:v>
                      </c:pt>
                      <c:pt idx="6">
                        <c:v>792.82757550190149</c:v>
                      </c:pt>
                      <c:pt idx="7">
                        <c:v>969.01148116899083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CD7-458B-A832-9BFBAA4DFB4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'DSCH-Optimization (25A)'!$J$113</c:f>
              <c:strCache>
                <c:ptCount val="1"/>
                <c:pt idx="0">
                  <c:v>Total Efficiency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2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'DSCH-Optimization (25A)'!$A$114:$A$124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(25A)'!$J$114:$J$124</c:f>
              <c:numCache>
                <c:formatCode>0.00E+00</c:formatCode>
                <c:ptCount val="11"/>
                <c:pt idx="0">
                  <c:v>86.135593438451025</c:v>
                </c:pt>
                <c:pt idx="1">
                  <c:v>90.117225452884071</c:v>
                </c:pt>
                <c:pt idx="2">
                  <c:v>90.650106028838181</c:v>
                </c:pt>
                <c:pt idx="3">
                  <c:v>90.267989518370456</c:v>
                </c:pt>
                <c:pt idx="4">
                  <c:v>89.528776074551061</c:v>
                </c:pt>
                <c:pt idx="5">
                  <c:v>88.625394202998336</c:v>
                </c:pt>
                <c:pt idx="6">
                  <c:v>87.641696054605845</c:v>
                </c:pt>
                <c:pt idx="7">
                  <c:v>86.619568483062679</c:v>
                </c:pt>
                <c:pt idx="8">
                  <c:v>85.5819516964646</c:v>
                </c:pt>
                <c:pt idx="9">
                  <c:v>84.542224939258276</c:v>
                </c:pt>
                <c:pt idx="10">
                  <c:v>70.785385124283465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7-458B-A832-9BFBAA4D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88335"/>
        <c:axId val="1061045055"/>
      </c:scatterChart>
      <c:valAx>
        <c:axId val="149036528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Output Current (A) </a:t>
                </a:r>
              </a:p>
            </c:rich>
          </c:tx>
          <c:layout>
            <c:manualLayout>
              <c:xMode val="edge"/>
              <c:yMode val="edge"/>
              <c:x val="0.34808824127425037"/>
              <c:y val="0.7820303064976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  <c:majorUnit val="5"/>
      </c:valAx>
      <c:valAx>
        <c:axId val="1516091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Power loss (W)</a:t>
                </a:r>
              </a:p>
            </c:rich>
          </c:tx>
          <c:layout>
            <c:manualLayout>
              <c:xMode val="edge"/>
              <c:yMode val="edge"/>
              <c:x val="1.0800815641715672E-2"/>
              <c:y val="0.22397319220966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</c:valAx>
      <c:valAx>
        <c:axId val="1061045055"/>
        <c:scaling>
          <c:orientation val="minMax"/>
          <c:max val="95"/>
          <c:min val="7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Efficiency</a:t>
                </a:r>
                <a:r>
                  <a:rPr lang="en-US" sz="1600" b="1" baseline="0"/>
                  <a:t> (%)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92303424297592007"/>
              <c:y val="0.2063158511236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9988335"/>
        <c:crosses val="max"/>
        <c:crossBetween val="midCat"/>
        <c:majorUnit val="5"/>
      </c:valAx>
      <c:valAx>
        <c:axId val="157998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0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220341209812124E-3"/>
          <c:y val="0.85916746338312833"/>
          <c:w val="0.95429553600203132"/>
          <c:h val="0.128149745532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6701279161758"/>
          <c:y val="0.11403490431828839"/>
          <c:w val="0.69864463945047206"/>
          <c:h val="0.64774481377453652"/>
        </c:manualLayout>
      </c:layout>
      <c:scatterChart>
        <c:scatterStyle val="lineMarker"/>
        <c:varyColors val="0"/>
        <c:ser>
          <c:idx val="2"/>
          <c:order val="2"/>
          <c:tx>
            <c:strRef>
              <c:f>'DSCH-Optimization (50A) '!$D$113</c:f>
              <c:strCache>
                <c:ptCount val="1"/>
                <c:pt idx="0">
                  <c:v>FeT Switching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66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'DSCH-Optimization (50A)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(50A) '!$D$114:$D$123</c:f>
              <c:numCache>
                <c:formatCode>0.00E+00</c:formatCode>
                <c:ptCount val="10"/>
                <c:pt idx="0">
                  <c:v>0.96843480682547867</c:v>
                </c:pt>
                <c:pt idx="1">
                  <c:v>1.027148057705471</c:v>
                </c:pt>
                <c:pt idx="2">
                  <c:v>1.0858613085854634</c:v>
                </c:pt>
                <c:pt idx="3">
                  <c:v>1.1445745594654559</c:v>
                </c:pt>
                <c:pt idx="4">
                  <c:v>1.2032878103454483</c:v>
                </c:pt>
                <c:pt idx="5">
                  <c:v>1.2620010612254406</c:v>
                </c:pt>
                <c:pt idx="6">
                  <c:v>1.320714312105433</c:v>
                </c:pt>
                <c:pt idx="7">
                  <c:v>1.3794275629854256</c:v>
                </c:pt>
                <c:pt idx="8">
                  <c:v>1.4381408138654179</c:v>
                </c:pt>
                <c:pt idx="9">
                  <c:v>1.4968540647454103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E-4BFE-AEC9-AE0BC68852DE}"/>
            </c:ext>
          </c:extLst>
        </c:ser>
        <c:ser>
          <c:idx val="1"/>
          <c:order val="1"/>
          <c:tx>
            <c:strRef>
              <c:f>'DSCH-Optimization (50A) '!$C$113</c:f>
              <c:strCache>
                <c:ptCount val="1"/>
                <c:pt idx="0">
                  <c:v>FeT Conduction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'DSCH-Optimization (50A)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(50A) '!$C$114:$C$123</c:f>
              <c:numCache>
                <c:formatCode>0.00E+00</c:formatCode>
                <c:ptCount val="10"/>
                <c:pt idx="0">
                  <c:v>1.49685406474541E-2</c:v>
                </c:pt>
                <c:pt idx="1">
                  <c:v>5.9874162589816399E-2</c:v>
                </c:pt>
                <c:pt idx="2">
                  <c:v>0.13471686582708686</c:v>
                </c:pt>
                <c:pt idx="3">
                  <c:v>0.23949665035926559</c:v>
                </c:pt>
                <c:pt idx="4">
                  <c:v>0.37421351618635246</c:v>
                </c:pt>
                <c:pt idx="5">
                  <c:v>0.53886746330834745</c:v>
                </c:pt>
                <c:pt idx="6">
                  <c:v>0.73345849172525068</c:v>
                </c:pt>
                <c:pt idx="7">
                  <c:v>0.95798660143706238</c:v>
                </c:pt>
                <c:pt idx="8">
                  <c:v>1.2124517924437817</c:v>
                </c:pt>
                <c:pt idx="9">
                  <c:v>1.4968540647454098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E-4BFE-AEC9-AE0BC68852DE}"/>
            </c:ext>
          </c:extLst>
        </c:ser>
        <c:ser>
          <c:idx val="4"/>
          <c:order val="4"/>
          <c:tx>
            <c:strRef>
              <c:f>'DSCH-Optimization (50A) '!$E$113</c:f>
              <c:strCache>
                <c:ptCount val="1"/>
                <c:pt idx="0">
                  <c:v>Inductor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'DSCH-Optimization (50A)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(50A) '!$E$114:$E$123</c:f>
              <c:numCache>
                <c:formatCode>0.00E+00</c:formatCode>
                <c:ptCount val="10"/>
                <c:pt idx="0">
                  <c:v>2.281746031746032E-2</c:v>
                </c:pt>
                <c:pt idx="1">
                  <c:v>9.1269841269841279E-2</c:v>
                </c:pt>
                <c:pt idx="2">
                  <c:v>0.20535714285714285</c:v>
                </c:pt>
                <c:pt idx="3">
                  <c:v>0.36507936507936511</c:v>
                </c:pt>
                <c:pt idx="4">
                  <c:v>0.57043650793650802</c:v>
                </c:pt>
                <c:pt idx="5">
                  <c:v>0.8214285714285714</c:v>
                </c:pt>
                <c:pt idx="6">
                  <c:v>1.1180555555555554</c:v>
                </c:pt>
                <c:pt idx="7">
                  <c:v>1.4603174603174605</c:v>
                </c:pt>
                <c:pt idx="8">
                  <c:v>1.8482142857142858</c:v>
                </c:pt>
                <c:pt idx="9">
                  <c:v>2.2817460317460321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E-4BFE-AEC9-AE0BC688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Ids-max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8"/>
                  <c:spPr>
                    <a:solidFill>
                      <a:srgbClr val="7030A0">
                        <a:alpha val="51000"/>
                      </a:srgb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Sheet1!$B$28:$B$36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5.3950001938885147E-4</c:v>
                      </c:pt>
                      <c:pt idx="1">
                        <c:v>1.0790000387777029E-3</c:v>
                      </c:pt>
                      <c:pt idx="2">
                        <c:v>1.6185000581665542E-3</c:v>
                      </c:pt>
                      <c:pt idx="3">
                        <c:v>2.1580000775554059E-3</c:v>
                      </c:pt>
                      <c:pt idx="4">
                        <c:v>2.6975000969442571E-3</c:v>
                      </c:pt>
                      <c:pt idx="5">
                        <c:v>3.7765001357219596E-3</c:v>
                      </c:pt>
                      <c:pt idx="6">
                        <c:v>4.8555001744996626E-3</c:v>
                      </c:pt>
                      <c:pt idx="7">
                        <c:v>5.9345002132773659E-3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Sheet1!$C$28:$C$36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88.09195283354461</c:v>
                      </c:pt>
                      <c:pt idx="1">
                        <c:v>176.18390566708922</c:v>
                      </c:pt>
                      <c:pt idx="2">
                        <c:v>264.27585850063389</c:v>
                      </c:pt>
                      <c:pt idx="3">
                        <c:v>352.36781133417844</c:v>
                      </c:pt>
                      <c:pt idx="4">
                        <c:v>440.45976416772305</c:v>
                      </c:pt>
                      <c:pt idx="5">
                        <c:v>616.64366983481216</c:v>
                      </c:pt>
                      <c:pt idx="6">
                        <c:v>792.82757550190149</c:v>
                      </c:pt>
                      <c:pt idx="7">
                        <c:v>969.01148116899083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8BE-4BFE-AEC9-AE0BC68852DE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'DSCH-Optimization (50A) '!$J$113</c:f>
              <c:strCache>
                <c:ptCount val="1"/>
                <c:pt idx="0">
                  <c:v>Total Efficiency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'DSCH-Optimization (50A) '!$A$114:$A$123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'DSCH-Optimization (50A) '!$J$114:$J$123</c:f>
              <c:numCache>
                <c:formatCode>0.00E+00</c:formatCode>
                <c:ptCount val="10"/>
                <c:pt idx="0">
                  <c:v>83.247022712097589</c:v>
                </c:pt>
                <c:pt idx="1">
                  <c:v>89.459104708701346</c:v>
                </c:pt>
                <c:pt idx="2">
                  <c:v>91.319000776957211</c:v>
                </c:pt>
                <c:pt idx="3">
                  <c:v>91.957614303694257</c:v>
                </c:pt>
                <c:pt idx="4">
                  <c:v>92.088025810412816</c:v>
                </c:pt>
                <c:pt idx="5">
                  <c:v>91.961641792886127</c:v>
                </c:pt>
                <c:pt idx="6">
                  <c:v>91.689695635475758</c:v>
                </c:pt>
                <c:pt idx="7">
                  <c:v>91.328930782810843</c:v>
                </c:pt>
                <c:pt idx="8">
                  <c:v>90.911282161129321</c:v>
                </c:pt>
                <c:pt idx="9">
                  <c:v>90.456063651962936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BE-4BFE-AEC9-AE0BC688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88335"/>
        <c:axId val="1061045055"/>
      </c:scatterChart>
      <c:valAx>
        <c:axId val="149036528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</a:t>
                </a:r>
                <a:r>
                  <a:rPr lang="en-US" baseline="0"/>
                  <a:t> Current (A)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37528072277478869"/>
              <c:y val="0.8416723761990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  <c:majorUnit val="5"/>
      </c:valAx>
      <c:valAx>
        <c:axId val="15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</a:t>
                </a:r>
                <a:r>
                  <a:rPr lang="en-US" baseline="0"/>
                  <a:t> loss 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8.5683022448324441E-3"/>
              <c:y val="0.27245304847351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</c:valAx>
      <c:valAx>
        <c:axId val="1061045055"/>
        <c:scaling>
          <c:orientation val="minMax"/>
          <c:max val="97"/>
          <c:min val="75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9988335"/>
        <c:crosses val="max"/>
        <c:crossBetween val="midCat"/>
      </c:valAx>
      <c:valAx>
        <c:axId val="157998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0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379591198960905E-2"/>
          <c:y val="0.91405891158819641"/>
          <c:w val="0.95429553600203132"/>
          <c:h val="8.312033298240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6701279161758"/>
          <c:y val="0.11403490431828839"/>
          <c:w val="0.69864463945047206"/>
          <c:h val="0.64774481377453652"/>
        </c:manualLayout>
      </c:layout>
      <c:scatterChart>
        <c:scatterStyle val="lineMarker"/>
        <c:varyColors val="0"/>
        <c:ser>
          <c:idx val="2"/>
          <c:order val="2"/>
          <c:tx>
            <c:strRef>
              <c:f>'DSCH-Optimization (100A)  '!$D$113</c:f>
              <c:strCache>
                <c:ptCount val="1"/>
                <c:pt idx="0">
                  <c:v>FeT Switching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50">
                  <a:alpha val="66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'DSCH-Optimization (100A)  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(100A)  '!$D$114:$D$124</c:f>
              <c:numCache>
                <c:formatCode>0.00E+00</c:formatCode>
                <c:ptCount val="11"/>
                <c:pt idx="0">
                  <c:v>1.4309189836327039</c:v>
                </c:pt>
                <c:pt idx="1">
                  <c:v>1.493209773957846</c:v>
                </c:pt>
                <c:pt idx="2">
                  <c:v>1.5555005642829884</c:v>
                </c:pt>
                <c:pt idx="3">
                  <c:v>1.6177913546081308</c:v>
                </c:pt>
                <c:pt idx="4">
                  <c:v>1.680082144933273</c:v>
                </c:pt>
                <c:pt idx="5">
                  <c:v>1.7423729352584152</c:v>
                </c:pt>
                <c:pt idx="6">
                  <c:v>1.8046637255835576</c:v>
                </c:pt>
                <c:pt idx="7">
                  <c:v>1.8669545159086998</c:v>
                </c:pt>
                <c:pt idx="8">
                  <c:v>1.9292453062338419</c:v>
                </c:pt>
                <c:pt idx="9">
                  <c:v>1.9915360965589843</c:v>
                </c:pt>
                <c:pt idx="10">
                  <c:v>2.9258979514361183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C-4DCB-95AF-0B489449E229}"/>
            </c:ext>
          </c:extLst>
        </c:ser>
        <c:ser>
          <c:idx val="1"/>
          <c:order val="1"/>
          <c:tx>
            <c:strRef>
              <c:f>'DSCH-Optimization (100A)  '!$C$113</c:f>
              <c:strCache>
                <c:ptCount val="1"/>
                <c:pt idx="0">
                  <c:v>FeT Conduction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'DSCH-Optimization (100A)  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(100A)  '!$C$114:$C$124</c:f>
              <c:numCache>
                <c:formatCode>0.00E+00</c:formatCode>
                <c:ptCount val="11"/>
                <c:pt idx="0">
                  <c:v>4.6814367222977899E-3</c:v>
                </c:pt>
                <c:pt idx="1">
                  <c:v>1.872574688919116E-2</c:v>
                </c:pt>
                <c:pt idx="2">
                  <c:v>4.2132930500680101E-2</c:v>
                </c:pt>
                <c:pt idx="3">
                  <c:v>7.4902987556764639E-2</c:v>
                </c:pt>
                <c:pt idx="4">
                  <c:v>0.11703591805744476</c:v>
                </c:pt>
                <c:pt idx="5">
                  <c:v>0.1685317220027204</c:v>
                </c:pt>
                <c:pt idx="6">
                  <c:v>0.22939039939259168</c:v>
                </c:pt>
                <c:pt idx="7">
                  <c:v>0.29961195022705855</c:v>
                </c:pt>
                <c:pt idx="8">
                  <c:v>0.37919637450612087</c:v>
                </c:pt>
                <c:pt idx="9">
                  <c:v>0.46814367222977904</c:v>
                </c:pt>
                <c:pt idx="10">
                  <c:v>2.9258979514361183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C-4DCB-95AF-0B489449E229}"/>
            </c:ext>
          </c:extLst>
        </c:ser>
        <c:ser>
          <c:idx val="4"/>
          <c:order val="4"/>
          <c:tx>
            <c:strRef>
              <c:f>'DSCH-Optimization (100A)  '!$E$113</c:f>
              <c:strCache>
                <c:ptCount val="1"/>
                <c:pt idx="0">
                  <c:v>Inductor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'DSCH-Optimization (100A)  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(100A)  '!$E$114:$E$124</c:f>
              <c:numCache>
                <c:formatCode>0.00E+00</c:formatCode>
                <c:ptCount val="11"/>
                <c:pt idx="0">
                  <c:v>9.6223674655047213E-3</c:v>
                </c:pt>
                <c:pt idx="1">
                  <c:v>3.8489469862018885E-2</c:v>
                </c:pt>
                <c:pt idx="2">
                  <c:v>8.6601307189542481E-2</c:v>
                </c:pt>
                <c:pt idx="3">
                  <c:v>0.15395787944807554</c:v>
                </c:pt>
                <c:pt idx="4">
                  <c:v>0.24055918663761808</c:v>
                </c:pt>
                <c:pt idx="5">
                  <c:v>0.34640522875816993</c:v>
                </c:pt>
                <c:pt idx="6">
                  <c:v>0.47149600580973128</c:v>
                </c:pt>
                <c:pt idx="7">
                  <c:v>0.61583151779230216</c:v>
                </c:pt>
                <c:pt idx="8">
                  <c:v>0.77941176470588236</c:v>
                </c:pt>
                <c:pt idx="9">
                  <c:v>0.96223674655047231</c:v>
                </c:pt>
                <c:pt idx="10">
                  <c:v>6.0139796659404494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C-4DCB-95AF-0B489449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6528"/>
        <c:axId val="151609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Ids-max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8"/>
                  <c:spPr>
                    <a:solidFill>
                      <a:srgbClr val="7030A0">
                        <a:alpha val="51000"/>
                      </a:srgb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Sheet1!$B$28:$B$36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5.3950001938885147E-4</c:v>
                      </c:pt>
                      <c:pt idx="1">
                        <c:v>1.0790000387777029E-3</c:v>
                      </c:pt>
                      <c:pt idx="2">
                        <c:v>1.6185000581665542E-3</c:v>
                      </c:pt>
                      <c:pt idx="3">
                        <c:v>2.1580000775554059E-3</c:v>
                      </c:pt>
                      <c:pt idx="4">
                        <c:v>2.6975000969442571E-3</c:v>
                      </c:pt>
                      <c:pt idx="5">
                        <c:v>3.7765001357219596E-3</c:v>
                      </c:pt>
                      <c:pt idx="6">
                        <c:v>4.8555001744996626E-3</c:v>
                      </c:pt>
                      <c:pt idx="7">
                        <c:v>5.9345002132773659E-3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Sheet1!$C$28:$C$36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88.09195283354461</c:v>
                      </c:pt>
                      <c:pt idx="1">
                        <c:v>176.18390566708922</c:v>
                      </c:pt>
                      <c:pt idx="2">
                        <c:v>264.27585850063389</c:v>
                      </c:pt>
                      <c:pt idx="3">
                        <c:v>352.36781133417844</c:v>
                      </c:pt>
                      <c:pt idx="4">
                        <c:v>440.45976416772305</c:v>
                      </c:pt>
                      <c:pt idx="5">
                        <c:v>616.64366983481216</c:v>
                      </c:pt>
                      <c:pt idx="6">
                        <c:v>792.82757550190149</c:v>
                      </c:pt>
                      <c:pt idx="7">
                        <c:v>969.01148116899083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1C-4DCB-95AF-0B489449E22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'DSCH-Optimization (100A)  '!$J$113</c:f>
              <c:strCache>
                <c:ptCount val="1"/>
                <c:pt idx="0">
                  <c:v>Total Efficiency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'DSCH-Optimization (100A)  '!$A$114:$A$124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'DSCH-Optimization (100A)  '!$J$114:$J$124</c:f>
              <c:numCache>
                <c:formatCode>0.00E+00</c:formatCode>
                <c:ptCount val="11"/>
                <c:pt idx="0">
                  <c:v>77.576837366250018</c:v>
                </c:pt>
                <c:pt idx="1">
                  <c:v>86.576900919609557</c:v>
                </c:pt>
                <c:pt idx="2">
                  <c:v>89.905231963206248</c:v>
                </c:pt>
                <c:pt idx="3">
                  <c:v>91.547207311763444</c:v>
                </c:pt>
                <c:pt idx="4">
                  <c:v>92.463563971064318</c:v>
                </c:pt>
                <c:pt idx="5">
                  <c:v>93.002175649502476</c:v>
                </c:pt>
                <c:pt idx="6">
                  <c:v>93.319521718655636</c:v>
                </c:pt>
                <c:pt idx="7">
                  <c:v>93.496395445217175</c:v>
                </c:pt>
                <c:pt idx="8">
                  <c:v>93.578724721100485</c:v>
                </c:pt>
                <c:pt idx="9">
                  <c:v>93.594545575023162</c:v>
                </c:pt>
                <c:pt idx="10">
                  <c:v>91.330355949470459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C-4DCB-95AF-0B489449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88335"/>
        <c:axId val="1061045055"/>
      </c:scatterChart>
      <c:valAx>
        <c:axId val="149036528"/>
        <c:scaling>
          <c:orientation val="minMax"/>
          <c:max val="12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Output</a:t>
                </a:r>
                <a:r>
                  <a:rPr lang="en-US" baseline="0"/>
                  <a:t> Current (A)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37528072277478869"/>
              <c:y val="0.8416723761990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609120"/>
        <c:crosses val="autoZero"/>
        <c:crossBetween val="midCat"/>
        <c:majorUnit val="20"/>
      </c:valAx>
      <c:valAx>
        <c:axId val="1516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</a:t>
                </a:r>
                <a:r>
                  <a:rPr lang="en-US" baseline="0"/>
                  <a:t> loss </a:t>
                </a:r>
                <a:r>
                  <a:rPr lang="en-US"/>
                  <a:t> (W)</a:t>
                </a:r>
              </a:p>
            </c:rich>
          </c:tx>
          <c:layout>
            <c:manualLayout>
              <c:xMode val="edge"/>
              <c:yMode val="edge"/>
              <c:x val="8.5683022448324441E-3"/>
              <c:y val="0.27245304847351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36528"/>
        <c:crosses val="autoZero"/>
        <c:crossBetween val="midCat"/>
      </c:valAx>
      <c:valAx>
        <c:axId val="1061045055"/>
        <c:scaling>
          <c:orientation val="minMax"/>
          <c:max val="97"/>
          <c:min val="75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9988335"/>
        <c:crosses val="max"/>
        <c:crossBetween val="midCat"/>
      </c:valAx>
      <c:valAx>
        <c:axId val="157998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0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379591198960905E-2"/>
          <c:y val="0.91405891158819641"/>
          <c:w val="0.95429553600203132"/>
          <c:h val="8.312033298240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756228562681"/>
          <c:y val="3.2649650928313768E-2"/>
          <c:w val="0.73029540884835076"/>
          <c:h val="0.69205601463723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10A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Results!$B$2:$B$12</c:f>
              <c:numCache>
                <c:formatCode>0.00</c:formatCode>
                <c:ptCount val="11"/>
                <c:pt idx="0">
                  <c:v>87.557567916126274</c:v>
                </c:pt>
                <c:pt idx="1">
                  <c:v>87.657729848815819</c:v>
                </c:pt>
                <c:pt idx="2">
                  <c:v>85.51481364274153</c:v>
                </c:pt>
                <c:pt idx="3">
                  <c:v>82.956678435698862</c:v>
                </c:pt>
                <c:pt idx="4">
                  <c:v>80.353677489733926</c:v>
                </c:pt>
                <c:pt idx="5">
                  <c:v>77.818444765483861</c:v>
                </c:pt>
                <c:pt idx="6">
                  <c:v>75.38972370494001</c:v>
                </c:pt>
                <c:pt idx="7">
                  <c:v>73.079496693786567</c:v>
                </c:pt>
                <c:pt idx="8">
                  <c:v>70.888760801338833</c:v>
                </c:pt>
                <c:pt idx="9">
                  <c:v>68.813749523869248</c:v>
                </c:pt>
                <c:pt idx="10">
                  <c:v>47.600461385096104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F-4F97-BD0E-BB9E5139E0B5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25A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Results!$C$2:$C$12</c:f>
              <c:numCache>
                <c:formatCode>0.00</c:formatCode>
                <c:ptCount val="11"/>
                <c:pt idx="0">
                  <c:v>86.135593438451025</c:v>
                </c:pt>
                <c:pt idx="1">
                  <c:v>90.117225452884071</c:v>
                </c:pt>
                <c:pt idx="2">
                  <c:v>90.650106028838181</c:v>
                </c:pt>
                <c:pt idx="3">
                  <c:v>90.267989518370456</c:v>
                </c:pt>
                <c:pt idx="4">
                  <c:v>89.528776074551061</c:v>
                </c:pt>
                <c:pt idx="5">
                  <c:v>88.625394202998336</c:v>
                </c:pt>
                <c:pt idx="6">
                  <c:v>87.641696054605845</c:v>
                </c:pt>
                <c:pt idx="7">
                  <c:v>86.619568483062679</c:v>
                </c:pt>
                <c:pt idx="8">
                  <c:v>85.5819516964646</c:v>
                </c:pt>
                <c:pt idx="9">
                  <c:v>84.542224939258276</c:v>
                </c:pt>
                <c:pt idx="10">
                  <c:v>70.785385124283465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F-4F97-BD0E-BB9E5139E0B5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50A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Results!$D$2:$D$12</c:f>
              <c:numCache>
                <c:formatCode>0.00</c:formatCode>
                <c:ptCount val="11"/>
                <c:pt idx="0">
                  <c:v>83.247022712097589</c:v>
                </c:pt>
                <c:pt idx="1">
                  <c:v>89.459104708701346</c:v>
                </c:pt>
                <c:pt idx="2">
                  <c:v>91.319000776957211</c:v>
                </c:pt>
                <c:pt idx="3">
                  <c:v>91.957614303694257</c:v>
                </c:pt>
                <c:pt idx="4">
                  <c:v>92.088025810412816</c:v>
                </c:pt>
                <c:pt idx="5">
                  <c:v>91.961641792886127</c:v>
                </c:pt>
                <c:pt idx="6">
                  <c:v>91.689695635475758</c:v>
                </c:pt>
                <c:pt idx="7">
                  <c:v>91.328930782810843</c:v>
                </c:pt>
                <c:pt idx="8">
                  <c:v>90.911282161129321</c:v>
                </c:pt>
                <c:pt idx="9">
                  <c:v>90.456063651962936</c:v>
                </c:pt>
                <c:pt idx="10">
                  <c:v>82.784854185826006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AF-4F97-BD0E-BB9E5139E0B5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125A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125</c:v>
                </c:pt>
              </c:numCache>
            </c:numRef>
          </c:xVal>
          <c:yVal>
            <c:numRef>
              <c:f>Results!$E$2:$E$12</c:f>
              <c:numCache>
                <c:formatCode>0.00</c:formatCode>
                <c:ptCount val="11"/>
                <c:pt idx="0">
                  <c:v>77.576837366250018</c:v>
                </c:pt>
                <c:pt idx="1">
                  <c:v>86.576900919609557</c:v>
                </c:pt>
                <c:pt idx="2">
                  <c:v>89.905231963206248</c:v>
                </c:pt>
                <c:pt idx="3">
                  <c:v>91.547207311763444</c:v>
                </c:pt>
                <c:pt idx="4">
                  <c:v>92.463563971064318</c:v>
                </c:pt>
                <c:pt idx="5">
                  <c:v>93.002175649502476</c:v>
                </c:pt>
                <c:pt idx="6">
                  <c:v>93.319521718655636</c:v>
                </c:pt>
                <c:pt idx="7">
                  <c:v>93.496395445217175</c:v>
                </c:pt>
                <c:pt idx="8">
                  <c:v>93.578724721100485</c:v>
                </c:pt>
                <c:pt idx="9">
                  <c:v>93.594545575023162</c:v>
                </c:pt>
                <c:pt idx="10">
                  <c:v>91.330355949470459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AF-4F97-BD0E-BB9E5139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55151"/>
        <c:axId val="1097495839"/>
        <c:extLst/>
      </c:scatterChart>
      <c:scatterChart>
        <c:scatterStyle val="lineMarker"/>
        <c:varyColors val="0"/>
        <c:ser>
          <c:idx val="4"/>
          <c:order val="4"/>
          <c:tx>
            <c:strRef>
              <c:f>Results!$G$21</c:f>
              <c:strCache>
                <c:ptCount val="1"/>
                <c:pt idx="0">
                  <c:v>I/A -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816198657852513E-2"/>
                  <c:y val="-0.110220456509030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AF-4F97-BD0E-BB9E5139E0B5}"/>
                </c:ext>
              </c:extLst>
            </c:dLbl>
            <c:dLbl>
              <c:idx val="1"/>
              <c:layout>
                <c:manualLayout>
                  <c:x val="3.975352812562119E-2"/>
                  <c:y val="-3.40100530503268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7F-4C92-B49D-55040184774B}"/>
                </c:ext>
              </c:extLst>
            </c:dLbl>
            <c:dLbl>
              <c:idx val="2"/>
              <c:layout>
                <c:manualLayout>
                  <c:x val="3.3127940104684291E-2"/>
                  <c:y val="-5.87446370869282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7F-4C92-B49D-55040184774B}"/>
                </c:ext>
              </c:extLst>
            </c:dLbl>
            <c:dLbl>
              <c:idx val="3"/>
              <c:layout>
                <c:manualLayout>
                  <c:x val="-0.14576293646061095"/>
                  <c:y val="-6.18364600915034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7F-4C92-B49D-5504018477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Results!$B$22:$B$25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</c:numCache>
            </c:numRef>
          </c:xVal>
          <c:yVal>
            <c:numRef>
              <c:f>Results!$G$22:$G$25</c:f>
              <c:numCache>
                <c:formatCode>0.00</c:formatCode>
                <c:ptCount val="4"/>
                <c:pt idx="0">
                  <c:v>2</c:v>
                </c:pt>
                <c:pt idx="1">
                  <c:v>2.3491284806679094</c:v>
                </c:pt>
                <c:pt idx="2">
                  <c:v>1.6610846785587303</c:v>
                </c:pt>
                <c:pt idx="3">
                  <c:v>1.0505621941308492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AAF-4F97-BD0E-BB9E5139E0B5}"/>
            </c:ext>
          </c:extLst>
        </c:ser>
        <c:ser>
          <c:idx val="5"/>
          <c:order val="5"/>
          <c:tx>
            <c:strRef>
              <c:f>Results!$H$21</c:f>
              <c:strCache>
                <c:ptCount val="1"/>
                <c:pt idx="0">
                  <c:v>I/A -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505841603691739E-2"/>
                  <c:y val="0.152869684589045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7F-4C92-B49D-55040184774B}"/>
                </c:ext>
              </c:extLst>
            </c:dLbl>
            <c:dLbl>
              <c:idx val="1"/>
              <c:layout>
                <c:manualLayout>
                  <c:x val="-1.9929193793749848E-2"/>
                  <c:y val="7.58151955155043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7F-4C92-B49D-55040184774B}"/>
                </c:ext>
              </c:extLst>
            </c:dLbl>
            <c:dLbl>
              <c:idx val="2"/>
              <c:layout>
                <c:manualLayout>
                  <c:x val="8.8026283953467031E-3"/>
                  <c:y val="6.87362115773324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7F-4C92-B49D-55040184774B}"/>
                </c:ext>
              </c:extLst>
            </c:dLbl>
            <c:dLbl>
              <c:idx val="3"/>
              <c:layout>
                <c:manualLayout>
                  <c:x val="-0.15459705382186004"/>
                  <c:y val="6.49282830960784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7F-4C92-B49D-55040184774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Results!$B$22:$B$25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</c:numCache>
            </c:numRef>
          </c:xVal>
          <c:yVal>
            <c:numRef>
              <c:f>Results!$H$22:$H$25</c:f>
              <c:numCache>
                <c:formatCode>0.00</c:formatCode>
                <c:ptCount val="4"/>
                <c:pt idx="0">
                  <c:v>2</c:v>
                </c:pt>
                <c:pt idx="1">
                  <c:v>1.4204298618777522</c:v>
                </c:pt>
                <c:pt idx="2">
                  <c:v>1.0260893106289066</c:v>
                </c:pt>
                <c:pt idx="3">
                  <c:v>0.66492408096269495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F-4C92-B49D-55040184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97872"/>
        <c:axId val="1448590432"/>
      </c:scatterChart>
      <c:valAx>
        <c:axId val="1099155151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Output Current (A)</a:t>
                </a:r>
              </a:p>
            </c:rich>
          </c:tx>
          <c:layout>
            <c:manualLayout>
              <c:xMode val="edge"/>
              <c:yMode val="edge"/>
              <c:x val="0.36126096939134844"/>
              <c:y val="0.80860300968276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7495839"/>
        <c:crosses val="autoZero"/>
        <c:crossBetween val="midCat"/>
        <c:majorUnit val="25"/>
        <c:minorUnit val="5"/>
      </c:valAx>
      <c:valAx>
        <c:axId val="10974958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Efficincy (%)</a:t>
                </a:r>
              </a:p>
            </c:rich>
          </c:tx>
          <c:layout>
            <c:manualLayout>
              <c:xMode val="edge"/>
              <c:yMode val="edge"/>
              <c:x val="7.4332268859621659E-3"/>
              <c:y val="0.25245459258015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9155151"/>
        <c:crosses val="autoZero"/>
        <c:crossBetween val="midCat"/>
      </c:valAx>
      <c:valAx>
        <c:axId val="1448590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baseline="0"/>
                  <a:t> VR Current density (A/mm</a:t>
                </a:r>
                <a:r>
                  <a:rPr lang="en-US" sz="1600" b="1" baseline="30000"/>
                  <a:t>2</a:t>
                </a:r>
                <a:r>
                  <a:rPr lang="en-US" sz="1600" b="1" baseline="0"/>
                  <a:t>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9453272106959435"/>
              <c:y val="7.51061417835716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8597872"/>
        <c:crosses val="max"/>
        <c:crossBetween val="midCat"/>
      </c:valAx>
      <c:valAx>
        <c:axId val="144859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5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633090522009569E-3"/>
          <c:y val="0.86426618547681544"/>
          <c:w val="0.99084098619704508"/>
          <c:h val="0.11867414839143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3349625853077"/>
          <c:y val="4.9497180213622226E-2"/>
          <c:w val="0.81174735514099172"/>
          <c:h val="0.67512101068888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Results!$D$21</c:f>
              <c:strCache>
                <c:ptCount val="1"/>
                <c:pt idx="0">
                  <c:v>Passive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Results!$B$22:$B$25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</c:numCache>
            </c:numRef>
          </c:xVal>
          <c:yVal>
            <c:numRef>
              <c:f>Results!$D$22:$D$25</c:f>
              <c:numCache>
                <c:formatCode>0.00</c:formatCode>
                <c:ptCount val="4"/>
                <c:pt idx="0">
                  <c:v>33.333333333333336</c:v>
                </c:pt>
                <c:pt idx="1">
                  <c:v>41.666666666666671</c:v>
                </c:pt>
                <c:pt idx="2">
                  <c:v>45.63492063492064</c:v>
                </c:pt>
                <c:pt idx="3">
                  <c:v>48.111837327523595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A-49AC-BB15-AFBB7083DAFD}"/>
            </c:ext>
          </c:extLst>
        </c:ser>
        <c:ser>
          <c:idx val="1"/>
          <c:order val="1"/>
          <c:tx>
            <c:strRef>
              <c:f>Results!$F$21</c:f>
              <c:strCache>
                <c:ptCount val="1"/>
                <c:pt idx="0">
                  <c:v>PPDN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Results!$B$22:$B$25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</c:numCache>
            </c:numRef>
          </c:xVal>
          <c:yVal>
            <c:numRef>
              <c:f>Results!$F$22:$F$25</c:f>
              <c:numCache>
                <c:formatCode>0.00</c:formatCode>
                <c:ptCount val="4"/>
                <c:pt idx="0">
                  <c:v>6.4363577659856901</c:v>
                </c:pt>
                <c:pt idx="1">
                  <c:v>14.851771632733758</c:v>
                </c:pt>
                <c:pt idx="2">
                  <c:v>29.703543265467516</c:v>
                </c:pt>
                <c:pt idx="3">
                  <c:v>91.176905093347457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A-49AC-BB15-AFBB7083DAFD}"/>
            </c:ext>
          </c:extLst>
        </c:ser>
        <c:ser>
          <c:idx val="2"/>
          <c:order val="2"/>
          <c:tx>
            <c:strRef>
              <c:f>Results!$J$21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Results!$B$22:$B$25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</c:numCache>
            </c:numRef>
          </c:xVal>
          <c:yVal>
            <c:numRef>
              <c:f>Results!$J$22:$J$25</c:f>
              <c:numCache>
                <c:formatCode>0.00</c:formatCode>
                <c:ptCount val="4"/>
                <c:pt idx="0">
                  <c:v>147.2370626492976</c:v>
                </c:pt>
                <c:pt idx="1">
                  <c:v>131.81108219819356</c:v>
                </c:pt>
                <c:pt idx="2">
                  <c:v>135.21262649020457</c:v>
                </c:pt>
                <c:pt idx="3">
                  <c:v>186.10310964384894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DA-49AC-BB15-AFBB7083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79551"/>
        <c:axId val="1127062159"/>
      </c:scatterChart>
      <c:scatterChart>
        <c:scatterStyle val="smoothMarker"/>
        <c:varyColors val="0"/>
        <c:ser>
          <c:idx val="5"/>
          <c:order val="5"/>
          <c:tx>
            <c:strRef>
              <c:f>Results!$E$21</c:f>
              <c:strCache>
                <c:ptCount val="1"/>
                <c:pt idx="0">
                  <c:v>Active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Results!$B$22:$B$25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</c:numCache>
            </c:numRef>
          </c:xVal>
          <c:yVal>
            <c:numRef>
              <c:f>Results!$E$22:$E$25</c:f>
              <c:numCache>
                <c:formatCode>0.00</c:formatCode>
                <c:ptCount val="4"/>
                <c:pt idx="0">
                  <c:v>107.46737154997857</c:v>
                </c:pt>
                <c:pt idx="1">
                  <c:v>75.292643898793131</c:v>
                </c:pt>
                <c:pt idx="2">
                  <c:v>59.8741625898164</c:v>
                </c:pt>
                <c:pt idx="3">
                  <c:v>46.814367222977893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2-4B53-BC39-F6C3E1C5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66623"/>
        <c:axId val="112705223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Results!$G$21</c15:sqref>
                        </c15:formulaRef>
                      </c:ext>
                    </c:extLst>
                    <c:strCache>
                      <c:ptCount val="1"/>
                      <c:pt idx="0">
                        <c:v>I/A - Max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8"/>
                  <c:spPr>
                    <a:noFill/>
                    <a:ln w="222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dPt>
                  <c:idx val="3"/>
                  <c:marker>
                    <c:symbol val="star"/>
                    <c:size val="8"/>
                    <c:spPr>
                      <a:noFill/>
                      <a:ln w="22225">
                        <a:solidFill>
                          <a:schemeClr val="accent6">
                            <a:lumMod val="75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chemeClr val="accent6">
                          <a:lumMod val="7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C0DA-49AC-BB15-AFBB7083DAFD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Results!$B$22:$B$25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Results!$G$22:$G$25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2</c:v>
                      </c:pt>
                      <c:pt idx="1">
                        <c:v>2.3491284806679094</c:v>
                      </c:pt>
                      <c:pt idx="2">
                        <c:v>1.6610846785587303</c:v>
                      </c:pt>
                      <c:pt idx="3">
                        <c:v>1.0505621941308492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0DA-49AC-BB15-AFBB7083DAF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Results!$H$21</c15:sqref>
                        </c15:formulaRef>
                      </c:ext>
                    </c:extLst>
                    <c:strCache>
                      <c:ptCount val="1"/>
                      <c:pt idx="0">
                        <c:v>I/A - Min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8"/>
                  <c:spPr>
                    <a:noFill/>
                    <a:ln w="222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Results!$B$22:$B$25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Results!$H$22:$H$25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2</c:v>
                      </c:pt>
                      <c:pt idx="1">
                        <c:v>1.4204298618777522</c:v>
                      </c:pt>
                      <c:pt idx="2">
                        <c:v>1.0260893106289066</c:v>
                      </c:pt>
                      <c:pt idx="3">
                        <c:v>0.66492408096269495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A-4ED2-BCE1-C8BB5E5FA748}"/>
                  </c:ext>
                </c:extLst>
              </c15:ser>
            </c15:filteredScatterSeries>
          </c:ext>
        </c:extLst>
      </c:scatterChart>
      <c:valAx>
        <c:axId val="852579551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Output</a:t>
                </a:r>
                <a:r>
                  <a:rPr lang="en-US" sz="1600" b="1" baseline="0"/>
                  <a:t> current per VR (A)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32454497635007906"/>
              <c:y val="0.81413233671877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7062159"/>
        <c:crosses val="autoZero"/>
        <c:crossBetween val="midCat"/>
        <c:majorUnit val="15"/>
      </c:valAx>
      <c:valAx>
        <c:axId val="1127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Power</a:t>
                </a:r>
                <a:r>
                  <a:rPr lang="en-US" sz="1600" b="1" baseline="0"/>
                  <a:t> loss (W)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2579551"/>
        <c:crosses val="autoZero"/>
        <c:crossBetween val="midCat"/>
      </c:valAx>
      <c:valAx>
        <c:axId val="1127052239"/>
        <c:scaling>
          <c:orientation val="minMax"/>
          <c:max val="4"/>
          <c:min val="0.5"/>
        </c:scaling>
        <c:delete val="1"/>
        <c:axPos val="r"/>
        <c:numFmt formatCode="0.0" sourceLinked="0"/>
        <c:majorTickMark val="out"/>
        <c:minorTickMark val="in"/>
        <c:tickLblPos val="nextTo"/>
        <c:crossAx val="1127066623"/>
        <c:crosses val="max"/>
        <c:crossBetween val="midCat"/>
      </c:valAx>
      <c:valAx>
        <c:axId val="112706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05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136107482726389E-3"/>
          <c:y val="0.90040024481931069"/>
          <c:w val="0.99390337112709737"/>
          <c:h val="6.5527242365139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382127</xdr:colOff>
      <xdr:row>13</xdr:row>
      <xdr:rowOff>104659</xdr:rowOff>
    </xdr:from>
    <xdr:to>
      <xdr:col>21</xdr:col>
      <xdr:colOff>294498</xdr:colOff>
      <xdr:row>38</xdr:row>
      <xdr:rowOff>132793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A5E38-17C9-52C3-BF4E-0E09F8DD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760716</xdr:colOff>
      <xdr:row>14</xdr:row>
      <xdr:rowOff>54756</xdr:rowOff>
    </xdr:from>
    <xdr:to>
      <xdr:col>20</xdr:col>
      <xdr:colOff>466612</xdr:colOff>
      <xdr:row>33</xdr:row>
      <xdr:rowOff>138629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F83C9-9007-4157-A5EF-ED68BCC49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314638</xdr:colOff>
      <xdr:row>21</xdr:row>
      <xdr:rowOff>224693</xdr:rowOff>
    </xdr:from>
    <xdr:to>
      <xdr:col>22</xdr:col>
      <xdr:colOff>469447</xdr:colOff>
      <xdr:row>48</xdr:row>
      <xdr:rowOff>164522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96D90-EC27-4E38-91D4-CDFD9BD40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219839</xdr:colOff>
      <xdr:row>44</xdr:row>
      <xdr:rowOff>55368</xdr:rowOff>
    </xdr:from>
    <xdr:to>
      <xdr:col>20</xdr:col>
      <xdr:colOff>114546</xdr:colOff>
      <xdr:row>66</xdr:row>
      <xdr:rowOff>323165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1BDFC55-BDA7-48CF-9CD1-A946F5C679D2}"/>
            </a:ext>
          </a:extLst>
        </xdr:cNvPr>
        <xdr:cNvGrpSpPr/>
      </xdr:nvGrpSpPr>
      <xdr:grpSpPr>
        <a:xfrm>
          <a:off x="11003586" y="9633419"/>
          <a:ext cx="5122606" cy="4482911"/>
          <a:chOff x="13615501" y="4943055"/>
          <a:chExt cx="5126434" cy="448179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44055A5-C3B6-E9DC-72ED-85A087299BD4}"/>
              </a:ext>
            </a:extLst>
          </xdr:cNvPr>
          <xdr:cNvGraphicFramePr>
            <a:graphicFrameLocks/>
          </xdr:cNvGraphicFramePr>
        </xdr:nvGraphicFramePr>
        <xdr:xfrm>
          <a:off x="13615501" y="4943055"/>
          <a:ext cx="5126434" cy="44817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0E28890-6F12-1DB4-F681-ED851BEB56E2}"/>
              </a:ext>
            </a:extLst>
          </xdr:cNvPr>
          <xdr:cNvSpPr txBox="1"/>
        </xdr:nvSpPr>
        <xdr:spPr>
          <a:xfrm>
            <a:off x="13761176" y="4950823"/>
            <a:ext cx="4919798" cy="254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GaN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FeTs' width optimized for Iout = 25A, Vin = 48V, Vout =1V</a:t>
            </a:r>
          </a:p>
          <a:p>
            <a:pPr lvl="1"/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185972</xdr:colOff>
      <xdr:row>42</xdr:row>
      <xdr:rowOff>42334</xdr:rowOff>
    </xdr:from>
    <xdr:to>
      <xdr:col>20</xdr:col>
      <xdr:colOff>744711</xdr:colOff>
      <xdr:row>64</xdr:row>
      <xdr:rowOff>108753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6B49-CD10-4174-94D2-E4A9EF7A1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219839</xdr:colOff>
      <xdr:row>44</xdr:row>
      <xdr:rowOff>55368</xdr:rowOff>
    </xdr:from>
    <xdr:to>
      <xdr:col>20</xdr:col>
      <xdr:colOff>114546</xdr:colOff>
      <xdr:row>66</xdr:row>
      <xdr:rowOff>323165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3E5688C-BB70-4997-B4FF-2E4FF1BE3CE4}"/>
            </a:ext>
          </a:extLst>
        </xdr:cNvPr>
        <xdr:cNvGrpSpPr/>
      </xdr:nvGrpSpPr>
      <xdr:grpSpPr>
        <a:xfrm>
          <a:off x="10980972" y="9775101"/>
          <a:ext cx="5135574" cy="4560397"/>
          <a:chOff x="13615501" y="4943055"/>
          <a:chExt cx="5126434" cy="448179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9094C05-31D5-B958-EBA3-33951CE45D6F}"/>
              </a:ext>
            </a:extLst>
          </xdr:cNvPr>
          <xdr:cNvGraphicFramePr>
            <a:graphicFrameLocks/>
          </xdr:cNvGraphicFramePr>
        </xdr:nvGraphicFramePr>
        <xdr:xfrm>
          <a:off x="13615501" y="4943055"/>
          <a:ext cx="5126434" cy="44817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75087D0D-26D3-EF68-46F4-37AAE5DCD9FC}"/>
              </a:ext>
            </a:extLst>
          </xdr:cNvPr>
          <xdr:cNvSpPr txBox="1"/>
        </xdr:nvSpPr>
        <xdr:spPr>
          <a:xfrm>
            <a:off x="13761176" y="4950823"/>
            <a:ext cx="4919798" cy="254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GaN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FeTs' width optimized for Iout = 25A, Vin = 48V, Vout =1V</a:t>
            </a:r>
          </a:p>
          <a:p>
            <a:pPr lvl="1"/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219839</xdr:colOff>
      <xdr:row>44</xdr:row>
      <xdr:rowOff>55368</xdr:rowOff>
    </xdr:from>
    <xdr:to>
      <xdr:col>20</xdr:col>
      <xdr:colOff>114546</xdr:colOff>
      <xdr:row>66</xdr:row>
      <xdr:rowOff>323165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5953F1-8756-44D5-AC13-1B4B1D7DBE61}"/>
            </a:ext>
          </a:extLst>
        </xdr:cNvPr>
        <xdr:cNvGrpSpPr/>
      </xdr:nvGrpSpPr>
      <xdr:grpSpPr>
        <a:xfrm>
          <a:off x="11025550" y="9667585"/>
          <a:ext cx="5127719" cy="4500110"/>
          <a:chOff x="13615501" y="4943055"/>
          <a:chExt cx="5126434" cy="448179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8EF2094-5BA6-B6D7-F59D-DB5721649977}"/>
              </a:ext>
            </a:extLst>
          </xdr:cNvPr>
          <xdr:cNvGraphicFramePr>
            <a:graphicFrameLocks/>
          </xdr:cNvGraphicFramePr>
        </xdr:nvGraphicFramePr>
        <xdr:xfrm>
          <a:off x="13615501" y="4943055"/>
          <a:ext cx="5126434" cy="44817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654110C-98B7-7821-8E31-521B0C1BAD6A}"/>
              </a:ext>
            </a:extLst>
          </xdr:cNvPr>
          <xdr:cNvSpPr txBox="1"/>
        </xdr:nvSpPr>
        <xdr:spPr>
          <a:xfrm>
            <a:off x="13761176" y="4950823"/>
            <a:ext cx="4919798" cy="254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GaN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FeTs' width optimized for Iout = 25A, Vin = 48V, Vout =1V</a:t>
            </a:r>
          </a:p>
          <a:p>
            <a:pPr lvl="1"/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75608</xdr:colOff>
      <xdr:row>0</xdr:row>
      <xdr:rowOff>9407</xdr:rowOff>
    </xdr:from>
    <xdr:to>
      <xdr:col>22</xdr:col>
      <xdr:colOff>332995</xdr:colOff>
      <xdr:row>20</xdr:row>
      <xdr:rowOff>85795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30C80-79F5-A4EA-514E-FE72B9CB2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332579</xdr:colOff>
      <xdr:row>29</xdr:row>
      <xdr:rowOff>136994</xdr:rowOff>
    </xdr:from>
    <xdr:to>
      <xdr:col>10</xdr:col>
      <xdr:colOff>47908</xdr:colOff>
      <xdr:row>53</xdr:row>
      <xdr:rowOff>53456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B13C7-8A9B-F5ED-7B7C-96B497E3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610062</xdr:colOff>
      <xdr:row>30</xdr:row>
      <xdr:rowOff>50501</xdr:rowOff>
    </xdr:from>
    <xdr:to>
      <xdr:col>22</xdr:col>
      <xdr:colOff>152626</xdr:colOff>
      <xdr:row>54</xdr:row>
      <xdr:rowOff>26438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3F9D84-85A2-EDCF-4CF8-B60589B7D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92B4-59A6-479C-9058-105FC0761913}">
  <dimension ref="A1:AG41"/>
  <sheetViews>
    <sheetView topLeftCell="B12" zoomScale="84" workbookViewId="0">
      <selection activeCell="E8" sqref="E8"/>
    </sheetView>
  </sheetViews>
  <sheetFormatPr defaultRowHeight="13.8" x14ac:dyDescent="0.3"/>
  <cols>
    <col min="1" max="1" width="11.5546875" style="48" customWidth="1"/>
    <col min="2" max="2" width="17.44140625" style="48" customWidth="1"/>
    <col min="3" max="3" width="10.77734375" style="48" customWidth="1"/>
    <col min="4" max="4" width="12.21875" style="48" customWidth="1"/>
    <col min="5" max="5" width="19.77734375" style="48" customWidth="1"/>
    <col min="6" max="6" width="9.33203125" style="48" customWidth="1"/>
    <col min="7" max="11" width="10.77734375" style="48" customWidth="1"/>
    <col min="12" max="12" width="10.6640625" style="48" customWidth="1"/>
    <col min="13" max="13" width="10.88671875" style="48" customWidth="1"/>
    <col min="14" max="14" width="12.6640625" style="48" bestFit="1" customWidth="1"/>
    <col min="15" max="15" width="14.6640625" style="48" bestFit="1" customWidth="1"/>
    <col min="16" max="16" width="10.21875" style="48" customWidth="1"/>
    <col min="17" max="17" width="13.44140625" style="48" bestFit="1" customWidth="1"/>
    <col min="18" max="19" width="12.6640625" style="48" customWidth="1"/>
    <col min="20" max="20" width="12.5546875" style="48" bestFit="1" customWidth="1"/>
    <col min="21" max="21" width="12.6640625" style="48" bestFit="1" customWidth="1"/>
    <col min="22" max="22" width="11.21875" style="48" customWidth="1"/>
    <col min="23" max="23" width="9.6640625" style="48" bestFit="1" customWidth="1"/>
    <col min="24" max="24" width="11.88671875" style="48" bestFit="1" customWidth="1"/>
    <col min="25" max="25" width="9.21875" style="48" bestFit="1" customWidth="1"/>
    <col min="26" max="26" width="9.77734375" style="48" customWidth="1"/>
    <col min="27" max="27" width="9.6640625" style="48" bestFit="1" customWidth="1"/>
    <col min="28" max="29" width="9.33203125" style="48" bestFit="1" customWidth="1"/>
    <col min="30" max="30" width="9.6640625" style="48" bestFit="1" customWidth="1"/>
    <col min="31" max="31" width="9.33203125" style="48" bestFit="1" customWidth="1"/>
    <col min="32" max="32" width="9.6640625" style="48" bestFit="1" customWidth="1"/>
    <col min="33" max="34" width="9.33203125" style="48" bestFit="1" customWidth="1"/>
    <col min="35" max="35" width="9.6640625" style="48" bestFit="1" customWidth="1"/>
    <col min="36" max="36" width="10.44140625" style="48" bestFit="1" customWidth="1"/>
    <col min="37" max="38" width="9.6640625" style="48" bestFit="1" customWidth="1"/>
    <col min="39" max="39" width="10.109375" style="48" customWidth="1"/>
    <col min="40" max="41" width="9.44140625" style="48" bestFit="1" customWidth="1"/>
    <col min="42" max="42" width="12.109375" style="48" bestFit="1" customWidth="1"/>
    <col min="43" max="43" width="9.44140625" style="48" bestFit="1" customWidth="1"/>
    <col min="44" max="44" width="12.44140625" style="48" bestFit="1" customWidth="1"/>
    <col min="45" max="45" width="10.77734375" style="48" customWidth="1"/>
    <col min="46" max="16384" width="8.88671875" style="48"/>
  </cols>
  <sheetData>
    <row r="1" spans="1:33" s="57" customFormat="1" ht="61.2" customHeight="1" thickBot="1" x14ac:dyDescent="0.35">
      <c r="A1" s="60" t="s">
        <v>52</v>
      </c>
      <c r="B1" s="60" t="s">
        <v>109</v>
      </c>
      <c r="C1" s="61" t="s">
        <v>67</v>
      </c>
      <c r="D1" s="61" t="s">
        <v>68</v>
      </c>
      <c r="E1" s="61" t="s">
        <v>65</v>
      </c>
      <c r="F1" s="61" t="s">
        <v>66</v>
      </c>
      <c r="G1" s="61" t="s">
        <v>11</v>
      </c>
      <c r="H1" s="61" t="s">
        <v>45</v>
      </c>
      <c r="I1" s="61" t="s">
        <v>46</v>
      </c>
      <c r="J1" s="61" t="s">
        <v>47</v>
      </c>
      <c r="K1" s="61" t="s">
        <v>21</v>
      </c>
      <c r="L1" s="61" t="s">
        <v>19</v>
      </c>
      <c r="M1" s="61" t="s">
        <v>18</v>
      </c>
      <c r="N1" s="62" t="s">
        <v>20</v>
      </c>
      <c r="O1" s="60" t="s">
        <v>107</v>
      </c>
      <c r="P1" s="60" t="s">
        <v>4</v>
      </c>
      <c r="Q1" s="60" t="s">
        <v>108</v>
      </c>
      <c r="AA1" s="63"/>
      <c r="AG1" s="64"/>
    </row>
    <row r="2" spans="1:33" ht="27.6" x14ac:dyDescent="0.3">
      <c r="A2" s="48">
        <v>10</v>
      </c>
      <c r="B2" s="57" t="s">
        <v>106</v>
      </c>
      <c r="C2" s="49">
        <f>Loss_model!F2/0.000001</f>
        <v>2.1349999999999999E-4</v>
      </c>
      <c r="D2" s="49">
        <f>Loss_model!C2/0.000001</f>
        <v>1.5000000000000001E-4</v>
      </c>
      <c r="E2" s="49"/>
      <c r="F2" s="48">
        <v>5</v>
      </c>
      <c r="G2" s="50">
        <v>2.13</v>
      </c>
      <c r="H2" s="50">
        <v>2.5</v>
      </c>
      <c r="I2" s="50">
        <v>0.4</v>
      </c>
      <c r="J2" s="50">
        <v>0.7</v>
      </c>
      <c r="K2" s="49">
        <v>500000</v>
      </c>
      <c r="L2" s="51">
        <v>12</v>
      </c>
      <c r="M2" s="51">
        <v>1</v>
      </c>
      <c r="N2" s="52">
        <f>M2/L2</f>
        <v>8.3333333333333329E-2</v>
      </c>
      <c r="P2" s="49"/>
      <c r="Q2" s="49">
        <f>67.4</f>
        <v>67.400000000000006</v>
      </c>
    </row>
    <row r="3" spans="1:33" x14ac:dyDescent="0.3">
      <c r="C3" s="49"/>
      <c r="D3" s="49"/>
      <c r="E3" s="49"/>
      <c r="G3" s="50"/>
      <c r="H3" s="50"/>
      <c r="I3" s="50"/>
      <c r="J3" s="50"/>
      <c r="K3" s="49"/>
      <c r="N3" s="52"/>
      <c r="O3" s="49"/>
      <c r="P3" s="49"/>
    </row>
    <row r="4" spans="1:33" x14ac:dyDescent="0.3">
      <c r="C4" s="49"/>
      <c r="D4" s="49"/>
      <c r="E4" s="49"/>
      <c r="G4" s="50"/>
      <c r="H4" s="50"/>
      <c r="I4" s="50"/>
      <c r="J4" s="50"/>
      <c r="K4" s="49"/>
      <c r="N4" s="52"/>
      <c r="O4" s="50"/>
    </row>
    <row r="5" spans="1:33" x14ac:dyDescent="0.3">
      <c r="C5" s="49"/>
      <c r="D5" s="49"/>
      <c r="E5" s="49"/>
      <c r="G5" s="50"/>
      <c r="H5" s="50"/>
      <c r="I5" s="50"/>
      <c r="J5" s="50"/>
      <c r="K5" s="49"/>
      <c r="N5" s="52"/>
      <c r="O5" s="50"/>
    </row>
    <row r="6" spans="1:33" x14ac:dyDescent="0.3">
      <c r="C6" s="49"/>
      <c r="D6" s="49"/>
      <c r="E6" s="49"/>
      <c r="G6" s="50"/>
      <c r="H6" s="50"/>
      <c r="I6" s="50"/>
      <c r="J6" s="50"/>
      <c r="N6" s="52"/>
      <c r="O6" s="50"/>
    </row>
    <row r="7" spans="1:33" x14ac:dyDescent="0.3">
      <c r="C7" s="49"/>
      <c r="D7" s="49"/>
      <c r="E7" s="49"/>
      <c r="G7" s="50"/>
      <c r="H7" s="50"/>
      <c r="I7" s="50"/>
      <c r="J7" s="50"/>
      <c r="N7" s="52"/>
      <c r="O7" s="50"/>
    </row>
    <row r="8" spans="1:33" x14ac:dyDescent="0.3">
      <c r="C8" s="49"/>
      <c r="D8" s="49"/>
      <c r="E8" s="49"/>
      <c r="G8" s="50"/>
      <c r="H8" s="50"/>
      <c r="I8" s="50"/>
      <c r="J8" s="50"/>
      <c r="N8" s="52"/>
      <c r="O8" s="50"/>
    </row>
    <row r="9" spans="1:33" x14ac:dyDescent="0.3">
      <c r="C9" s="49"/>
      <c r="D9" s="49"/>
      <c r="E9" s="49"/>
      <c r="G9" s="50"/>
      <c r="H9" s="50"/>
      <c r="I9" s="50"/>
      <c r="J9" s="50"/>
      <c r="N9" s="52"/>
      <c r="O9" s="50"/>
    </row>
    <row r="10" spans="1:33" x14ac:dyDescent="0.3">
      <c r="C10" s="49"/>
      <c r="D10" s="49"/>
      <c r="E10" s="49"/>
      <c r="G10" s="50"/>
      <c r="H10" s="50"/>
      <c r="I10" s="50"/>
      <c r="J10" s="50"/>
      <c r="N10" s="52"/>
      <c r="O10" s="50"/>
    </row>
    <row r="13" spans="1:33" ht="14.4" thickBot="1" x14ac:dyDescent="0.35"/>
    <row r="14" spans="1:33" ht="14.4" thickBot="1" x14ac:dyDescent="0.35">
      <c r="A14" s="60" t="s">
        <v>85</v>
      </c>
      <c r="B14" s="60" t="s">
        <v>86</v>
      </c>
      <c r="C14" s="60" t="s">
        <v>21</v>
      </c>
      <c r="D14" s="60" t="s">
        <v>48</v>
      </c>
      <c r="E14" s="60" t="s">
        <v>87</v>
      </c>
      <c r="F14" s="60" t="s">
        <v>9</v>
      </c>
      <c r="G14" s="60" t="s">
        <v>80</v>
      </c>
      <c r="H14" s="55" t="s">
        <v>88</v>
      </c>
      <c r="I14" s="55" t="s">
        <v>89</v>
      </c>
      <c r="J14" s="55" t="s">
        <v>90</v>
      </c>
      <c r="K14" s="55" t="s">
        <v>102</v>
      </c>
    </row>
    <row r="15" spans="1:33" x14ac:dyDescent="0.3">
      <c r="A15" s="51">
        <v>10</v>
      </c>
      <c r="B15" s="48">
        <v>12</v>
      </c>
      <c r="C15" s="49">
        <v>500000</v>
      </c>
      <c r="D15" s="50">
        <f>($F$2-0.5*($G$2+$H$2))/($I$2+$J$2)</f>
        <v>2.4409090909090909</v>
      </c>
      <c r="E15" s="49">
        <f>(A15/(B15))*SQRT(1/(C15*($F$2-$G$2)*$Q$2*((A15/D15)*$C$2+($D$2/(2))+($F$2^2/B15^2)*$C$2)))</f>
        <v>2.6975000969442571E-3</v>
      </c>
      <c r="F15" s="49">
        <v>1.6999999999999999E-3</v>
      </c>
      <c r="G15" s="49">
        <f>(1/($Q$2*(E15/F15)*($F$2-$G$2)))</f>
        <v>3.257959334177832E-3</v>
      </c>
      <c r="H15" s="49">
        <f>($C$2*E15*F15*B15)</f>
        <v>1.1748691922231016E-8</v>
      </c>
      <c r="I15" s="49">
        <f>$C$2*E15*F15*$F$2</f>
        <v>4.89528830092959E-9</v>
      </c>
      <c r="J15" s="49">
        <f>$D$2*E15*F15*B15*1000000</f>
        <v>8.2543502966494278E-3</v>
      </c>
      <c r="K15" s="49">
        <f t="shared" ref="K15:K23" si="0">(2*A15*F15)/($Q$2*($F$2-$G$2)^2)</f>
        <v>6.1242826618711829E-5</v>
      </c>
      <c r="L15" s="49">
        <f>E15/K15</f>
        <v>44.045976416772319</v>
      </c>
      <c r="M15" s="49"/>
    </row>
    <row r="16" spans="1:33" x14ac:dyDescent="0.3">
      <c r="A16" s="51">
        <v>15</v>
      </c>
      <c r="B16" s="48">
        <v>12</v>
      </c>
      <c r="C16" s="49">
        <v>500000</v>
      </c>
      <c r="D16" s="50">
        <f t="shared" ref="D16:D23" si="1">($F$2-0.5*($G$2+$H$2))/($I$2+$J$2)</f>
        <v>2.4409090909090909</v>
      </c>
      <c r="E16" s="49">
        <f>(A16/(B16))*SQRT(1/(C16*($F$2-$G$2)*$Q$2*((A16/D16)*$C$2+($D$2/(2))+($F$2^2/B16^2)*$C$2)))</f>
        <v>3.3681184463121672E-3</v>
      </c>
      <c r="F16" s="49">
        <v>1.6999999999999999E-3</v>
      </c>
      <c r="G16" s="49">
        <f t="shared" ref="G16:G23" si="2">(1/($Q$2*(E16/F16)*($F$2-$G$2)))</f>
        <v>2.6092745133140189E-3</v>
      </c>
      <c r="H16" s="49">
        <f t="shared" ref="H16:H23" si="3">($C$2*E16*F16*B16)</f>
        <v>1.4669503081068012E-8</v>
      </c>
      <c r="I16" s="49">
        <f t="shared" ref="I16:I23" si="4">$C$2*E16*F16*$F$2</f>
        <v>6.1122929504450053E-9</v>
      </c>
      <c r="J16" s="49">
        <f t="shared" ref="J16:J23" si="5">$D$2*E16*F16*B16*1000000</f>
        <v>1.0306442445715231E-2</v>
      </c>
      <c r="K16" s="49">
        <f t="shared" si="0"/>
        <v>9.1864239928067756E-5</v>
      </c>
      <c r="L16" s="49">
        <f t="shared" ref="L16:L23" si="6">E16/K16</f>
        <v>36.664086579821451</v>
      </c>
      <c r="M16" s="49"/>
    </row>
    <row r="17" spans="1:14" x14ac:dyDescent="0.3">
      <c r="A17" s="51">
        <v>20</v>
      </c>
      <c r="B17" s="48">
        <v>12</v>
      </c>
      <c r="C17" s="49">
        <v>500000</v>
      </c>
      <c r="D17" s="50">
        <f t="shared" si="1"/>
        <v>2.4409090909090909</v>
      </c>
      <c r="E17" s="49">
        <f t="shared" ref="E17:E23" si="7">(A17/(B17))*SQRT(1/(C17*($F$2-$G$2)*$Q$2*((A17/D17)*$C$2+($D$2/(2))+($F$2^2/B17^2)*$C$2)))</f>
        <v>3.9279987338267305E-3</v>
      </c>
      <c r="F17" s="49">
        <v>1.6999999999999999E-3</v>
      </c>
      <c r="G17" s="49">
        <f t="shared" si="2"/>
        <v>2.2373595857102979E-3</v>
      </c>
      <c r="H17" s="49">
        <f t="shared" si="3"/>
        <v>1.7108005685308942E-8</v>
      </c>
      <c r="I17" s="49">
        <f t="shared" si="4"/>
        <v>7.1283357022120585E-9</v>
      </c>
      <c r="J17" s="49">
        <f t="shared" si="5"/>
        <v>1.2019676125509795E-2</v>
      </c>
      <c r="K17" s="49">
        <f t="shared" si="0"/>
        <v>1.2248565323742366E-4</v>
      </c>
      <c r="L17" s="49">
        <f t="shared" si="6"/>
        <v>32.069051599151607</v>
      </c>
      <c r="M17" s="49"/>
    </row>
    <row r="18" spans="1:14" x14ac:dyDescent="0.3">
      <c r="A18" s="51">
        <v>25</v>
      </c>
      <c r="B18" s="48">
        <v>12</v>
      </c>
      <c r="C18" s="49">
        <v>500000</v>
      </c>
      <c r="D18" s="50">
        <f t="shared" si="1"/>
        <v>2.4409090909090909</v>
      </c>
      <c r="E18" s="49">
        <f t="shared" si="7"/>
        <v>4.4183170174114227E-3</v>
      </c>
      <c r="F18" s="49">
        <v>1.6999999999999999E-3</v>
      </c>
      <c r="G18" s="49">
        <f t="shared" si="2"/>
        <v>1.9890708577842186E-3</v>
      </c>
      <c r="H18" s="49">
        <f t="shared" si="3"/>
        <v>1.924353793763371E-8</v>
      </c>
      <c r="I18" s="49">
        <f t="shared" si="4"/>
        <v>8.0181408073473801E-9</v>
      </c>
      <c r="J18" s="49">
        <f t="shared" si="5"/>
        <v>1.3520050073278955E-2</v>
      </c>
      <c r="K18" s="49">
        <f t="shared" si="0"/>
        <v>1.531070665467796E-4</v>
      </c>
      <c r="L18" s="49">
        <f t="shared" si="6"/>
        <v>28.857694925932574</v>
      </c>
      <c r="M18" s="49"/>
    </row>
    <row r="19" spans="1:14" x14ac:dyDescent="0.3">
      <c r="A19" s="51">
        <v>30</v>
      </c>
      <c r="B19" s="48">
        <v>12</v>
      </c>
      <c r="C19" s="49">
        <v>500000</v>
      </c>
      <c r="D19" s="50">
        <f t="shared" si="1"/>
        <v>2.4409090909090909</v>
      </c>
      <c r="E19" s="49">
        <f t="shared" si="7"/>
        <v>4.8598073542681156E-3</v>
      </c>
      <c r="F19" s="49">
        <v>1.6999999999999999E-3</v>
      </c>
      <c r="G19" s="49">
        <f t="shared" si="2"/>
        <v>1.8083732500356836E-3</v>
      </c>
      <c r="H19" s="49">
        <f t="shared" si="3"/>
        <v>2.1166404950779351E-8</v>
      </c>
      <c r="I19" s="49">
        <f t="shared" si="4"/>
        <v>8.8193353961580625E-9</v>
      </c>
      <c r="J19" s="49">
        <f t="shared" si="5"/>
        <v>1.4871010504060434E-2</v>
      </c>
      <c r="K19" s="49">
        <f t="shared" si="0"/>
        <v>1.8372847985613551E-4</v>
      </c>
      <c r="L19" s="49">
        <f t="shared" si="6"/>
        <v>26.45102902975891</v>
      </c>
      <c r="M19" s="49"/>
    </row>
    <row r="20" spans="1:14" x14ac:dyDescent="0.3">
      <c r="A20" s="51">
        <v>35</v>
      </c>
      <c r="B20" s="48">
        <v>12</v>
      </c>
      <c r="C20" s="49">
        <v>500000</v>
      </c>
      <c r="D20" s="50">
        <f t="shared" si="1"/>
        <v>2.4409090909090909</v>
      </c>
      <c r="E20" s="49">
        <f t="shared" si="7"/>
        <v>5.2646166672683297E-3</v>
      </c>
      <c r="F20" s="49">
        <v>1.6999999999999999E-3</v>
      </c>
      <c r="G20" s="49">
        <f t="shared" si="2"/>
        <v>1.669322986880484E-3</v>
      </c>
      <c r="H20" s="49">
        <f t="shared" si="3"/>
        <v>2.2929511432620477E-8</v>
      </c>
      <c r="I20" s="49">
        <f t="shared" si="4"/>
        <v>9.5539630969251998E-9</v>
      </c>
      <c r="J20" s="49">
        <f t="shared" si="5"/>
        <v>1.6109727001841087E-2</v>
      </c>
      <c r="K20" s="49">
        <f t="shared" si="0"/>
        <v>2.1434989316549143E-4</v>
      </c>
      <c r="L20" s="49">
        <f t="shared" si="6"/>
        <v>24.560855102473592</v>
      </c>
      <c r="M20" s="49"/>
    </row>
    <row r="21" spans="1:14" x14ac:dyDescent="0.3">
      <c r="A21" s="51">
        <v>40</v>
      </c>
      <c r="B21" s="48">
        <v>12</v>
      </c>
      <c r="C21" s="49">
        <v>500000</v>
      </c>
      <c r="D21" s="50">
        <f t="shared" si="1"/>
        <v>2.4409090909090909</v>
      </c>
      <c r="E21" s="49">
        <f t="shared" si="7"/>
        <v>5.6405751369418894E-3</v>
      </c>
      <c r="F21" s="49">
        <v>1.6999999999999999E-3</v>
      </c>
      <c r="G21" s="49">
        <f t="shared" si="2"/>
        <v>1.5580584260331057E-3</v>
      </c>
      <c r="H21" s="49">
        <f t="shared" si="3"/>
        <v>2.4566960951436698E-8</v>
      </c>
      <c r="I21" s="49">
        <f t="shared" si="4"/>
        <v>1.0236233729765292E-8</v>
      </c>
      <c r="J21" s="49">
        <f t="shared" si="5"/>
        <v>1.7260159919042183E-2</v>
      </c>
      <c r="K21" s="49">
        <f t="shared" si="0"/>
        <v>2.4497130647484731E-4</v>
      </c>
      <c r="L21" s="49">
        <f t="shared" si="6"/>
        <v>23.025452319743582</v>
      </c>
      <c r="M21" s="49"/>
    </row>
    <row r="22" spans="1:14" x14ac:dyDescent="0.3">
      <c r="A22" s="51">
        <v>45</v>
      </c>
      <c r="B22" s="48">
        <v>12</v>
      </c>
      <c r="C22" s="49">
        <v>500000</v>
      </c>
      <c r="D22" s="50">
        <f t="shared" si="1"/>
        <v>2.4409090909090909</v>
      </c>
      <c r="E22" s="49">
        <f t="shared" si="7"/>
        <v>5.9930759293158036E-3</v>
      </c>
      <c r="F22" s="49">
        <v>1.6999999999999999E-3</v>
      </c>
      <c r="G22" s="49">
        <f t="shared" si="2"/>
        <v>1.4664165319174366E-3</v>
      </c>
      <c r="H22" s="49">
        <f t="shared" si="3"/>
        <v>2.6102242902542043E-8</v>
      </c>
      <c r="I22" s="49">
        <f t="shared" si="4"/>
        <v>1.0875934542725852E-8</v>
      </c>
      <c r="J22" s="49">
        <f t="shared" si="5"/>
        <v>1.8338812343706358E-2</v>
      </c>
      <c r="K22" s="49">
        <f t="shared" si="0"/>
        <v>2.7559271978420328E-4</v>
      </c>
      <c r="L22" s="49">
        <f t="shared" si="6"/>
        <v>21.746132967549173</v>
      </c>
      <c r="M22" s="49"/>
    </row>
    <row r="23" spans="1:14" x14ac:dyDescent="0.3">
      <c r="A23" s="51">
        <v>50</v>
      </c>
      <c r="B23" s="48">
        <v>12</v>
      </c>
      <c r="C23" s="49">
        <v>500000</v>
      </c>
      <c r="D23" s="50">
        <f t="shared" si="1"/>
        <v>2.4409090909090909</v>
      </c>
      <c r="E23" s="49">
        <f t="shared" si="7"/>
        <v>6.3260191271309356E-3</v>
      </c>
      <c r="F23" s="49">
        <v>1.6999999999999999E-3</v>
      </c>
      <c r="G23" s="49">
        <f t="shared" si="2"/>
        <v>1.3892379145826203E-3</v>
      </c>
      <c r="H23" s="49">
        <f t="shared" si="3"/>
        <v>2.7552343706306077E-8</v>
      </c>
      <c r="I23" s="49">
        <f t="shared" si="4"/>
        <v>1.1480143210960865E-8</v>
      </c>
      <c r="J23" s="49">
        <f t="shared" si="5"/>
        <v>1.9357618529020664E-2</v>
      </c>
      <c r="K23" s="49">
        <f t="shared" si="0"/>
        <v>3.062141330935592E-4</v>
      </c>
      <c r="L23" s="49">
        <f t="shared" si="6"/>
        <v>20.658808472429698</v>
      </c>
      <c r="M23" s="49"/>
    </row>
    <row r="25" spans="1:14" x14ac:dyDescent="0.3">
      <c r="A25" s="48" t="s">
        <v>17</v>
      </c>
      <c r="B25" s="50">
        <f>A15</f>
        <v>10</v>
      </c>
    </row>
    <row r="26" spans="1:14" ht="14.4" thickBot="1" x14ac:dyDescent="0.35">
      <c r="A26" s="57"/>
      <c r="B26" s="57"/>
      <c r="C26" s="57"/>
      <c r="E26" s="57"/>
      <c r="F26" s="57"/>
      <c r="G26" s="57"/>
      <c r="H26" s="57"/>
      <c r="I26" s="57"/>
      <c r="J26" s="57"/>
    </row>
    <row r="27" spans="1:14" ht="28.2" thickBot="1" x14ac:dyDescent="0.35">
      <c r="A27" s="60" t="s">
        <v>93</v>
      </c>
      <c r="B27" s="55" t="s">
        <v>8</v>
      </c>
      <c r="C27" s="55" t="s">
        <v>99</v>
      </c>
      <c r="D27" s="55" t="s">
        <v>79</v>
      </c>
      <c r="E27" s="55" t="s">
        <v>91</v>
      </c>
      <c r="F27" s="55" t="s">
        <v>88</v>
      </c>
      <c r="G27" s="55" t="s">
        <v>92</v>
      </c>
      <c r="H27" s="55" t="s">
        <v>89</v>
      </c>
      <c r="I27" s="60" t="s">
        <v>94</v>
      </c>
      <c r="J27" s="60" t="s">
        <v>90</v>
      </c>
      <c r="K27" s="55" t="s">
        <v>95</v>
      </c>
      <c r="L27" s="55" t="s">
        <v>96</v>
      </c>
      <c r="M27" s="60" t="s">
        <v>97</v>
      </c>
      <c r="N27" s="60" t="s">
        <v>98</v>
      </c>
    </row>
    <row r="28" spans="1:14" x14ac:dyDescent="0.3">
      <c r="A28" s="50">
        <v>0.2</v>
      </c>
      <c r="B28" s="49">
        <f t="shared" ref="B28:B35" si="8">A28*$E$15</f>
        <v>5.3950001938885147E-4</v>
      </c>
      <c r="C28" s="50">
        <f t="shared" ref="C28:C35" si="9">0.5*$Q$2*(B28/$F$15)*($F$2-$G$2)^2</f>
        <v>88.09195283354461</v>
      </c>
      <c r="D28" s="49">
        <f>(1/($Q$2*(B28/$F$15)*($F$2-$G$2)))</f>
        <v>1.6289796670889159E-2</v>
      </c>
      <c r="E28" s="52">
        <f>$A$15^2*D28</f>
        <v>1.6289796670889158</v>
      </c>
      <c r="F28" s="49">
        <f>($C$2*B28*$F$15*$B$15)</f>
        <v>2.3497383844462033E-9</v>
      </c>
      <c r="G28" s="52">
        <f>($A$15*$B$15*$C$15*F28)/$D$15</f>
        <v>5.7758932355102204E-2</v>
      </c>
      <c r="H28" s="49">
        <f>($C$2*B28*$F$15*$F$2)</f>
        <v>9.7905766018591799E-10</v>
      </c>
      <c r="I28" s="63">
        <f>$F$2*$C$15*H28</f>
        <v>2.4476441504647948E-3</v>
      </c>
      <c r="J28" s="63">
        <f>$D$2*B28*$F$15*$B$15</f>
        <v>1.6508700593298856E-9</v>
      </c>
      <c r="K28" s="49">
        <f>$B$15*J28*$C$15*0.5</f>
        <v>4.9526101779896565E-3</v>
      </c>
      <c r="L28" s="50">
        <f>SUM(E28:K28)</f>
        <v>1.6941388587521389</v>
      </c>
      <c r="M28" s="52">
        <f>E28</f>
        <v>1.6289796670889158</v>
      </c>
      <c r="N28" s="52">
        <f>SUM(G28,I28,K28)</f>
        <v>6.515918668355665E-2</v>
      </c>
    </row>
    <row r="29" spans="1:14" x14ac:dyDescent="0.3">
      <c r="A29" s="50">
        <v>0.4</v>
      </c>
      <c r="B29" s="49">
        <f t="shared" si="8"/>
        <v>1.0790000387777029E-3</v>
      </c>
      <c r="C29" s="50">
        <f t="shared" si="9"/>
        <v>176.18390566708922</v>
      </c>
      <c r="D29" s="49">
        <f t="shared" ref="D29:D35" si="10">(1/($Q$2*(B29/$F$15)*($F$2-$G$2)))</f>
        <v>8.1448983354445795E-3</v>
      </c>
      <c r="E29" s="52">
        <f t="shared" ref="E29:E35" si="11">$A$15^2*D29</f>
        <v>0.81448983354445792</v>
      </c>
      <c r="F29" s="49">
        <f t="shared" ref="F29:F35" si="12">($C$2*B29*$F$15*$B$15)</f>
        <v>4.6994767688924067E-9</v>
      </c>
      <c r="G29" s="52">
        <f t="shared" ref="G29:G35" si="13">($A$15*$B$15*$C$15*F29)/$D$15</f>
        <v>0.11551786471020441</v>
      </c>
      <c r="H29" s="49">
        <f t="shared" ref="H29:H35" si="14">($C$2*B29*$F$15*$F$2)</f>
        <v>1.958115320371836E-9</v>
      </c>
      <c r="I29" s="63">
        <f t="shared" ref="I29:I35" si="15">$F$2*$C$15*H29</f>
        <v>4.8952883009295897E-3</v>
      </c>
      <c r="J29" s="63">
        <f t="shared" ref="J29:J35" si="16">$D$2*B29*$F$15*$B$15</f>
        <v>3.3017401186597713E-9</v>
      </c>
      <c r="K29" s="49">
        <f t="shared" ref="K29:K35" si="17">$B$15*J29*$C$15*0.5</f>
        <v>9.905220355979313E-3</v>
      </c>
      <c r="L29" s="50">
        <f t="shared" ref="L29:L35" si="18">SUM(E29:K29)</f>
        <v>0.94480821687090344</v>
      </c>
      <c r="M29" s="52">
        <f t="shared" ref="M29:M35" si="19">E29</f>
        <v>0.81448983354445792</v>
      </c>
      <c r="N29" s="52">
        <f t="shared" ref="N29:N35" si="20">SUM(G29,I29,K29)</f>
        <v>0.1303183733671133</v>
      </c>
    </row>
    <row r="30" spans="1:14" x14ac:dyDescent="0.3">
      <c r="A30" s="50">
        <v>0.6</v>
      </c>
      <c r="B30" s="49">
        <f t="shared" si="8"/>
        <v>1.6185000581665542E-3</v>
      </c>
      <c r="C30" s="50">
        <f t="shared" si="9"/>
        <v>264.27585850063389</v>
      </c>
      <c r="D30" s="49">
        <f t="shared" si="10"/>
        <v>5.4299322236297191E-3</v>
      </c>
      <c r="E30" s="52">
        <f t="shared" si="11"/>
        <v>0.54299322236297187</v>
      </c>
      <c r="F30" s="49">
        <f t="shared" si="12"/>
        <v>7.0492151533386092E-9</v>
      </c>
      <c r="G30" s="52">
        <f t="shared" si="13"/>
        <v>0.17327679706530658</v>
      </c>
      <c r="H30" s="49">
        <f t="shared" si="14"/>
        <v>2.9371729805577536E-9</v>
      </c>
      <c r="I30" s="63">
        <f t="shared" si="15"/>
        <v>7.3429324513943836E-3</v>
      </c>
      <c r="J30" s="63">
        <f t="shared" si="16"/>
        <v>4.9526101779896557E-9</v>
      </c>
      <c r="K30" s="49">
        <f t="shared" si="17"/>
        <v>1.4857830533968967E-2</v>
      </c>
      <c r="L30" s="50">
        <f t="shared" si="18"/>
        <v>0.73847079735263998</v>
      </c>
      <c r="M30" s="52">
        <f t="shared" si="19"/>
        <v>0.54299322236297187</v>
      </c>
      <c r="N30" s="52">
        <f t="shared" si="20"/>
        <v>0.19547756005066994</v>
      </c>
    </row>
    <row r="31" spans="1:14" x14ac:dyDescent="0.3">
      <c r="A31" s="50">
        <v>0.8</v>
      </c>
      <c r="B31" s="49">
        <f>A31*$E$15</f>
        <v>2.1580000775554059E-3</v>
      </c>
      <c r="C31" s="50">
        <f t="shared" si="9"/>
        <v>352.36781133417844</v>
      </c>
      <c r="D31" s="49">
        <f t="shared" si="10"/>
        <v>4.0724491677222897E-3</v>
      </c>
      <c r="E31" s="52">
        <f t="shared" si="11"/>
        <v>0.40724491677222896</v>
      </c>
      <c r="F31" s="49">
        <f t="shared" si="12"/>
        <v>9.3989535377848134E-9</v>
      </c>
      <c r="G31" s="52">
        <f>($A$15*$B$15*$C$15*F31)/$D$15</f>
        <v>0.23103572942040881</v>
      </c>
      <c r="H31" s="49">
        <f t="shared" si="14"/>
        <v>3.916230640743672E-9</v>
      </c>
      <c r="I31" s="63">
        <f t="shared" si="15"/>
        <v>9.7905766018591793E-3</v>
      </c>
      <c r="J31" s="63">
        <f t="shared" si="16"/>
        <v>6.6034802373195426E-9</v>
      </c>
      <c r="K31" s="49">
        <f t="shared" si="17"/>
        <v>1.9810440711958626E-2</v>
      </c>
      <c r="L31" s="50">
        <f t="shared" si="18"/>
        <v>0.66788168342512</v>
      </c>
      <c r="M31" s="52">
        <f t="shared" si="19"/>
        <v>0.40724491677222896</v>
      </c>
      <c r="N31" s="52">
        <f t="shared" si="20"/>
        <v>0.2606367467342266</v>
      </c>
    </row>
    <row r="32" spans="1:14" s="49" customFormat="1" x14ac:dyDescent="0.3">
      <c r="A32" s="50">
        <v>1</v>
      </c>
      <c r="B32" s="49">
        <f t="shared" si="8"/>
        <v>2.6975000969442571E-3</v>
      </c>
      <c r="C32" s="50">
        <f t="shared" si="9"/>
        <v>440.45976416772305</v>
      </c>
      <c r="D32" s="49">
        <f t="shared" si="10"/>
        <v>3.257959334177832E-3</v>
      </c>
      <c r="E32" s="52">
        <f t="shared" si="11"/>
        <v>0.32579593341778318</v>
      </c>
      <c r="F32" s="49">
        <f t="shared" si="12"/>
        <v>1.1748691922231016E-8</v>
      </c>
      <c r="G32" s="52">
        <f t="shared" si="13"/>
        <v>0.288794661775511</v>
      </c>
      <c r="H32" s="49">
        <f t="shared" si="14"/>
        <v>4.89528830092959E-9</v>
      </c>
      <c r="I32" s="49">
        <f t="shared" si="15"/>
        <v>1.2238220752323975E-2</v>
      </c>
      <c r="J32" s="63">
        <f t="shared" si="16"/>
        <v>8.254350296649427E-9</v>
      </c>
      <c r="K32" s="49">
        <f t="shared" si="17"/>
        <v>2.476305088994828E-2</v>
      </c>
      <c r="L32" s="50">
        <f t="shared" si="18"/>
        <v>0.65159189173389687</v>
      </c>
      <c r="M32" s="52">
        <f t="shared" si="19"/>
        <v>0.32579593341778318</v>
      </c>
      <c r="N32" s="52">
        <f t="shared" si="20"/>
        <v>0.32579593341778329</v>
      </c>
    </row>
    <row r="33" spans="1:14" s="49" customFormat="1" x14ac:dyDescent="0.3">
      <c r="A33" s="50">
        <v>1.4</v>
      </c>
      <c r="B33" s="49">
        <f t="shared" si="8"/>
        <v>3.7765001357219596E-3</v>
      </c>
      <c r="C33" s="50">
        <f t="shared" si="9"/>
        <v>616.64366983481216</v>
      </c>
      <c r="D33" s="49">
        <f t="shared" si="10"/>
        <v>2.3271138101270232E-3</v>
      </c>
      <c r="E33" s="52">
        <f t="shared" si="11"/>
        <v>0.23271138101270233</v>
      </c>
      <c r="F33" s="49">
        <f t="shared" si="12"/>
        <v>1.6448168691123421E-8</v>
      </c>
      <c r="G33" s="52">
        <f t="shared" si="13"/>
        <v>0.40431252648571536</v>
      </c>
      <c r="H33" s="49">
        <f t="shared" si="14"/>
        <v>6.8534036213014259E-9</v>
      </c>
      <c r="I33" s="49">
        <f t="shared" si="15"/>
        <v>1.7133509053253566E-2</v>
      </c>
      <c r="J33" s="63">
        <f t="shared" si="16"/>
        <v>1.1556090415309197E-8</v>
      </c>
      <c r="K33" s="49">
        <f t="shared" si="17"/>
        <v>3.4668271245927591E-2</v>
      </c>
      <c r="L33" s="50">
        <f t="shared" si="18"/>
        <v>0.68882572265526165</v>
      </c>
      <c r="M33" s="52">
        <f t="shared" si="19"/>
        <v>0.23271138101270233</v>
      </c>
      <c r="N33" s="52">
        <f t="shared" si="20"/>
        <v>0.45611430678489651</v>
      </c>
    </row>
    <row r="34" spans="1:14" s="49" customFormat="1" x14ac:dyDescent="0.3">
      <c r="A34" s="50">
        <v>1.8</v>
      </c>
      <c r="B34" s="49">
        <f t="shared" si="8"/>
        <v>4.8555001744996626E-3</v>
      </c>
      <c r="C34" s="50">
        <f t="shared" si="9"/>
        <v>792.82757550190149</v>
      </c>
      <c r="D34" s="49">
        <f t="shared" si="10"/>
        <v>1.8099774078765734E-3</v>
      </c>
      <c r="E34" s="52">
        <f t="shared" si="11"/>
        <v>0.18099774078765735</v>
      </c>
      <c r="F34" s="49">
        <f t="shared" si="12"/>
        <v>2.1147645460015826E-8</v>
      </c>
      <c r="G34" s="52">
        <f t="shared" si="13"/>
        <v>0.51983039119591978</v>
      </c>
      <c r="H34" s="49">
        <f t="shared" si="14"/>
        <v>8.8115189416732619E-9</v>
      </c>
      <c r="I34" s="49">
        <f t="shared" si="15"/>
        <v>2.2028797354183154E-2</v>
      </c>
      <c r="J34" s="63">
        <f t="shared" si="16"/>
        <v>1.485783053396897E-8</v>
      </c>
      <c r="K34" s="49">
        <f t="shared" si="17"/>
        <v>4.4573491601906913E-2</v>
      </c>
      <c r="L34" s="50">
        <f t="shared" si="18"/>
        <v>0.76743046575666218</v>
      </c>
      <c r="M34" s="52">
        <f t="shared" si="19"/>
        <v>0.18099774078765735</v>
      </c>
      <c r="N34" s="52">
        <f t="shared" si="20"/>
        <v>0.58643268015200989</v>
      </c>
    </row>
    <row r="35" spans="1:14" s="49" customFormat="1" x14ac:dyDescent="0.3">
      <c r="A35" s="50">
        <v>2.2000000000000002</v>
      </c>
      <c r="B35" s="49">
        <f t="shared" si="8"/>
        <v>5.9345002132773659E-3</v>
      </c>
      <c r="C35" s="50">
        <f t="shared" si="9"/>
        <v>969.01148116899083</v>
      </c>
      <c r="D35" s="49">
        <f t="shared" si="10"/>
        <v>1.4808906064444692E-3</v>
      </c>
      <c r="E35" s="52">
        <f t="shared" si="11"/>
        <v>0.14808906064444691</v>
      </c>
      <c r="F35" s="49">
        <f t="shared" si="12"/>
        <v>2.5847122228908238E-8</v>
      </c>
      <c r="G35" s="52">
        <f t="shared" si="13"/>
        <v>0.6353482559061242</v>
      </c>
      <c r="H35" s="49">
        <f t="shared" si="14"/>
        <v>1.0769634262045098E-8</v>
      </c>
      <c r="I35" s="49">
        <f t="shared" si="15"/>
        <v>2.6924085655112746E-2</v>
      </c>
      <c r="J35" s="63">
        <f t="shared" si="16"/>
        <v>1.8159570652628742E-8</v>
      </c>
      <c r="K35" s="49">
        <f t="shared" si="17"/>
        <v>5.4478711957886228E-2</v>
      </c>
      <c r="L35" s="50">
        <f t="shared" si="18"/>
        <v>0.86484016893989724</v>
      </c>
      <c r="M35" s="52">
        <f t="shared" si="19"/>
        <v>0.14808906064444691</v>
      </c>
      <c r="N35" s="52">
        <f t="shared" si="20"/>
        <v>0.71675105351912316</v>
      </c>
    </row>
    <row r="36" spans="1:14" s="49" customFormat="1" x14ac:dyDescent="0.3">
      <c r="A36" s="50"/>
      <c r="C36" s="50"/>
      <c r="E36" s="52"/>
      <c r="G36" s="52"/>
      <c r="L36" s="50"/>
      <c r="M36" s="52"/>
      <c r="N36" s="52"/>
    </row>
    <row r="39" spans="1:14" x14ac:dyDescent="0.3">
      <c r="A39" s="48" t="s">
        <v>105</v>
      </c>
    </row>
    <row r="40" spans="1:14" ht="27.6" x14ac:dyDescent="0.3">
      <c r="A40" s="57" t="s">
        <v>103</v>
      </c>
    </row>
    <row r="41" spans="1:14" x14ac:dyDescent="0.3">
      <c r="A41" s="48" t="s">
        <v>104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9285-4AF5-40D2-B207-B333EB98D65A}">
  <dimension ref="A1:N25"/>
  <sheetViews>
    <sheetView topLeftCell="A7" zoomScale="81" zoomScaleNormal="55" workbookViewId="0">
      <selection activeCell="J16" sqref="J16:J17"/>
    </sheetView>
  </sheetViews>
  <sheetFormatPr defaultRowHeight="14.4" x14ac:dyDescent="0.3"/>
  <cols>
    <col min="1" max="1" width="17.6640625" customWidth="1"/>
    <col min="2" max="2" width="10.109375" customWidth="1"/>
    <col min="3" max="3" width="11.33203125" customWidth="1"/>
    <col min="4" max="5" width="11" customWidth="1"/>
    <col min="6" max="6" width="11.77734375" customWidth="1"/>
    <col min="7" max="7" width="11.5546875" customWidth="1"/>
    <col min="9" max="9" width="13.88671875" customWidth="1"/>
    <col min="10" max="10" width="11" customWidth="1"/>
  </cols>
  <sheetData>
    <row r="1" spans="1:10" x14ac:dyDescent="0.3">
      <c r="A1" s="14" t="s">
        <v>52</v>
      </c>
      <c r="B1" s="14" t="s">
        <v>217</v>
      </c>
      <c r="C1" s="14" t="s">
        <v>218</v>
      </c>
      <c r="D1" s="14" t="s">
        <v>219</v>
      </c>
      <c r="E1" s="14" t="s">
        <v>220</v>
      </c>
    </row>
    <row r="2" spans="1:10" x14ac:dyDescent="0.3">
      <c r="A2" s="92">
        <f>'DSCH-Optimization (10A) '!A114</f>
        <v>5</v>
      </c>
      <c r="B2" s="93">
        <f>'DSCH-Optimization (10A) '!J114</f>
        <v>87.557567916126274</v>
      </c>
      <c r="C2" s="93">
        <f>'DSCH-Optimization (25A)'!J114</f>
        <v>86.135593438451025</v>
      </c>
      <c r="D2" s="93">
        <f>'DSCH-Optimization (50A) '!J114</f>
        <v>83.247022712097589</v>
      </c>
      <c r="E2" s="93">
        <f>'DSCH-Optimization (100A)  '!J114</f>
        <v>77.576837366250018</v>
      </c>
    </row>
    <row r="3" spans="1:10" x14ac:dyDescent="0.3">
      <c r="A3" s="92">
        <f>'DSCH-Optimization (10A) '!A115</f>
        <v>10</v>
      </c>
      <c r="B3" s="93">
        <f>'DSCH-Optimization (10A) '!J115</f>
        <v>87.657729848815819</v>
      </c>
      <c r="C3" s="93">
        <f>'DSCH-Optimization (25A)'!J115</f>
        <v>90.117225452884071</v>
      </c>
      <c r="D3" s="93">
        <f>'DSCH-Optimization (50A) '!J115</f>
        <v>89.459104708701346</v>
      </c>
      <c r="E3" s="93">
        <f>'DSCH-Optimization (100A)  '!J115</f>
        <v>86.576900919609557</v>
      </c>
    </row>
    <row r="4" spans="1:10" x14ac:dyDescent="0.3">
      <c r="A4" s="92">
        <f>'DSCH-Optimization (10A) '!A116</f>
        <v>15</v>
      </c>
      <c r="B4" s="93">
        <f>'DSCH-Optimization (10A) '!J116</f>
        <v>85.51481364274153</v>
      </c>
      <c r="C4" s="93">
        <f>'DSCH-Optimization (25A)'!J116</f>
        <v>90.650106028838181</v>
      </c>
      <c r="D4" s="93">
        <f>'DSCH-Optimization (50A) '!J116</f>
        <v>91.319000776957211</v>
      </c>
      <c r="E4" s="93">
        <f>'DSCH-Optimization (100A)  '!J116</f>
        <v>89.905231963206248</v>
      </c>
    </row>
    <row r="5" spans="1:10" x14ac:dyDescent="0.3">
      <c r="A5" s="92">
        <f>'DSCH-Optimization (10A) '!A117</f>
        <v>20</v>
      </c>
      <c r="B5" s="93">
        <f>'DSCH-Optimization (10A) '!J117</f>
        <v>82.956678435698862</v>
      </c>
      <c r="C5" s="93">
        <f>'DSCH-Optimization (25A)'!J117</f>
        <v>90.267989518370456</v>
      </c>
      <c r="D5" s="93">
        <f>'DSCH-Optimization (50A) '!J117</f>
        <v>91.957614303694257</v>
      </c>
      <c r="E5" s="93">
        <f>'DSCH-Optimization (100A)  '!J117</f>
        <v>91.547207311763444</v>
      </c>
    </row>
    <row r="6" spans="1:10" x14ac:dyDescent="0.3">
      <c r="A6" s="92">
        <f>'DSCH-Optimization (10A) '!A118</f>
        <v>25</v>
      </c>
      <c r="B6" s="93">
        <f>'DSCH-Optimization (10A) '!J118</f>
        <v>80.353677489733926</v>
      </c>
      <c r="C6" s="93">
        <f>'DSCH-Optimization (25A)'!J118</f>
        <v>89.528776074551061</v>
      </c>
      <c r="D6" s="93">
        <f>'DSCH-Optimization (50A) '!J118</f>
        <v>92.088025810412816</v>
      </c>
      <c r="E6" s="93">
        <f>'DSCH-Optimization (100A)  '!J118</f>
        <v>92.463563971064318</v>
      </c>
    </row>
    <row r="7" spans="1:10" x14ac:dyDescent="0.3">
      <c r="A7" s="92">
        <f>'DSCH-Optimization (10A) '!A119</f>
        <v>30</v>
      </c>
      <c r="B7" s="93">
        <f>'DSCH-Optimization (10A) '!J119</f>
        <v>77.818444765483861</v>
      </c>
      <c r="C7" s="93">
        <f>'DSCH-Optimization (25A)'!J119</f>
        <v>88.625394202998336</v>
      </c>
      <c r="D7" s="93">
        <f>'DSCH-Optimization (50A) '!J119</f>
        <v>91.961641792886127</v>
      </c>
      <c r="E7" s="93">
        <f>'DSCH-Optimization (100A)  '!J119</f>
        <v>93.002175649502476</v>
      </c>
    </row>
    <row r="8" spans="1:10" x14ac:dyDescent="0.3">
      <c r="A8" s="92">
        <f>'DSCH-Optimization (10A) '!A120</f>
        <v>35</v>
      </c>
      <c r="B8" s="93">
        <f>'DSCH-Optimization (10A) '!J120</f>
        <v>75.38972370494001</v>
      </c>
      <c r="C8" s="93">
        <f>'DSCH-Optimization (25A)'!J120</f>
        <v>87.641696054605845</v>
      </c>
      <c r="D8" s="93">
        <f>'DSCH-Optimization (50A) '!J120</f>
        <v>91.689695635475758</v>
      </c>
      <c r="E8" s="93">
        <f>'DSCH-Optimization (100A)  '!J120</f>
        <v>93.319521718655636</v>
      </c>
    </row>
    <row r="9" spans="1:10" x14ac:dyDescent="0.3">
      <c r="A9" s="92">
        <f>'DSCH-Optimization (10A) '!A121</f>
        <v>40</v>
      </c>
      <c r="B9" s="93">
        <f>'DSCH-Optimization (10A) '!J121</f>
        <v>73.079496693786567</v>
      </c>
      <c r="C9" s="93">
        <f>'DSCH-Optimization (25A)'!J121</f>
        <v>86.619568483062679</v>
      </c>
      <c r="D9" s="93">
        <f>'DSCH-Optimization (50A) '!J121</f>
        <v>91.328930782810843</v>
      </c>
      <c r="E9" s="93">
        <f>'DSCH-Optimization (100A)  '!J121</f>
        <v>93.496395445217175</v>
      </c>
    </row>
    <row r="10" spans="1:10" x14ac:dyDescent="0.3">
      <c r="A10" s="92">
        <f>'DSCH-Optimization (10A) '!A122</f>
        <v>45</v>
      </c>
      <c r="B10" s="93">
        <f>'DSCH-Optimization (10A) '!J122</f>
        <v>70.888760801338833</v>
      </c>
      <c r="C10" s="93">
        <f>'DSCH-Optimization (25A)'!J122</f>
        <v>85.5819516964646</v>
      </c>
      <c r="D10" s="93">
        <f>'DSCH-Optimization (50A) '!J122</f>
        <v>90.911282161129321</v>
      </c>
      <c r="E10" s="93">
        <f>'DSCH-Optimization (100A)  '!J122</f>
        <v>93.578724721100485</v>
      </c>
    </row>
    <row r="11" spans="1:10" x14ac:dyDescent="0.3">
      <c r="A11" s="92">
        <f>'DSCH-Optimization (10A) '!A123</f>
        <v>50</v>
      </c>
      <c r="B11" s="93">
        <f>'DSCH-Optimization (10A) '!J123</f>
        <v>68.813749523869248</v>
      </c>
      <c r="C11" s="93">
        <f>'DSCH-Optimization (25A)'!J123</f>
        <v>84.542224939258276</v>
      </c>
      <c r="D11" s="93">
        <f>'DSCH-Optimization (50A) '!J123</f>
        <v>90.456063651962936</v>
      </c>
      <c r="E11" s="93">
        <f>'DSCH-Optimization (100A)  '!J123</f>
        <v>93.594545575023162</v>
      </c>
    </row>
    <row r="12" spans="1:10" x14ac:dyDescent="0.3">
      <c r="A12" s="92">
        <f>'DSCH-Optimization (10A) '!A124</f>
        <v>125</v>
      </c>
      <c r="B12" s="93">
        <f>'DSCH-Optimization (10A) '!J124</f>
        <v>47.600461385096104</v>
      </c>
      <c r="C12" s="93">
        <f>'DSCH-Optimization (25A)'!J124</f>
        <v>70.785385124283465</v>
      </c>
      <c r="D12" s="93">
        <f>'DSCH-Optimization (50A) '!J124</f>
        <v>82.784854185826006</v>
      </c>
      <c r="E12" s="93">
        <f>'DSCH-Optimization (100A)  '!J124</f>
        <v>91.330355949470459</v>
      </c>
    </row>
    <row r="13" spans="1:10" x14ac:dyDescent="0.3">
      <c r="A13" s="92"/>
      <c r="B13" s="93"/>
      <c r="C13" s="93"/>
      <c r="D13" s="93"/>
      <c r="E13" s="93"/>
    </row>
    <row r="14" spans="1:10" ht="24.6" customHeight="1" x14ac:dyDescent="0.3">
      <c r="A14" t="s">
        <v>226</v>
      </c>
      <c r="B14" s="96">
        <v>5</v>
      </c>
      <c r="D14" s="100" t="s">
        <v>231</v>
      </c>
      <c r="E14" s="100"/>
      <c r="F14" s="100" t="s">
        <v>224</v>
      </c>
      <c r="G14" s="100"/>
      <c r="I14" s="14" t="s">
        <v>231</v>
      </c>
      <c r="J14" s="14" t="s">
        <v>236</v>
      </c>
    </row>
    <row r="15" spans="1:10" ht="72" x14ac:dyDescent="0.3">
      <c r="A15" s="14" t="s">
        <v>215</v>
      </c>
      <c r="B15" s="14" t="s">
        <v>187</v>
      </c>
      <c r="C15" s="14" t="s">
        <v>188</v>
      </c>
      <c r="D15" s="14" t="s">
        <v>234</v>
      </c>
      <c r="E15" s="14" t="s">
        <v>222</v>
      </c>
      <c r="F15" s="14" t="s">
        <v>227</v>
      </c>
      <c r="G15" s="14" t="s">
        <v>222</v>
      </c>
      <c r="H15" s="14" t="s">
        <v>227</v>
      </c>
      <c r="I15" s="14" t="s">
        <v>235</v>
      </c>
      <c r="J15" s="14" t="s">
        <v>235</v>
      </c>
    </row>
    <row r="16" spans="1:10" x14ac:dyDescent="0.3">
      <c r="A16" s="92">
        <v>10</v>
      </c>
      <c r="B16" s="16">
        <f>'DSCH-Optimization (10A) '!G114</f>
        <v>4.5754203628617223</v>
      </c>
      <c r="C16" s="16">
        <f>'DSCH-Optimization (10A) '!H114</f>
        <v>15</v>
      </c>
      <c r="D16" s="16">
        <f>C16/$B$14</f>
        <v>3</v>
      </c>
      <c r="E16">
        <f>IF(C16&gt;B16,IF(B16&lt;$B$14,1,QUOTIENT(B16,$B$14)),QUOTIENT(C16,$B$14))</f>
        <v>1</v>
      </c>
      <c r="F16">
        <f>IF(($D16-E16)&gt;=E16, IF(MOD($D16-E16,E16)=0, QUOTIENT($D16-E16,E16)+1, QUOTIENT($D16-E16,E16)+2), IF(MOD($D16-E16,E16)&gt;0, 2,1))</f>
        <v>3</v>
      </c>
      <c r="G16">
        <f>IF(C16&gt;Horizontal_loss!I12,IF(Horizontal_loss!I12&lt;$B$14,1,QUOTIENT(Horizontal_loss!I12,$B$14)),QUOTIENT(C16,$B$14))</f>
        <v>1</v>
      </c>
      <c r="H16">
        <f>IF(($D16-G16)&gt;=G16, IF(MOD($D16-G16,G16)=0, QUOTIENT($D16-G16,G16)+1, QUOTIENT($D16-G16,G16)+2), IF(MOD($D16-G16,G16)&gt;0, 2,1))</f>
        <v>3</v>
      </c>
      <c r="I16">
        <f>(E16*B14)*(1000/A16)</f>
        <v>500</v>
      </c>
    </row>
    <row r="17" spans="1:14" x14ac:dyDescent="0.3">
      <c r="A17" s="92">
        <v>25</v>
      </c>
      <c r="B17" s="16">
        <f>'DSCH-Optimization (25A)'!G114</f>
        <v>17.600305844704639</v>
      </c>
      <c r="C17" s="16">
        <f>'DSCH-Optimization (25A)'!H114</f>
        <v>30</v>
      </c>
      <c r="D17" s="16">
        <f t="shared" ref="D17:D19" si="0">C17/$B$14</f>
        <v>6</v>
      </c>
      <c r="E17">
        <f>IF(C17&gt;B17,IF(B17&lt;$B$14,1,QUOTIENT(B17,$B$14)),QUOTIENT(C17,$B$14))</f>
        <v>3</v>
      </c>
      <c r="F17">
        <f t="shared" ref="F17:F19" si="1">IF(($D17-E17)&gt;=E17, IF(MOD($D17-E17,E17)=0, QUOTIENT($D17-E17,E17)+1, QUOTIENT($D17-E17,E17)+2), IF(MOD($D17-E17,E17)&gt;0, 2,1))</f>
        <v>2</v>
      </c>
      <c r="G17">
        <f>IF(C17&gt;Horizontal_loss!I13,IF(Horizontal_loss!I13&lt;$B$14,1,QUOTIENT(Horizontal_loss!I13,$B$14)),QUOTIENT(C17,$B$14))</f>
        <v>2</v>
      </c>
      <c r="H17">
        <f t="shared" ref="H17:H19" si="2">IF(($D17-G17)&gt;=G17, IF(MOD($D17-G17,G17)=0, QUOTIENT($D17-G17,G17)+1, QUOTIENT($D17-G17,G17)+2), IF(MOD($D17-G17,G17)&gt;0, 2,1))</f>
        <v>3</v>
      </c>
      <c r="I17">
        <f>B17*(1000/A17)</f>
        <v>704.01223378818554</v>
      </c>
    </row>
    <row r="18" spans="1:14" x14ac:dyDescent="0.3">
      <c r="A18" s="92">
        <v>50</v>
      </c>
      <c r="B18" s="16">
        <f>'DSCH-Optimization (50A) '!G114</f>
        <v>48.728701763157623</v>
      </c>
      <c r="C18" s="16">
        <f>'DSCH-Optimization (50A) '!H114</f>
        <v>55</v>
      </c>
      <c r="D18" s="16">
        <f t="shared" si="0"/>
        <v>11</v>
      </c>
      <c r="E18">
        <f>IF(C18&gt;B18,IF(B18&lt;$B$14,1,QUOTIENT(B18,$B$14)),QUOTIENT(C18,$B$14))</f>
        <v>9</v>
      </c>
      <c r="F18">
        <f t="shared" si="1"/>
        <v>2</v>
      </c>
      <c r="G18">
        <f>IF(C18&gt;Horizontal_loss!I14,IF(Horizontal_loss!I14&lt;$B$14,1,QUOTIENT(Horizontal_loss!I14,$B$14)),QUOTIENT(C18,$B$14))</f>
        <v>6</v>
      </c>
      <c r="H18">
        <f t="shared" si="2"/>
        <v>2</v>
      </c>
      <c r="I18">
        <f t="shared" ref="I18:I19" si="3">B18*(1000/A18)</f>
        <v>974.5740352631525</v>
      </c>
    </row>
    <row r="19" spans="1:14" x14ac:dyDescent="0.3">
      <c r="A19" s="92">
        <v>125</v>
      </c>
      <c r="B19" s="93">
        <f>'DSCH-Optimization (100A)  '!$G$124</f>
        <v>187.99138665428038</v>
      </c>
      <c r="C19" s="93">
        <f>'DSCH-Optimization (100A)  '!H124</f>
        <v>130</v>
      </c>
      <c r="D19" s="16">
        <f t="shared" si="0"/>
        <v>26</v>
      </c>
      <c r="E19">
        <f>IF(C19&gt;B19,IF(B19&lt;$B$14,1,QUOTIENT(B19,$B$14)),QUOTIENT(C19,$B$14))</f>
        <v>26</v>
      </c>
      <c r="F19">
        <f t="shared" si="1"/>
        <v>1</v>
      </c>
      <c r="G19">
        <f>IF(C19&gt;Horizontal_loss!I15,IF(Horizontal_loss!I15&lt;$B$14,1,QUOTIENT(Horizontal_loss!I15,$B$14)),QUOTIENT(C19,$B$14))</f>
        <v>23</v>
      </c>
      <c r="H19">
        <f t="shared" si="2"/>
        <v>2</v>
      </c>
      <c r="I19">
        <f t="shared" si="3"/>
        <v>1503.931093234243</v>
      </c>
    </row>
    <row r="21" spans="1:14" ht="58.8" customHeight="1" x14ac:dyDescent="0.3">
      <c r="A21" s="14" t="s">
        <v>216</v>
      </c>
      <c r="B21" s="14" t="s">
        <v>216</v>
      </c>
      <c r="C21" s="14" t="s">
        <v>225</v>
      </c>
      <c r="D21" s="14" t="s">
        <v>230</v>
      </c>
      <c r="E21" s="14" t="s">
        <v>228</v>
      </c>
      <c r="F21" s="14" t="s">
        <v>229</v>
      </c>
      <c r="G21" s="14" t="s">
        <v>232</v>
      </c>
      <c r="H21" s="14" t="s">
        <v>233</v>
      </c>
      <c r="I21" s="14" t="s">
        <v>221</v>
      </c>
      <c r="J21" s="14" t="s">
        <v>155</v>
      </c>
    </row>
    <row r="22" spans="1:14" x14ac:dyDescent="0.3">
      <c r="A22" s="13" t="s">
        <v>217</v>
      </c>
      <c r="B22" s="13">
        <v>10</v>
      </c>
      <c r="C22" s="16">
        <f>'DSCH-Optimization (10A) '!I115*(1000/B22)</f>
        <v>140.80070488331188</v>
      </c>
      <c r="D22" s="16">
        <f>'DSCH-Optimization (10A) '!E115* (1000/B22)</f>
        <v>33.333333333333336</v>
      </c>
      <c r="E22" s="16">
        <f>SUM('DSCH-Optimization (10A) '!C115:D115)*(1000/Results!B22)</f>
        <v>107.46737154997857</v>
      </c>
      <c r="F22" s="16">
        <f>Horizontal_loss!B22</f>
        <v>6.4363577659856901</v>
      </c>
      <c r="G22" s="16">
        <f>IF(Horizontal_loss!I12&lt;$B$14, A16/(E16*$B$14), Horizontal_loss!K12)</f>
        <v>2</v>
      </c>
      <c r="H22" s="16">
        <f>IF(B16&lt;$B$14, A16/(E16*$B$14), Horizontal_loss!L12)</f>
        <v>2</v>
      </c>
      <c r="I22" s="93">
        <f>(1000*100)/(1000+SUM(D22:F22))</f>
        <v>87.16594264229181</v>
      </c>
      <c r="J22" s="16">
        <f>SUM(D22:F22)</f>
        <v>147.2370626492976</v>
      </c>
      <c r="K22" s="97">
        <f>SUM(D22:E22)</f>
        <v>140.80070488331191</v>
      </c>
      <c r="L22" s="98">
        <f>SUM('DSCH-Optimization (10A) '!C115)*(1000/Results!B22)</f>
        <v>53.733685774989269</v>
      </c>
      <c r="M22" s="98">
        <f>SUM('DSCH-Optimization (10A) '!D115)*(1000/Results!B22)</f>
        <v>53.73368577498929</v>
      </c>
      <c r="N22" s="98"/>
    </row>
    <row r="23" spans="1:14" x14ac:dyDescent="0.3">
      <c r="A23" s="13" t="s">
        <v>218</v>
      </c>
      <c r="B23" s="13">
        <v>25</v>
      </c>
      <c r="C23" s="16">
        <f>'DSCH-Optimization (25A)'!I118*(1000/B23)</f>
        <v>116.9593105654598</v>
      </c>
      <c r="D23" s="16">
        <f>'DSCH-Optimization (25A)'!E118*(1000/B23)</f>
        <v>41.666666666666671</v>
      </c>
      <c r="E23" s="16">
        <f>SUM('DSCH-Optimization (25A)'!C118:D118)*(1000/B23)</f>
        <v>75.292643898793131</v>
      </c>
      <c r="F23" s="16">
        <f>Horizontal_loss!B29</f>
        <v>14.851771632733758</v>
      </c>
      <c r="G23" s="16">
        <f>IF(Horizontal_loss!I13&lt;$B$14, A17/(E17*$B$14), Horizontal_loss!K13)</f>
        <v>2.3491284806679094</v>
      </c>
      <c r="H23" s="16">
        <f>IF(B17&lt;$B$14, A17/(E17*$B$14), Horizontal_loss!L13)</f>
        <v>1.4204298618777522</v>
      </c>
      <c r="I23" s="93">
        <f t="shared" ref="I23:I25" si="4">(1000*100)/(1000+SUM(D23:F23))</f>
        <v>88.353967877555036</v>
      </c>
      <c r="J23" s="16">
        <f>SUM(D23:F23)</f>
        <v>131.81108219819356</v>
      </c>
      <c r="K23" s="97">
        <f t="shared" ref="K23:K25" si="5">SUM(D23:E23)</f>
        <v>116.9593105654598</v>
      </c>
      <c r="L23" s="98">
        <f>SUM('DSCH-Optimization (25A)'!C118)*(1000/B23)</f>
        <v>37.646321949396565</v>
      </c>
      <c r="M23" s="98">
        <f>SUM('DSCH-Optimization (25A)'!D118)*(1000/B23)</f>
        <v>37.646321949396565</v>
      </c>
    </row>
    <row r="24" spans="1:14" x14ac:dyDescent="0.3">
      <c r="A24" s="13" t="s">
        <v>219</v>
      </c>
      <c r="B24" s="13">
        <v>50</v>
      </c>
      <c r="C24" s="16">
        <f>'DSCH-Optimization (50A) '!I123*(1000/B24)</f>
        <v>105.50908322473704</v>
      </c>
      <c r="D24" s="16">
        <f>'DSCH-Optimization (50A) '!E123*(1000/B24)</f>
        <v>45.63492063492064</v>
      </c>
      <c r="E24" s="16">
        <f>SUM('DSCH-Optimization (50A) '!C123:D123)*(1000/B24)</f>
        <v>59.8741625898164</v>
      </c>
      <c r="F24" s="16">
        <f>Horizontal_loss!B36</f>
        <v>29.703543265467516</v>
      </c>
      <c r="G24" s="16">
        <f>IF(Horizontal_loss!I14&lt;$B$14, A18/(E18*$B$14), Horizontal_loss!K14)</f>
        <v>1.6610846785587303</v>
      </c>
      <c r="H24" s="16">
        <f>IF(B18&lt;$B$14, A18/(E18*$B$14), Horizontal_loss!L14)</f>
        <v>1.0260893106289066</v>
      </c>
      <c r="I24" s="93">
        <f t="shared" si="4"/>
        <v>88.089224579165545</v>
      </c>
      <c r="J24" s="16">
        <f t="shared" ref="J24:J25" si="6">SUM(D24:F24)</f>
        <v>135.21262649020457</v>
      </c>
      <c r="K24" s="97">
        <f t="shared" si="5"/>
        <v>105.50908322473704</v>
      </c>
      <c r="L24" s="98">
        <f>SUM('DSCH-Optimization (50A) '!C123)*(1000/B24)</f>
        <v>29.937081294908197</v>
      </c>
      <c r="M24" s="98">
        <f>SUM('DSCH-Optimization (50A) '!D123)*(1000/B24)</f>
        <v>29.937081294908204</v>
      </c>
    </row>
    <row r="25" spans="1:14" x14ac:dyDescent="0.3">
      <c r="A25" s="13" t="s">
        <v>220</v>
      </c>
      <c r="B25" s="13">
        <v>125</v>
      </c>
      <c r="C25" s="16">
        <f>'DSCH-Optimization (100A)  '!I124*(1000/B25)</f>
        <v>94.926204550501495</v>
      </c>
      <c r="D25" s="16">
        <f>'DSCH-Optimization (100A)  '!E124*(1000/B25)</f>
        <v>48.111837327523595</v>
      </c>
      <c r="E25" s="16">
        <f>SUM('DSCH-Optimization (100A)  '!C124:D124)*(1000/B25)</f>
        <v>46.814367222977893</v>
      </c>
      <c r="F25" s="16">
        <f>Horizontal_loss!B43</f>
        <v>91.176905093347457</v>
      </c>
      <c r="G25" s="16">
        <f>IF(Horizontal_loss!I15&lt;$B$14, A19/(E19*$B$14), Horizontal_loss!K15)</f>
        <v>1.0505621941308492</v>
      </c>
      <c r="H25" s="16">
        <f>IF(B19&lt;$B$14, A19/(E19*$B$14), Horizontal_loss!L15)</f>
        <v>0.66492408096269495</v>
      </c>
      <c r="I25" s="93">
        <f t="shared" si="4"/>
        <v>84.309702239990742</v>
      </c>
      <c r="J25" s="16">
        <f t="shared" si="6"/>
        <v>186.10310964384894</v>
      </c>
      <c r="K25" s="97">
        <f t="shared" si="5"/>
        <v>94.926204550501495</v>
      </c>
      <c r="L25" s="98">
        <f>SUM('DSCH-Optimization (100A)  '!C124)*(1000/B25)</f>
        <v>23.407183611488946</v>
      </c>
      <c r="M25" s="98">
        <f>SUM('DSCH-Optimization (100A)  '!D124)*(1000/B25)</f>
        <v>23.407183611488946</v>
      </c>
    </row>
  </sheetData>
  <mergeCells count="2">
    <mergeCell ref="D14:E14"/>
    <mergeCell ref="F14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092C-EFFE-4394-8AC3-7AA77124C562}">
  <dimension ref="A1:AI606"/>
  <sheetViews>
    <sheetView zoomScale="115" zoomScaleNormal="115" workbookViewId="0">
      <selection activeCell="C45" sqref="C45"/>
    </sheetView>
  </sheetViews>
  <sheetFormatPr defaultRowHeight="14.4" x14ac:dyDescent="0.3"/>
  <cols>
    <col min="1" max="8" width="8.88671875" style="8"/>
    <col min="9" max="9" width="10.88671875" style="8" customWidth="1"/>
    <col min="10" max="12" width="8.88671875" style="8"/>
    <col min="13" max="13" width="9.33203125" style="8" bestFit="1" customWidth="1"/>
    <col min="14" max="14" width="8.88671875" style="8"/>
    <col min="15" max="15" width="10.88671875" style="13" customWidth="1"/>
    <col min="16" max="16" width="12.77734375" style="13" bestFit="1" customWidth="1"/>
    <col min="17" max="25" width="8.88671875" style="13"/>
    <col min="26" max="26" width="8.88671875" style="13" customWidth="1"/>
    <col min="27" max="16384" width="8.88671875" style="13"/>
  </cols>
  <sheetData>
    <row r="1" spans="1:35" ht="29.4" thickBot="1" x14ac:dyDescent="0.35">
      <c r="A1" s="1" t="s">
        <v>0</v>
      </c>
      <c r="B1" s="2" t="s">
        <v>2</v>
      </c>
      <c r="C1" s="2" t="s">
        <v>3</v>
      </c>
      <c r="D1" s="2" t="s">
        <v>7</v>
      </c>
      <c r="E1" s="3" t="s">
        <v>12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42</v>
      </c>
      <c r="K1" s="2" t="s">
        <v>15</v>
      </c>
      <c r="L1" s="18" t="s">
        <v>38</v>
      </c>
      <c r="M1" s="18" t="s">
        <v>39</v>
      </c>
      <c r="N1" s="18" t="s">
        <v>40</v>
      </c>
      <c r="O1" s="18" t="s">
        <v>41</v>
      </c>
      <c r="P1" s="18" t="s">
        <v>43</v>
      </c>
      <c r="Q1" s="18" t="s">
        <v>44</v>
      </c>
      <c r="R1" s="2" t="s">
        <v>10</v>
      </c>
      <c r="S1" s="2" t="s">
        <v>11</v>
      </c>
      <c r="T1" s="11" t="s">
        <v>45</v>
      </c>
      <c r="U1" s="11" t="s">
        <v>46</v>
      </c>
      <c r="V1" s="11" t="s">
        <v>47</v>
      </c>
      <c r="W1" s="11" t="s">
        <v>4</v>
      </c>
      <c r="X1" s="4" t="s">
        <v>13</v>
      </c>
      <c r="Y1" s="12" t="s">
        <v>16</v>
      </c>
      <c r="Z1" s="68" t="s">
        <v>100</v>
      </c>
      <c r="AA1" s="68" t="s">
        <v>101</v>
      </c>
      <c r="AB1" s="14"/>
      <c r="AE1" s="14"/>
      <c r="AH1" s="14"/>
    </row>
    <row r="2" spans="1:35" x14ac:dyDescent="0.3">
      <c r="A2" s="5" t="s">
        <v>1</v>
      </c>
      <c r="B2" s="6">
        <v>2.1999999999999999E-10</v>
      </c>
      <c r="C2" s="6">
        <v>1.5E-10</v>
      </c>
      <c r="D2" s="6">
        <v>6.5000000000000002E-12</v>
      </c>
      <c r="E2" s="7">
        <v>1.6E-2</v>
      </c>
      <c r="F2" s="6">
        <f>(B2-D2)</f>
        <v>2.1349999999999999E-10</v>
      </c>
      <c r="G2" s="6">
        <f>(C2-D2)</f>
        <v>1.435E-10</v>
      </c>
      <c r="H2" s="6">
        <v>1.1000000000000001E-3</v>
      </c>
      <c r="I2" s="6">
        <v>1.6999999999999999E-3</v>
      </c>
      <c r="J2" s="20">
        <v>40</v>
      </c>
      <c r="K2" s="6">
        <v>0.17499999999999999</v>
      </c>
      <c r="L2" s="20">
        <v>9</v>
      </c>
      <c r="M2" s="6">
        <v>8.8539999999999992E-12</v>
      </c>
      <c r="N2" s="6">
        <v>400000000</v>
      </c>
      <c r="O2" s="6">
        <f>(L2*M2*N2)/P2</f>
        <v>159372</v>
      </c>
      <c r="P2" s="6">
        <f>(J2*2)/N2</f>
        <v>1.9999999999999999E-7</v>
      </c>
      <c r="Q2" s="6">
        <v>1.5999999999999999E-19</v>
      </c>
      <c r="R2" s="20">
        <v>5</v>
      </c>
      <c r="S2" s="20">
        <v>2.15</v>
      </c>
      <c r="T2" s="20">
        <v>2.5</v>
      </c>
      <c r="U2" s="20">
        <v>0.4</v>
      </c>
      <c r="V2" s="20">
        <v>0.7</v>
      </c>
      <c r="W2" s="6">
        <f>(2*F2)/(H2*I2)</f>
        <v>2.2834224598930478E-4</v>
      </c>
      <c r="X2" s="7">
        <f>(1/(67.39*(H2/I2)*(R2-S2)))</f>
        <v>8.0466649768670198E-3</v>
      </c>
      <c r="Y2" s="16">
        <f>X2/E2</f>
        <v>0.50291656105418869</v>
      </c>
      <c r="Z2" s="69">
        <f>0.5*67.39*(H2/I2)*(R2-S2)^2</f>
        <v>177.09200073529414</v>
      </c>
      <c r="AA2" s="69">
        <v>10</v>
      </c>
      <c r="AB2" s="16">
        <f>Z2/AA2</f>
        <v>17.709200073529413</v>
      </c>
      <c r="AC2" s="67"/>
      <c r="AD2" s="19"/>
      <c r="AE2" s="19"/>
      <c r="AG2" s="16"/>
    </row>
    <row r="3" spans="1:35" x14ac:dyDescent="0.3">
      <c r="A3" s="8">
        <v>2216</v>
      </c>
      <c r="B3" s="9">
        <v>9.7999999999999998E-11</v>
      </c>
      <c r="C3" s="9">
        <v>6.6000000000000005E-11</v>
      </c>
      <c r="D3" s="9">
        <v>1.9999999999999999E-11</v>
      </c>
      <c r="E3" s="10">
        <v>0.02</v>
      </c>
      <c r="F3" s="6">
        <f t="shared" ref="F3:F12" si="0">(B3-D3)</f>
        <v>7.8000000000000002E-11</v>
      </c>
      <c r="G3" s="6">
        <f t="shared" ref="G3:G12" si="1">(C3-D3)</f>
        <v>4.6000000000000009E-11</v>
      </c>
      <c r="H3" s="9">
        <v>8.0000000000000004E-4</v>
      </c>
      <c r="I3" s="9">
        <v>1.1999999999999999E-3</v>
      </c>
      <c r="J3" s="17">
        <v>15</v>
      </c>
      <c r="K3" s="6">
        <v>0.17499999999999999</v>
      </c>
      <c r="L3" s="20">
        <v>9</v>
      </c>
      <c r="M3" s="6">
        <v>8.8539999999999992E-12</v>
      </c>
      <c r="N3" s="6">
        <v>400000000</v>
      </c>
      <c r="O3" s="6">
        <f>(L3*M3*N3)/P3</f>
        <v>424992</v>
      </c>
      <c r="P3" s="6">
        <f t="shared" ref="P3:P12" si="2">(J3*2)/N3</f>
        <v>7.4999999999999997E-8</v>
      </c>
      <c r="Q3" s="6">
        <v>1.5999999999999999E-19</v>
      </c>
      <c r="R3" s="17">
        <v>5</v>
      </c>
      <c r="S3" s="17">
        <v>1</v>
      </c>
      <c r="T3" s="20">
        <v>2</v>
      </c>
      <c r="U3" s="20">
        <v>0.5</v>
      </c>
      <c r="V3" s="20">
        <v>0.7</v>
      </c>
      <c r="W3" s="6">
        <f t="shared" ref="W3:W12" si="3">(2*F3)/(H3*I3)</f>
        <v>1.6250000000000002E-4</v>
      </c>
      <c r="X3" s="7">
        <f t="shared" ref="X3:X12" si="4">(1/(K3*F3*(H3/I3)*(R3-S3)))*(0.000000000001)</f>
        <v>2.7472527472527469E-2</v>
      </c>
      <c r="Y3" s="16">
        <f t="shared" ref="Y3:Y12" si="5">X3/E3</f>
        <v>1.3736263736263734</v>
      </c>
      <c r="Z3" s="69">
        <f t="shared" ref="Z3:Z12" si="6">0.5*67.39*(H3/I3)*(R3-S3)^2</f>
        <v>359.41333333333336</v>
      </c>
      <c r="AA3" s="69">
        <v>3.4</v>
      </c>
      <c r="AB3" s="16">
        <f t="shared" ref="AB3:AB12" si="7">Z3/AA3</f>
        <v>105.70980392156864</v>
      </c>
      <c r="AC3" s="67"/>
      <c r="AD3" s="19"/>
      <c r="AE3" s="19"/>
      <c r="AG3" s="16"/>
    </row>
    <row r="4" spans="1:35" s="24" customFormat="1" x14ac:dyDescent="0.3">
      <c r="A4" s="21">
        <v>2206</v>
      </c>
      <c r="B4" s="23">
        <v>1.61E-9</v>
      </c>
      <c r="C4" s="23">
        <v>1.0999999999999999E-9</v>
      </c>
      <c r="D4" s="23">
        <v>1.5E-11</v>
      </c>
      <c r="E4" s="35">
        <v>1.8E-3</v>
      </c>
      <c r="F4" s="6">
        <f t="shared" si="0"/>
        <v>1.595E-9</v>
      </c>
      <c r="G4" s="6">
        <f t="shared" si="1"/>
        <v>1.0849999999999999E-9</v>
      </c>
      <c r="H4" s="23">
        <v>2.3E-3</v>
      </c>
      <c r="I4" s="23">
        <v>6.0499999999999998E-3</v>
      </c>
      <c r="J4" s="22">
        <v>80</v>
      </c>
      <c r="K4" s="6">
        <v>0.17499999999999999</v>
      </c>
      <c r="L4" s="34">
        <v>9</v>
      </c>
      <c r="M4" s="36">
        <v>8.8539999999999992E-12</v>
      </c>
      <c r="N4" s="6">
        <v>400000000</v>
      </c>
      <c r="O4" s="36">
        <f t="shared" ref="O4:O12" si="8">(L4*M4*N4)/P4</f>
        <v>79686</v>
      </c>
      <c r="P4" s="36">
        <f t="shared" si="2"/>
        <v>3.9999999999999998E-7</v>
      </c>
      <c r="Q4" s="36">
        <v>1.5999999999999999E-19</v>
      </c>
      <c r="R4" s="22">
        <v>5</v>
      </c>
      <c r="S4" s="22">
        <v>1.2</v>
      </c>
      <c r="T4" s="34">
        <v>2</v>
      </c>
      <c r="U4" s="34">
        <v>0.3</v>
      </c>
      <c r="V4" s="34">
        <v>0.7</v>
      </c>
      <c r="W4" s="36">
        <f t="shared" si="3"/>
        <v>2.292490118577075E-4</v>
      </c>
      <c r="X4" s="37">
        <f t="shared" si="4"/>
        <v>2.4799630260057943E-3</v>
      </c>
      <c r="Y4" s="38">
        <f t="shared" si="5"/>
        <v>1.3777572366698858</v>
      </c>
      <c r="Z4" s="69">
        <f t="shared" si="6"/>
        <v>184.97162644628099</v>
      </c>
      <c r="AA4" s="69">
        <v>90</v>
      </c>
      <c r="AB4" s="16">
        <f t="shared" si="7"/>
        <v>2.0552402938475667</v>
      </c>
      <c r="AC4" s="67"/>
      <c r="AD4" s="19"/>
      <c r="AE4" s="39"/>
      <c r="AG4" s="16"/>
      <c r="AI4" s="13"/>
    </row>
    <row r="5" spans="1:35" x14ac:dyDescent="0.3">
      <c r="A5" s="8">
        <v>2214</v>
      </c>
      <c r="B5" s="9">
        <v>1.9799999999999999E-10</v>
      </c>
      <c r="C5" s="9">
        <v>1.2899999999999999E-10</v>
      </c>
      <c r="D5" s="9">
        <v>1.8E-12</v>
      </c>
      <c r="E5" s="10">
        <v>0.02</v>
      </c>
      <c r="F5" s="6">
        <f t="shared" si="0"/>
        <v>1.9619999999999998E-10</v>
      </c>
      <c r="G5" s="6">
        <f t="shared" si="1"/>
        <v>1.2719999999999998E-10</v>
      </c>
      <c r="H5" s="9">
        <v>1.4E-3</v>
      </c>
      <c r="I5" s="9">
        <v>1.4E-3</v>
      </c>
      <c r="J5" s="17">
        <v>80</v>
      </c>
      <c r="K5" s="6">
        <v>0.15</v>
      </c>
      <c r="L5" s="20">
        <v>9</v>
      </c>
      <c r="M5" s="6">
        <v>8.8539999999999992E-12</v>
      </c>
      <c r="N5" s="6">
        <v>400000000</v>
      </c>
      <c r="O5" s="6">
        <f t="shared" si="8"/>
        <v>79686</v>
      </c>
      <c r="P5" s="6">
        <f t="shared" si="2"/>
        <v>3.9999999999999998E-7</v>
      </c>
      <c r="Q5" s="6">
        <v>1.5999999999999999E-19</v>
      </c>
      <c r="R5" s="17">
        <v>5</v>
      </c>
      <c r="S5" s="17">
        <v>2.5</v>
      </c>
      <c r="T5" s="20">
        <v>2.2000000000000002</v>
      </c>
      <c r="U5" s="20">
        <v>0.65</v>
      </c>
      <c r="V5" s="20">
        <v>0.7</v>
      </c>
      <c r="W5" s="6">
        <f t="shared" si="3"/>
        <v>2.0020408163265305E-4</v>
      </c>
      <c r="X5" s="7">
        <f t="shared" si="4"/>
        <v>1.359157322460075E-2</v>
      </c>
      <c r="Y5" s="16">
        <f t="shared" si="5"/>
        <v>0.67957866123003752</v>
      </c>
      <c r="Z5" s="69">
        <f t="shared" si="6"/>
        <v>210.59375</v>
      </c>
      <c r="AA5" s="69">
        <v>10</v>
      </c>
      <c r="AB5" s="16">
        <f t="shared" si="7"/>
        <v>21.059374999999999</v>
      </c>
      <c r="AC5" s="67"/>
      <c r="AD5" s="19"/>
      <c r="AE5" s="19"/>
      <c r="AG5" s="16"/>
    </row>
    <row r="6" spans="1:35" s="24" customFormat="1" x14ac:dyDescent="0.3">
      <c r="A6" s="21">
        <v>2024</v>
      </c>
      <c r="B6" s="23">
        <v>1.92E-9</v>
      </c>
      <c r="C6" s="23">
        <v>1.62E-9</v>
      </c>
      <c r="D6" s="23">
        <v>2.9E-11</v>
      </c>
      <c r="E6" s="35">
        <f>0.0012</f>
        <v>1.1999999999999999E-3</v>
      </c>
      <c r="F6" s="6">
        <f t="shared" si="0"/>
        <v>1.8910000000000002E-9</v>
      </c>
      <c r="G6" s="6">
        <f t="shared" si="1"/>
        <v>1.591E-9</v>
      </c>
      <c r="H6" s="23">
        <v>2.3E-3</v>
      </c>
      <c r="I6" s="23">
        <v>6.0000000000000001E-3</v>
      </c>
      <c r="J6" s="22">
        <v>40</v>
      </c>
      <c r="K6" s="6">
        <v>0.2</v>
      </c>
      <c r="L6" s="34">
        <v>9</v>
      </c>
      <c r="M6" s="36">
        <v>8.8539999999999992E-12</v>
      </c>
      <c r="N6" s="6">
        <v>400000000</v>
      </c>
      <c r="O6" s="36">
        <f t="shared" si="8"/>
        <v>159372</v>
      </c>
      <c r="P6" s="36">
        <f t="shared" si="2"/>
        <v>1.9999999999999999E-7</v>
      </c>
      <c r="Q6" s="36">
        <v>1.5999999999999999E-19</v>
      </c>
      <c r="R6" s="22">
        <v>5</v>
      </c>
      <c r="S6" s="22">
        <v>0.8</v>
      </c>
      <c r="T6" s="34">
        <v>2.5</v>
      </c>
      <c r="U6" s="34">
        <v>0.3</v>
      </c>
      <c r="V6" s="34">
        <v>0.7</v>
      </c>
      <c r="W6" s="36">
        <f t="shared" si="3"/>
        <v>2.7405797101449279E-4</v>
      </c>
      <c r="X6" s="37">
        <f t="shared" si="4"/>
        <v>1.6423004030205188E-3</v>
      </c>
      <c r="Y6" s="38">
        <f t="shared" si="5"/>
        <v>1.3685836691837658</v>
      </c>
      <c r="Z6" s="69">
        <f t="shared" si="6"/>
        <v>227.84559000000002</v>
      </c>
      <c r="AA6" s="69">
        <v>90</v>
      </c>
      <c r="AB6" s="16">
        <f t="shared" si="7"/>
        <v>2.531617666666667</v>
      </c>
      <c r="AC6" s="67"/>
      <c r="AD6" s="19"/>
      <c r="AE6" s="39"/>
      <c r="AG6" s="16"/>
      <c r="AI6" s="13"/>
    </row>
    <row r="7" spans="1:35" x14ac:dyDescent="0.3">
      <c r="A7" s="8">
        <v>2055</v>
      </c>
      <c r="B7" s="9">
        <v>8.4099999999999999E-10</v>
      </c>
      <c r="C7" s="9">
        <v>4.0799999999999999E-10</v>
      </c>
      <c r="D7" s="9">
        <v>8.7999999999999997E-12</v>
      </c>
      <c r="E7" s="10">
        <v>3.5999999999999999E-3</v>
      </c>
      <c r="F7" s="6">
        <f t="shared" si="0"/>
        <v>8.3219999999999998E-10</v>
      </c>
      <c r="G7" s="6">
        <f t="shared" si="1"/>
        <v>3.9919999999999998E-10</v>
      </c>
      <c r="H7" s="9">
        <v>1.5E-3</v>
      </c>
      <c r="I7" s="9">
        <v>2.5000000000000001E-3</v>
      </c>
      <c r="J7" s="17">
        <v>40</v>
      </c>
      <c r="K7" s="6">
        <v>0.17499999999999999</v>
      </c>
      <c r="L7" s="20">
        <v>9</v>
      </c>
      <c r="M7" s="6">
        <v>8.8539999999999992E-12</v>
      </c>
      <c r="N7" s="6">
        <v>400000000</v>
      </c>
      <c r="O7" s="6">
        <f t="shared" si="8"/>
        <v>159372</v>
      </c>
      <c r="P7" s="6">
        <f t="shared" si="2"/>
        <v>1.9999999999999999E-7</v>
      </c>
      <c r="Q7" s="6">
        <v>1.5999999999999999E-19</v>
      </c>
      <c r="R7" s="17">
        <v>5</v>
      </c>
      <c r="S7" s="17">
        <v>2.5</v>
      </c>
      <c r="T7" s="20">
        <v>2.2000000000000002</v>
      </c>
      <c r="U7" s="20">
        <v>0.4</v>
      </c>
      <c r="V7" s="20">
        <v>0.7</v>
      </c>
      <c r="W7" s="6">
        <f t="shared" si="3"/>
        <v>4.4383999999999998E-4</v>
      </c>
      <c r="X7" s="7">
        <f t="shared" si="4"/>
        <v>4.5776541811148892E-3</v>
      </c>
      <c r="Y7" s="16">
        <f t="shared" si="5"/>
        <v>1.271570605865247</v>
      </c>
      <c r="Z7" s="69">
        <f t="shared" si="6"/>
        <v>126.35624999999999</v>
      </c>
      <c r="AA7" s="69">
        <v>29</v>
      </c>
      <c r="AB7" s="16">
        <f t="shared" si="7"/>
        <v>4.3571120689655167</v>
      </c>
      <c r="AC7" s="67"/>
      <c r="AD7" s="19"/>
      <c r="AE7" s="19"/>
      <c r="AG7" s="16"/>
    </row>
    <row r="8" spans="1:35" s="24" customFormat="1" x14ac:dyDescent="0.3">
      <c r="A8" s="21">
        <v>2067</v>
      </c>
      <c r="B8" s="23">
        <v>2.1780000000000001E-9</v>
      </c>
      <c r="C8" s="23">
        <v>1.0709999999999999E-9</v>
      </c>
      <c r="D8" s="23">
        <v>2.4000000000000001E-11</v>
      </c>
      <c r="E8" s="35">
        <v>1.5499999999999999E-3</v>
      </c>
      <c r="F8" s="6">
        <f t="shared" si="0"/>
        <v>2.1540000000000002E-9</v>
      </c>
      <c r="G8" s="6">
        <f t="shared" si="1"/>
        <v>1.047E-9</v>
      </c>
      <c r="H8" s="23">
        <v>2.8500000000000001E-3</v>
      </c>
      <c r="I8" s="23">
        <v>3.2499999999999999E-3</v>
      </c>
      <c r="J8" s="22">
        <v>40</v>
      </c>
      <c r="K8" s="6">
        <v>0.15</v>
      </c>
      <c r="L8" s="34">
        <v>9</v>
      </c>
      <c r="M8" s="36">
        <v>8.8539999999999992E-12</v>
      </c>
      <c r="N8" s="6">
        <v>400000000</v>
      </c>
      <c r="O8" s="36">
        <f t="shared" si="8"/>
        <v>159372</v>
      </c>
      <c r="P8" s="36">
        <f t="shared" si="2"/>
        <v>1.9999999999999999E-7</v>
      </c>
      <c r="Q8" s="36">
        <v>1.5999999999999999E-19</v>
      </c>
      <c r="R8" s="22">
        <v>5</v>
      </c>
      <c r="S8" s="22">
        <v>2.5</v>
      </c>
      <c r="T8" s="34">
        <v>2.2000000000000002</v>
      </c>
      <c r="U8" s="34">
        <v>0.4</v>
      </c>
      <c r="V8" s="34">
        <v>0.7</v>
      </c>
      <c r="W8" s="36">
        <f t="shared" si="3"/>
        <v>4.6510121457489886E-4</v>
      </c>
      <c r="X8" s="37">
        <f t="shared" si="4"/>
        <v>1.4117621506567406E-3</v>
      </c>
      <c r="Y8" s="38">
        <f t="shared" si="5"/>
        <v>0.91081429074628428</v>
      </c>
      <c r="Z8" s="69">
        <f t="shared" si="6"/>
        <v>184.67451923076925</v>
      </c>
      <c r="AA8" s="69">
        <v>69</v>
      </c>
      <c r="AB8" s="16">
        <f t="shared" si="7"/>
        <v>2.6764423076923078</v>
      </c>
      <c r="AC8" s="67"/>
      <c r="AD8" s="19"/>
      <c r="AE8" s="39"/>
      <c r="AG8" s="16"/>
      <c r="AI8" s="13"/>
    </row>
    <row r="9" spans="1:35" x14ac:dyDescent="0.3">
      <c r="A9" s="8">
        <v>7002</v>
      </c>
      <c r="B9" s="9">
        <v>3.4899999999999998E-10</v>
      </c>
      <c r="C9" s="9">
        <v>2.01E-10</v>
      </c>
      <c r="D9" s="9">
        <v>3.8E-12</v>
      </c>
      <c r="E9" s="10">
        <v>1.4500000000000001E-2</v>
      </c>
      <c r="F9" s="6">
        <f t="shared" si="0"/>
        <v>3.4520000000000001E-10</v>
      </c>
      <c r="G9" s="6">
        <f t="shared" si="1"/>
        <v>1.972E-10</v>
      </c>
      <c r="H9" s="9">
        <v>1.1000000000000001E-3</v>
      </c>
      <c r="I9" s="9">
        <v>1.6999999999999999E-3</v>
      </c>
      <c r="J9" s="17">
        <v>40</v>
      </c>
      <c r="K9" s="6">
        <v>0.15</v>
      </c>
      <c r="L9" s="20">
        <v>9</v>
      </c>
      <c r="M9" s="6">
        <v>8.8539999999999992E-12</v>
      </c>
      <c r="N9" s="6">
        <v>400000000</v>
      </c>
      <c r="O9" s="6">
        <f t="shared" si="8"/>
        <v>159372</v>
      </c>
      <c r="P9" s="6">
        <f t="shared" si="2"/>
        <v>1.9999999999999999E-7</v>
      </c>
      <c r="Q9" s="6">
        <v>1.5999999999999999E-19</v>
      </c>
      <c r="R9" s="17">
        <v>5</v>
      </c>
      <c r="S9" s="17">
        <v>2.5</v>
      </c>
      <c r="T9" s="20">
        <v>2.5</v>
      </c>
      <c r="U9" s="20">
        <v>0.4</v>
      </c>
      <c r="V9" s="20">
        <v>0.7</v>
      </c>
      <c r="W9" s="6">
        <f t="shared" si="3"/>
        <v>3.6919786096256685E-4</v>
      </c>
      <c r="X9" s="7">
        <f t="shared" si="4"/>
        <v>1.1938621440359561E-2</v>
      </c>
      <c r="Y9" s="16">
        <f t="shared" si="5"/>
        <v>0.82335320278341795</v>
      </c>
      <c r="Z9" s="69">
        <f t="shared" si="6"/>
        <v>136.26654411764707</v>
      </c>
      <c r="AA9" s="69">
        <v>10</v>
      </c>
      <c r="AB9" s="16">
        <f t="shared" si="7"/>
        <v>13.626654411764708</v>
      </c>
      <c r="AC9" s="67"/>
      <c r="AD9" s="19"/>
      <c r="AE9" s="19"/>
      <c r="AG9" s="16"/>
    </row>
    <row r="10" spans="1:35" x14ac:dyDescent="0.3">
      <c r="A10" s="8">
        <v>2040</v>
      </c>
      <c r="B10" s="9">
        <v>8.6E-11</v>
      </c>
      <c r="C10" s="9">
        <v>6.7000000000000001E-11</v>
      </c>
      <c r="D10" s="9">
        <v>1.9999999999999999E-11</v>
      </c>
      <c r="E10" s="10">
        <v>2.4E-2</v>
      </c>
      <c r="F10" s="6">
        <f t="shared" si="0"/>
        <v>6.6000000000000005E-11</v>
      </c>
      <c r="G10" s="6">
        <f t="shared" si="1"/>
        <v>4.7000000000000006E-11</v>
      </c>
      <c r="H10" s="9">
        <v>8.4999999999999995E-4</v>
      </c>
      <c r="I10" s="9">
        <v>1.1999999999999999E-3</v>
      </c>
      <c r="J10" s="17">
        <v>15</v>
      </c>
      <c r="K10" s="6">
        <v>0.17499999999999999</v>
      </c>
      <c r="L10" s="20">
        <v>9</v>
      </c>
      <c r="M10" s="6">
        <v>8.8539999999999992E-12</v>
      </c>
      <c r="N10" s="6">
        <v>400000000</v>
      </c>
      <c r="O10" s="6">
        <f t="shared" si="8"/>
        <v>424992</v>
      </c>
      <c r="P10" s="6">
        <f t="shared" si="2"/>
        <v>7.4999999999999997E-8</v>
      </c>
      <c r="Q10" s="6">
        <v>1.5999999999999999E-19</v>
      </c>
      <c r="R10" s="17">
        <v>5</v>
      </c>
      <c r="S10" s="17">
        <v>1.4</v>
      </c>
      <c r="T10" s="20">
        <v>2.2000000000000002</v>
      </c>
      <c r="U10" s="20">
        <v>0.5</v>
      </c>
      <c r="V10" s="20">
        <v>0.7</v>
      </c>
      <c r="W10" s="6">
        <f t="shared" si="3"/>
        <v>1.294117647058824E-4</v>
      </c>
      <c r="X10" s="7">
        <f t="shared" si="4"/>
        <v>3.3952975129445714E-2</v>
      </c>
      <c r="Y10" s="16">
        <f t="shared" si="5"/>
        <v>1.4147072970602381</v>
      </c>
      <c r="Z10" s="69">
        <f t="shared" si="6"/>
        <v>309.32010000000002</v>
      </c>
      <c r="AA10" s="69">
        <v>3.4</v>
      </c>
      <c r="AB10" s="16">
        <f t="shared" si="7"/>
        <v>90.976500000000016</v>
      </c>
      <c r="AC10" s="67"/>
      <c r="AD10" s="19"/>
      <c r="AE10" s="19"/>
      <c r="AG10" s="16"/>
    </row>
    <row r="11" spans="1:35" x14ac:dyDescent="0.3">
      <c r="A11" s="8" t="s">
        <v>14</v>
      </c>
      <c r="B11" s="9">
        <v>9.7999999999999992E-10</v>
      </c>
      <c r="C11" s="9">
        <v>7.1000000000000003E-10</v>
      </c>
      <c r="D11" s="9">
        <v>1.7999999999999999E-11</v>
      </c>
      <c r="E11" s="10">
        <v>3.2000000000000002E-3</v>
      </c>
      <c r="F11" s="6">
        <f t="shared" si="0"/>
        <v>9.6199999999999999E-10</v>
      </c>
      <c r="G11" s="6">
        <f t="shared" si="1"/>
        <v>6.9199999999999999E-10</v>
      </c>
      <c r="H11" s="9">
        <v>1.6000000000000001E-3</v>
      </c>
      <c r="I11" s="9">
        <v>4.1000000000000003E-3</v>
      </c>
      <c r="J11" s="17">
        <v>40</v>
      </c>
      <c r="K11" s="6">
        <v>0.17499999999999999</v>
      </c>
      <c r="L11" s="20">
        <v>9</v>
      </c>
      <c r="M11" s="6">
        <v>8.8539999999999992E-12</v>
      </c>
      <c r="N11" s="6">
        <v>400000000</v>
      </c>
      <c r="O11" s="6">
        <f t="shared" si="8"/>
        <v>159372</v>
      </c>
      <c r="P11" s="6">
        <f t="shared" si="2"/>
        <v>1.9999999999999999E-7</v>
      </c>
      <c r="Q11" s="6">
        <v>1.5999999999999999E-19</v>
      </c>
      <c r="R11" s="17">
        <v>5</v>
      </c>
      <c r="S11" s="17">
        <v>1.4</v>
      </c>
      <c r="T11" s="20">
        <v>2.4</v>
      </c>
      <c r="U11" s="20">
        <v>0.3</v>
      </c>
      <c r="V11" s="20">
        <v>0.7</v>
      </c>
      <c r="W11" s="6">
        <f t="shared" si="3"/>
        <v>2.9329268292682925E-4</v>
      </c>
      <c r="X11" s="7">
        <f t="shared" si="4"/>
        <v>4.2281292281292288E-3</v>
      </c>
      <c r="Y11" s="16">
        <f t="shared" si="5"/>
        <v>1.321290383790384</v>
      </c>
      <c r="Z11" s="69">
        <f t="shared" si="6"/>
        <v>170.41451707317074</v>
      </c>
      <c r="AA11" s="69">
        <v>53</v>
      </c>
      <c r="AB11" s="16">
        <f t="shared" si="7"/>
        <v>3.2153682466635991</v>
      </c>
      <c r="AC11" s="67"/>
      <c r="AD11" s="19"/>
      <c r="AE11" s="19"/>
      <c r="AG11" s="16"/>
    </row>
    <row r="12" spans="1:35" ht="15" thickBot="1" x14ac:dyDescent="0.35">
      <c r="A12" s="8">
        <v>8004</v>
      </c>
      <c r="B12" s="9">
        <v>4.5E-11</v>
      </c>
      <c r="C12" s="9">
        <v>2.3000000000000001E-11</v>
      </c>
      <c r="D12" s="9">
        <v>8.0000000000000002E-13</v>
      </c>
      <c r="E12" s="10">
        <v>0.08</v>
      </c>
      <c r="F12" s="6">
        <f t="shared" si="0"/>
        <v>4.42E-11</v>
      </c>
      <c r="G12" s="6">
        <f t="shared" si="1"/>
        <v>2.2200000000000002E-11</v>
      </c>
      <c r="H12" s="9">
        <v>8.4999999999999995E-4</v>
      </c>
      <c r="I12" s="9">
        <v>2.0999999999999999E-3</v>
      </c>
      <c r="J12" s="17">
        <v>40</v>
      </c>
      <c r="K12" s="6">
        <v>0.15</v>
      </c>
      <c r="L12" s="20">
        <v>9</v>
      </c>
      <c r="M12" s="6">
        <v>8.8539999999999992E-12</v>
      </c>
      <c r="N12" s="6">
        <v>400000000</v>
      </c>
      <c r="O12" s="6">
        <f t="shared" si="8"/>
        <v>159372</v>
      </c>
      <c r="P12" s="6">
        <f t="shared" si="2"/>
        <v>1.9999999999999999E-7</v>
      </c>
      <c r="Q12" s="6">
        <v>1.5999999999999999E-19</v>
      </c>
      <c r="R12" s="17">
        <v>5</v>
      </c>
      <c r="S12" s="17">
        <v>1.4</v>
      </c>
      <c r="T12" s="20">
        <v>2.2000000000000002</v>
      </c>
      <c r="U12" s="20">
        <v>0.34</v>
      </c>
      <c r="V12" s="20">
        <v>0.7</v>
      </c>
      <c r="W12" s="6">
        <f t="shared" si="3"/>
        <v>4.9523809523809525E-5</v>
      </c>
      <c r="X12" s="7">
        <f t="shared" si="4"/>
        <v>0.10351048413332151</v>
      </c>
      <c r="Y12" s="16">
        <f t="shared" si="5"/>
        <v>1.2938810516665189</v>
      </c>
      <c r="Z12" s="69">
        <f t="shared" si="6"/>
        <v>176.75434285714289</v>
      </c>
      <c r="AA12" s="70">
        <v>4</v>
      </c>
      <c r="AB12" s="16">
        <f t="shared" si="7"/>
        <v>44.188585714285722</v>
      </c>
      <c r="AC12" s="67"/>
      <c r="AD12" s="19"/>
      <c r="AE12" s="19"/>
      <c r="AG12" s="16"/>
    </row>
    <row r="13" spans="1:35" ht="15" thickBot="1" x14ac:dyDescent="0.35">
      <c r="B13" s="9"/>
      <c r="C13" s="9"/>
      <c r="D13" s="9"/>
      <c r="E13" s="9"/>
      <c r="O13" s="16"/>
    </row>
    <row r="14" spans="1:35" ht="29.4" thickBot="1" x14ac:dyDescent="0.35">
      <c r="A14" s="1" t="s">
        <v>0</v>
      </c>
      <c r="B14" s="8" t="s">
        <v>19</v>
      </c>
      <c r="C14" s="8" t="s">
        <v>18</v>
      </c>
      <c r="D14" s="8" t="s">
        <v>17</v>
      </c>
      <c r="E14" s="8" t="s">
        <v>20</v>
      </c>
      <c r="F14" s="15" t="s">
        <v>21</v>
      </c>
      <c r="G14" s="15" t="s">
        <v>22</v>
      </c>
      <c r="H14" s="15" t="s">
        <v>23</v>
      </c>
      <c r="I14" s="15" t="s">
        <v>24</v>
      </c>
      <c r="J14" s="8" t="s">
        <v>25</v>
      </c>
      <c r="K14" s="8" t="s">
        <v>26</v>
      </c>
      <c r="L14" s="8" t="s">
        <v>10</v>
      </c>
      <c r="M14" s="8" t="s">
        <v>48</v>
      </c>
      <c r="N14" s="13"/>
      <c r="O14" s="19"/>
      <c r="P14" s="19"/>
      <c r="Q14" s="19"/>
    </row>
    <row r="15" spans="1:35" x14ac:dyDescent="0.3">
      <c r="A15" s="5" t="s">
        <v>1</v>
      </c>
      <c r="B15" s="8">
        <v>12</v>
      </c>
      <c r="C15" s="8">
        <v>1</v>
      </c>
      <c r="D15" s="8">
        <v>35</v>
      </c>
      <c r="E15" s="8">
        <f t="shared" ref="E15:E25" si="9">C15/B15</f>
        <v>8.3333333333333329E-2</v>
      </c>
      <c r="F15" s="9">
        <f>500000</f>
        <v>500000</v>
      </c>
      <c r="G15" s="17">
        <f t="shared" ref="G15:G25" si="10">0.1*(D15/2)</f>
        <v>1.75</v>
      </c>
      <c r="H15" s="17">
        <f t="shared" ref="H15:H25" si="11">0.01*C15</f>
        <v>0.01</v>
      </c>
      <c r="I15" s="8">
        <f t="shared" ref="I15:I25" si="12">((B15-C15)*E15)/(2*G15*F15)</f>
        <v>5.2380952380952378E-7</v>
      </c>
      <c r="J15" s="17">
        <f>SQRT(E15)*(D15)</f>
        <v>10.103629710818451</v>
      </c>
      <c r="K15" s="17">
        <f>SQRT(1-E15)*(D15)</f>
        <v>33.509948771471834</v>
      </c>
      <c r="L15" s="8">
        <v>5</v>
      </c>
      <c r="M15" s="17">
        <f>(L15-(0.5*(T2+S2)))/(SUM(U2:V2))</f>
        <v>2.4318181818181817</v>
      </c>
      <c r="N15" s="13"/>
    </row>
    <row r="16" spans="1:35" x14ac:dyDescent="0.3">
      <c r="A16" s="5">
        <v>2216</v>
      </c>
      <c r="B16" s="8">
        <v>12</v>
      </c>
      <c r="C16" s="8">
        <v>1</v>
      </c>
      <c r="D16" s="8">
        <v>12</v>
      </c>
      <c r="E16" s="8">
        <f t="shared" si="9"/>
        <v>8.3333333333333329E-2</v>
      </c>
      <c r="F16" s="9">
        <v>700000</v>
      </c>
      <c r="G16" s="17">
        <f t="shared" si="10"/>
        <v>0.60000000000000009</v>
      </c>
      <c r="H16" s="17">
        <f t="shared" si="11"/>
        <v>0.01</v>
      </c>
      <c r="I16" s="8">
        <f t="shared" si="12"/>
        <v>1.091269841269841E-6</v>
      </c>
      <c r="J16" s="17">
        <f t="shared" ref="J16:J25" si="13">SQRT(E16)*(D16)</f>
        <v>3.4641016151377544</v>
      </c>
      <c r="K16" s="17">
        <f t="shared" ref="K16:K25" si="14">SQRT(1-E16)*(D16)</f>
        <v>11.489125293076057</v>
      </c>
      <c r="L16" s="8">
        <v>5</v>
      </c>
      <c r="M16" s="17">
        <f t="shared" ref="M16:M25" si="15">(L16-(0.5*(T3+S3)))/(SUM(U3:V3))</f>
        <v>2.916666666666667</v>
      </c>
      <c r="N16" s="13"/>
    </row>
    <row r="17" spans="1:22" x14ac:dyDescent="0.3">
      <c r="A17" s="8">
        <v>2206</v>
      </c>
      <c r="B17" s="8">
        <v>12</v>
      </c>
      <c r="C17" s="8">
        <v>1</v>
      </c>
      <c r="D17" s="8">
        <v>90</v>
      </c>
      <c r="E17" s="8">
        <f t="shared" si="9"/>
        <v>8.3333333333333329E-2</v>
      </c>
      <c r="F17" s="9">
        <f>500000</f>
        <v>500000</v>
      </c>
      <c r="G17" s="17">
        <f t="shared" si="10"/>
        <v>4.5</v>
      </c>
      <c r="H17" s="17">
        <f t="shared" si="11"/>
        <v>0.01</v>
      </c>
      <c r="I17" s="8">
        <f t="shared" si="12"/>
        <v>2.0370370370370369E-7</v>
      </c>
      <c r="J17" s="17">
        <f t="shared" si="13"/>
        <v>25.980762113533157</v>
      </c>
      <c r="K17" s="17">
        <f t="shared" si="14"/>
        <v>86.168439698070429</v>
      </c>
      <c r="L17" s="8">
        <v>5</v>
      </c>
      <c r="M17" s="17">
        <f t="shared" si="15"/>
        <v>3.4</v>
      </c>
      <c r="N17" s="13"/>
    </row>
    <row r="18" spans="1:22" x14ac:dyDescent="0.3">
      <c r="A18" s="8">
        <v>2214</v>
      </c>
      <c r="B18" s="8">
        <v>12</v>
      </c>
      <c r="C18" s="8">
        <v>1</v>
      </c>
      <c r="D18" s="8">
        <v>35</v>
      </c>
      <c r="E18" s="8">
        <f t="shared" si="9"/>
        <v>8.3333333333333329E-2</v>
      </c>
      <c r="F18" s="9">
        <f>600000</f>
        <v>600000</v>
      </c>
      <c r="G18" s="17">
        <f t="shared" si="10"/>
        <v>1.75</v>
      </c>
      <c r="H18" s="17">
        <f t="shared" si="11"/>
        <v>0.01</v>
      </c>
      <c r="I18" s="8">
        <f t="shared" si="12"/>
        <v>4.365079365079365E-7</v>
      </c>
      <c r="J18" s="17">
        <f t="shared" si="13"/>
        <v>10.103629710818451</v>
      </c>
      <c r="K18" s="17">
        <f t="shared" si="14"/>
        <v>33.509948771471834</v>
      </c>
      <c r="L18" s="8">
        <v>5</v>
      </c>
      <c r="M18" s="17">
        <f t="shared" si="15"/>
        <v>1.9629629629629628</v>
      </c>
      <c r="N18" s="13"/>
    </row>
    <row r="19" spans="1:22" x14ac:dyDescent="0.3">
      <c r="A19" s="8">
        <v>2024</v>
      </c>
      <c r="B19" s="8">
        <v>12</v>
      </c>
      <c r="C19" s="8">
        <v>1</v>
      </c>
      <c r="D19" s="8">
        <v>200</v>
      </c>
      <c r="E19" s="8">
        <f t="shared" si="9"/>
        <v>8.3333333333333329E-2</v>
      </c>
      <c r="F19" s="9">
        <f>600000</f>
        <v>600000</v>
      </c>
      <c r="G19" s="17">
        <f t="shared" si="10"/>
        <v>10</v>
      </c>
      <c r="H19" s="17">
        <f t="shared" si="11"/>
        <v>0.01</v>
      </c>
      <c r="I19" s="8">
        <f t="shared" si="12"/>
        <v>7.6388888888888882E-8</v>
      </c>
      <c r="J19" s="17">
        <f t="shared" si="13"/>
        <v>57.735026918962575</v>
      </c>
      <c r="K19" s="17">
        <f t="shared" si="14"/>
        <v>191.48542155126762</v>
      </c>
      <c r="L19" s="8">
        <v>5</v>
      </c>
      <c r="M19" s="17">
        <f t="shared" si="15"/>
        <v>3.35</v>
      </c>
      <c r="N19" s="13"/>
    </row>
    <row r="20" spans="1:22" x14ac:dyDescent="0.3">
      <c r="A20" s="8">
        <v>2055</v>
      </c>
      <c r="B20" s="8">
        <v>12</v>
      </c>
      <c r="C20" s="8">
        <v>1</v>
      </c>
      <c r="D20" s="8">
        <v>100</v>
      </c>
      <c r="E20" s="8">
        <f t="shared" si="9"/>
        <v>8.3333333333333329E-2</v>
      </c>
      <c r="F20" s="9">
        <v>1000000</v>
      </c>
      <c r="G20" s="17">
        <f t="shared" si="10"/>
        <v>5</v>
      </c>
      <c r="H20" s="17">
        <f t="shared" si="11"/>
        <v>0.01</v>
      </c>
      <c r="I20" s="9">
        <f t="shared" si="12"/>
        <v>9.1666666666666667E-8</v>
      </c>
      <c r="J20" s="17">
        <f t="shared" si="13"/>
        <v>28.867513459481287</v>
      </c>
      <c r="K20" s="17">
        <f t="shared" si="14"/>
        <v>95.74271077563381</v>
      </c>
      <c r="L20" s="8">
        <v>5</v>
      </c>
      <c r="M20" s="17">
        <f t="shared" si="15"/>
        <v>2.4090909090909087</v>
      </c>
      <c r="N20" s="13"/>
    </row>
    <row r="21" spans="1:22" x14ac:dyDescent="0.3">
      <c r="A21" s="8">
        <v>2067</v>
      </c>
      <c r="B21" s="8">
        <v>12</v>
      </c>
      <c r="C21" s="8">
        <v>1</v>
      </c>
      <c r="D21" s="8">
        <v>230</v>
      </c>
      <c r="E21" s="8">
        <f t="shared" si="9"/>
        <v>8.3333333333333329E-2</v>
      </c>
      <c r="F21" s="9">
        <v>2000000</v>
      </c>
      <c r="G21" s="17">
        <f t="shared" si="10"/>
        <v>11.5</v>
      </c>
      <c r="H21" s="17">
        <f t="shared" si="11"/>
        <v>0.01</v>
      </c>
      <c r="I21" s="9">
        <f t="shared" si="12"/>
        <v>1.9927536231884056E-8</v>
      </c>
      <c r="J21" s="17">
        <f t="shared" si="13"/>
        <v>66.395280956806957</v>
      </c>
      <c r="K21" s="17">
        <f t="shared" si="14"/>
        <v>220.20823478395778</v>
      </c>
      <c r="L21" s="8">
        <v>5</v>
      </c>
      <c r="M21" s="17">
        <f t="shared" si="15"/>
        <v>2.4090909090909087</v>
      </c>
      <c r="N21" s="13"/>
    </row>
    <row r="22" spans="1:22" x14ac:dyDescent="0.3">
      <c r="A22" s="8">
        <v>7002</v>
      </c>
      <c r="B22" s="8">
        <v>12</v>
      </c>
      <c r="C22" s="8">
        <v>1</v>
      </c>
      <c r="D22" s="8">
        <v>50</v>
      </c>
      <c r="E22" s="8">
        <f t="shared" si="9"/>
        <v>8.3333333333333329E-2</v>
      </c>
      <c r="F22" s="9">
        <v>5000000</v>
      </c>
      <c r="G22" s="17">
        <f t="shared" si="10"/>
        <v>2.5</v>
      </c>
      <c r="H22" s="17">
        <f t="shared" si="11"/>
        <v>0.01</v>
      </c>
      <c r="I22" s="9">
        <f t="shared" si="12"/>
        <v>3.6666666666666664E-8</v>
      </c>
      <c r="J22" s="17">
        <f t="shared" si="13"/>
        <v>14.433756729740644</v>
      </c>
      <c r="K22" s="17">
        <f t="shared" si="14"/>
        <v>47.871355387816905</v>
      </c>
      <c r="L22" s="8">
        <v>5</v>
      </c>
      <c r="M22" s="17">
        <f t="shared" si="15"/>
        <v>2.2727272727272725</v>
      </c>
      <c r="N22" s="13"/>
    </row>
    <row r="23" spans="1:22" x14ac:dyDescent="0.3">
      <c r="A23" s="8">
        <v>2040</v>
      </c>
      <c r="B23" s="8">
        <v>12</v>
      </c>
      <c r="C23" s="8">
        <v>1</v>
      </c>
      <c r="D23" s="8">
        <v>20</v>
      </c>
      <c r="E23" s="8">
        <f t="shared" si="9"/>
        <v>8.3333333333333329E-2</v>
      </c>
      <c r="F23" s="9">
        <v>10000000</v>
      </c>
      <c r="G23" s="17">
        <f t="shared" si="10"/>
        <v>1</v>
      </c>
      <c r="H23" s="17">
        <f t="shared" si="11"/>
        <v>0.01</v>
      </c>
      <c r="I23" s="8">
        <f t="shared" si="12"/>
        <v>4.5833333333333333E-8</v>
      </c>
      <c r="J23" s="17">
        <f t="shared" si="13"/>
        <v>5.7735026918962573</v>
      </c>
      <c r="K23" s="17">
        <f t="shared" si="14"/>
        <v>19.148542155126762</v>
      </c>
      <c r="L23" s="8">
        <v>5</v>
      </c>
      <c r="M23" s="17">
        <f t="shared" si="15"/>
        <v>2.666666666666667</v>
      </c>
      <c r="N23" s="13"/>
    </row>
    <row r="24" spans="1:22" x14ac:dyDescent="0.3">
      <c r="A24" s="8" t="s">
        <v>14</v>
      </c>
      <c r="B24" s="8">
        <v>12</v>
      </c>
      <c r="C24" s="8">
        <v>1</v>
      </c>
      <c r="D24" s="8">
        <v>180</v>
      </c>
      <c r="E24" s="8">
        <f t="shared" si="9"/>
        <v>8.3333333333333329E-2</v>
      </c>
      <c r="F24" s="9">
        <v>500000</v>
      </c>
      <c r="G24" s="17">
        <f t="shared" si="10"/>
        <v>9</v>
      </c>
      <c r="H24" s="17">
        <f t="shared" si="11"/>
        <v>0.01</v>
      </c>
      <c r="I24" s="8">
        <f t="shared" si="12"/>
        <v>1.0185185185185184E-7</v>
      </c>
      <c r="J24" s="17">
        <f t="shared" si="13"/>
        <v>51.961524227066313</v>
      </c>
      <c r="K24" s="17">
        <f t="shared" si="14"/>
        <v>172.33687939614086</v>
      </c>
      <c r="L24" s="8">
        <v>5</v>
      </c>
      <c r="M24" s="17">
        <f t="shared" si="15"/>
        <v>3.1</v>
      </c>
      <c r="N24" s="13"/>
    </row>
    <row r="25" spans="1:22" x14ac:dyDescent="0.3">
      <c r="A25" s="8">
        <v>8004</v>
      </c>
      <c r="B25" s="8">
        <v>12</v>
      </c>
      <c r="C25" s="8">
        <v>1</v>
      </c>
      <c r="D25" s="8">
        <v>14</v>
      </c>
      <c r="E25" s="8">
        <f t="shared" si="9"/>
        <v>8.3333333333333329E-2</v>
      </c>
      <c r="F25" s="9">
        <v>500000</v>
      </c>
      <c r="G25" s="17">
        <f t="shared" si="10"/>
        <v>0.70000000000000007</v>
      </c>
      <c r="H25" s="17">
        <f t="shared" si="11"/>
        <v>0.01</v>
      </c>
      <c r="I25" s="8">
        <f t="shared" si="12"/>
        <v>1.3095238095238092E-6</v>
      </c>
      <c r="J25" s="17">
        <f t="shared" si="13"/>
        <v>4.0414518843273797</v>
      </c>
      <c r="K25" s="17">
        <f t="shared" si="14"/>
        <v>13.403979508588733</v>
      </c>
      <c r="L25" s="8">
        <v>5</v>
      </c>
      <c r="M25" s="40">
        <f t="shared" si="15"/>
        <v>3.0769230769230771</v>
      </c>
      <c r="N25" s="13"/>
    </row>
    <row r="26" spans="1:22" x14ac:dyDescent="0.3">
      <c r="L26" s="27"/>
      <c r="M26" s="9"/>
      <c r="N26" s="13"/>
    </row>
    <row r="27" spans="1:22" x14ac:dyDescent="0.3">
      <c r="N27" s="13"/>
    </row>
    <row r="28" spans="1:22" ht="15" thickBot="1" x14ac:dyDescent="0.35">
      <c r="A28" s="8" t="s">
        <v>27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13"/>
    </row>
    <row r="29" spans="1:22" ht="29.4" thickBot="1" x14ac:dyDescent="0.35">
      <c r="A29" s="30" t="s">
        <v>0</v>
      </c>
      <c r="B29" s="32" t="s">
        <v>28</v>
      </c>
      <c r="C29" s="32" t="s">
        <v>29</v>
      </c>
      <c r="D29" s="32"/>
      <c r="E29" s="32" t="s">
        <v>30</v>
      </c>
      <c r="F29" s="32" t="s">
        <v>49</v>
      </c>
      <c r="G29" s="32" t="s">
        <v>31</v>
      </c>
      <c r="H29" s="32"/>
      <c r="I29" s="32" t="s">
        <v>32</v>
      </c>
      <c r="J29" s="32" t="s">
        <v>50</v>
      </c>
      <c r="K29" s="32" t="s">
        <v>33</v>
      </c>
      <c r="L29" s="32"/>
      <c r="M29" s="32" t="s">
        <v>34</v>
      </c>
      <c r="N29" s="32" t="s">
        <v>51</v>
      </c>
      <c r="O29" s="32" t="s">
        <v>35</v>
      </c>
      <c r="P29" s="32"/>
      <c r="Q29" s="32" t="s">
        <v>36</v>
      </c>
      <c r="R29" s="32" t="s">
        <v>37</v>
      </c>
      <c r="S29" s="32"/>
      <c r="T29" s="14"/>
      <c r="U29" s="14"/>
      <c r="V29" s="14"/>
    </row>
    <row r="30" spans="1:22" x14ac:dyDescent="0.3">
      <c r="A30" s="5" t="s">
        <v>1</v>
      </c>
      <c r="B30" s="5">
        <v>1.7290000000000001</v>
      </c>
      <c r="C30" s="20">
        <f>(J15^2+((G15^2)/3))*X2</f>
        <v>0.82964468688572657</v>
      </c>
      <c r="D30" s="20">
        <f>MIN(B30:C30)/MAX(B30:C30)</f>
        <v>0.47984076742956999</v>
      </c>
      <c r="E30" s="5">
        <v>0.375</v>
      </c>
      <c r="F30" s="6">
        <f>(H2*I2*(F2)*B15*1000000)+(I2*D2*1000*B15)</f>
        <v>4.9235399999999997E-9</v>
      </c>
      <c r="G30" s="33">
        <f>(SQRT(J15^2+((G15^2)/3))*(B15)*F30*F15)/M15</f>
        <v>0.12334902698272072</v>
      </c>
      <c r="H30" s="20">
        <f>MIN(E30,G30)/MAX(E30,G30)</f>
        <v>0.32893073862058858</v>
      </c>
      <c r="I30" s="33">
        <f>0.00515</f>
        <v>5.1500000000000001E-3</v>
      </c>
      <c r="J30" s="6">
        <f>(H2*I2*(F2)*L15*1000000)+(I2*D2*1000*L15)</f>
        <v>2.0514750000000001E-9</v>
      </c>
      <c r="K30" s="33">
        <f t="shared" ref="K30:K40" si="16">L15*F15*J30</f>
        <v>5.1286875000000004E-3</v>
      </c>
      <c r="L30" s="20">
        <f>MIN(I30,K30)/MAX(I30,K30)</f>
        <v>0.99586165048543696</v>
      </c>
      <c r="M30" s="33">
        <v>8.0000000000000002E-3</v>
      </c>
      <c r="N30" s="6">
        <f>G2*H2*I2*1000000*B15</f>
        <v>3.2201399999999996E-9</v>
      </c>
      <c r="O30" s="33">
        <f t="shared" ref="O30:O40" si="17">(B15*N30*F15)/2</f>
        <v>9.6604199999999977E-3</v>
      </c>
      <c r="P30" s="20">
        <f t="shared" ref="P30:P40" si="18">MIN(M30,O30)/MAX(M30,O30)</f>
        <v>0.82812134462062748</v>
      </c>
      <c r="Q30" s="20">
        <f t="shared" ref="Q30:Q40" si="19">SUM(B30,E30,I30,M30)</f>
        <v>2.1171500000000001</v>
      </c>
      <c r="R30" s="20">
        <f t="shared" ref="R30:R40" si="20">SUM(C30,G30,K30,O30)</f>
        <v>0.96778282136844729</v>
      </c>
      <c r="S30" s="20">
        <f>MIN(Q30:R30)/MAX(Q30:R30)</f>
        <v>0.45711584978317421</v>
      </c>
    </row>
    <row r="31" spans="1:22" x14ac:dyDescent="0.3">
      <c r="A31" s="5">
        <v>2216</v>
      </c>
      <c r="B31" s="8">
        <v>0.34799999999999998</v>
      </c>
      <c r="C31" s="20">
        <f t="shared" ref="C31:C40" si="21">(J16^2+((G16^2)/3))*X3</f>
        <v>0.33296703296703284</v>
      </c>
      <c r="D31" s="17">
        <f t="shared" ref="D31:D40" si="22">MIN(B31:C31)/MAX(B31:C31)</f>
        <v>0.95680181887078408</v>
      </c>
      <c r="E31" s="25">
        <v>0.01</v>
      </c>
      <c r="F31" s="9">
        <f t="shared" ref="F31:F40" si="23">(H3*I3*(F3)*B16*1000000)+(I3*D3*1000*B16)</f>
        <v>1.1865599999999999E-9</v>
      </c>
      <c r="G31" s="33">
        <f t="shared" ref="G31:G40" si="24">(SQRT(J16^2+((G16^2)/3))*(B16)*F31*F16)/M16</f>
        <v>1.1896891517572722E-2</v>
      </c>
      <c r="H31" s="17">
        <f t="shared" ref="H31:H40" si="25">MIN(E31,G31)/MAX(E31,G31)</f>
        <v>0.84055570190155537</v>
      </c>
      <c r="I31" s="25">
        <v>2.5200000000000001E-3</v>
      </c>
      <c r="J31" s="9">
        <f>(H3*I3*(F3)*L16*1000000)+(I3*D3*1000*L16)</f>
        <v>4.9439999999999997E-10</v>
      </c>
      <c r="K31" s="25">
        <f t="shared" si="16"/>
        <v>1.7304E-3</v>
      </c>
      <c r="L31" s="17">
        <f t="shared" ref="L31:L40" si="26">MIN(I31,K31)/MAX(I31,K31)</f>
        <v>0.68666666666666665</v>
      </c>
      <c r="M31" s="25">
        <v>2E-3</v>
      </c>
      <c r="N31" s="6">
        <f t="shared" ref="N31:N39" si="27">G3*H3*I3*1000000*B16</f>
        <v>5.2992000000000017E-10</v>
      </c>
      <c r="O31" s="25">
        <f t="shared" si="17"/>
        <v>2.2256640000000009E-3</v>
      </c>
      <c r="P31" s="17">
        <f t="shared" si="18"/>
        <v>0.898608235564757</v>
      </c>
      <c r="Q31" s="17">
        <f t="shared" si="19"/>
        <v>0.36252000000000001</v>
      </c>
      <c r="R31" s="17">
        <f t="shared" si="20"/>
        <v>0.3488199884846056</v>
      </c>
      <c r="S31" s="17">
        <f t="shared" ref="S31:S39" si="28">MIN(Q31:R31)/MAX(Q31:R31)</f>
        <v>0.96220894980857774</v>
      </c>
    </row>
    <row r="32" spans="1:22" s="24" customFormat="1" x14ac:dyDescent="0.3">
      <c r="A32" s="21">
        <v>2206</v>
      </c>
      <c r="B32" s="21">
        <v>1.8240000000000001</v>
      </c>
      <c r="C32" s="34">
        <f t="shared" si="21"/>
        <v>1.6907147929794499</v>
      </c>
      <c r="D32" s="22">
        <f t="shared" si="22"/>
        <v>0.92692696983522471</v>
      </c>
      <c r="E32" s="21">
        <f>1.127</f>
        <v>1.127</v>
      </c>
      <c r="F32" s="23">
        <f>(H4*I4*(F4)*B17*100000)+(I4*D4*1000*B17)</f>
        <v>2.7722310000000001E-8</v>
      </c>
      <c r="G32" s="33">
        <f t="shared" si="24"/>
        <v>1.2773629706578629</v>
      </c>
      <c r="H32" s="22">
        <f t="shared" si="25"/>
        <v>0.88228641810367847</v>
      </c>
      <c r="I32" s="26">
        <f>0.03809</f>
        <v>3.8089999999999999E-2</v>
      </c>
      <c r="J32" s="23">
        <f>(H4*I4*(F4)*L17*100000)+(I4*D4*1000*L17)</f>
        <v>1.15509625E-8</v>
      </c>
      <c r="K32" s="26">
        <f t="shared" si="16"/>
        <v>2.8877406250000001E-2</v>
      </c>
      <c r="L32" s="22">
        <f t="shared" si="26"/>
        <v>0.75813615778419541</v>
      </c>
      <c r="M32" s="26">
        <v>0.108</v>
      </c>
      <c r="N32" s="36">
        <f>G4*H4*I4*100000*B17</f>
        <v>1.8117329999999995E-8</v>
      </c>
      <c r="O32" s="26">
        <f t="shared" si="17"/>
        <v>5.4351989999999989E-2</v>
      </c>
      <c r="P32" s="22">
        <f t="shared" si="18"/>
        <v>0.50325916666666659</v>
      </c>
      <c r="Q32" s="22">
        <f t="shared" si="19"/>
        <v>3.0970900000000001</v>
      </c>
      <c r="R32" s="22">
        <f t="shared" si="20"/>
        <v>3.0513071598873123</v>
      </c>
      <c r="S32" s="22">
        <f t="shared" si="28"/>
        <v>0.98521746539083854</v>
      </c>
    </row>
    <row r="33" spans="1:19" x14ac:dyDescent="0.3">
      <c r="A33" s="8">
        <v>2214</v>
      </c>
      <c r="B33" s="8">
        <v>2.2229999999999999</v>
      </c>
      <c r="C33" s="20">
        <f t="shared" si="21"/>
        <v>1.4013478310114398</v>
      </c>
      <c r="D33" s="17">
        <f t="shared" si="22"/>
        <v>0.63038588889403502</v>
      </c>
      <c r="E33" s="8">
        <v>0.115</v>
      </c>
      <c r="F33" s="9">
        <f t="shared" si="23"/>
        <v>4.6448639999999992E-9</v>
      </c>
      <c r="G33" s="33">
        <f t="shared" si="24"/>
        <v>0.17299418367190383</v>
      </c>
      <c r="H33" s="17">
        <f t="shared" si="25"/>
        <v>0.66476223396103273</v>
      </c>
      <c r="I33" s="25">
        <v>5.4999999999999997E-3</v>
      </c>
      <c r="J33" s="9">
        <f>(H5*I5*(F5)*L18*1000000)+(I5*D5*1000*L18)</f>
        <v>1.9353599999999998E-9</v>
      </c>
      <c r="K33" s="25">
        <f t="shared" si="16"/>
        <v>5.8060799999999991E-3</v>
      </c>
      <c r="L33" s="17">
        <f t="shared" si="26"/>
        <v>0.94728284832451504</v>
      </c>
      <c r="M33" s="25">
        <v>1.4E-2</v>
      </c>
      <c r="N33" s="6">
        <f t="shared" si="27"/>
        <v>2.9917439999999999E-9</v>
      </c>
      <c r="O33" s="25">
        <f t="shared" si="17"/>
        <v>1.0770278400000001E-2</v>
      </c>
      <c r="P33" s="17">
        <f t="shared" si="18"/>
        <v>0.76930560000000003</v>
      </c>
      <c r="Q33" s="17">
        <f t="shared" si="19"/>
        <v>2.3574999999999999</v>
      </c>
      <c r="R33" s="17">
        <f t="shared" si="20"/>
        <v>1.5909183730833436</v>
      </c>
      <c r="S33" s="17">
        <f t="shared" si="28"/>
        <v>0.67483281997172584</v>
      </c>
    </row>
    <row r="34" spans="1:19" s="24" customFormat="1" x14ac:dyDescent="0.3">
      <c r="A34" s="21">
        <v>2024</v>
      </c>
      <c r="B34" s="21">
        <v>5.6849999999999996</v>
      </c>
      <c r="C34" s="34">
        <f t="shared" si="21"/>
        <v>5.5290780235024135</v>
      </c>
      <c r="D34" s="22">
        <f t="shared" si="22"/>
        <v>0.97257309120534985</v>
      </c>
      <c r="E34" s="21">
        <v>5.6760000000000002</v>
      </c>
      <c r="F34" s="23">
        <f>(H6*I6*(F6)*B19*100000)+(I6*D6*1000*B19)</f>
        <v>3.3402959999999999E-8</v>
      </c>
      <c r="G34" s="33">
        <f t="shared" si="24"/>
        <v>4.1655533631505053</v>
      </c>
      <c r="H34" s="22">
        <f t="shared" si="25"/>
        <v>0.73388889414209046</v>
      </c>
      <c r="I34" s="26">
        <v>5.6180000000000001E-2</v>
      </c>
      <c r="J34" s="23">
        <f>(H6*I6*(F6)*L19*100000)+(I6*D6*1000*L19)</f>
        <v>1.3917900000000002E-8</v>
      </c>
      <c r="K34" s="26">
        <f t="shared" si="16"/>
        <v>4.1753700000000005E-2</v>
      </c>
      <c r="L34" s="22">
        <f t="shared" si="26"/>
        <v>0.74321288714845146</v>
      </c>
      <c r="M34" s="26">
        <v>0.11600000000000001</v>
      </c>
      <c r="N34" s="36">
        <f>G6*H6*I6*100000*B19</f>
        <v>2.6346959999999998E-8</v>
      </c>
      <c r="O34" s="26">
        <f t="shared" si="17"/>
        <v>9.4849055999999987E-2</v>
      </c>
      <c r="P34" s="22">
        <f t="shared" si="18"/>
        <v>0.8176642758620688</v>
      </c>
      <c r="Q34" s="22">
        <f t="shared" si="19"/>
        <v>11.53318</v>
      </c>
      <c r="R34" s="22">
        <f t="shared" si="20"/>
        <v>9.8312341426529173</v>
      </c>
      <c r="S34" s="22">
        <f t="shared" si="28"/>
        <v>0.85243047820747764</v>
      </c>
    </row>
    <row r="35" spans="1:19" x14ac:dyDescent="0.3">
      <c r="A35" s="8">
        <v>2055</v>
      </c>
      <c r="B35" s="8">
        <v>3.5779999999999998</v>
      </c>
      <c r="C35" s="20">
        <f t="shared" si="21"/>
        <v>3.8528589357716982</v>
      </c>
      <c r="D35" s="17">
        <f t="shared" si="22"/>
        <v>0.92866104356435608</v>
      </c>
      <c r="E35" s="8">
        <v>2.4369999999999998</v>
      </c>
      <c r="F35" s="9">
        <f t="shared" si="23"/>
        <v>3.7713000000000002E-8</v>
      </c>
      <c r="G35" s="33">
        <f t="shared" si="24"/>
        <v>5.4499083920381093</v>
      </c>
      <c r="H35" s="17">
        <f t="shared" si="25"/>
        <v>0.44716347958440306</v>
      </c>
      <c r="I35" s="25">
        <v>3.4759999999999999E-2</v>
      </c>
      <c r="J35" s="9">
        <f>(H7*I7*(F7)*L20*1000000)+(I7*D7*1000*L20)</f>
        <v>1.5713750000000001E-8</v>
      </c>
      <c r="K35" s="25">
        <f t="shared" si="16"/>
        <v>7.8568750000000007E-2</v>
      </c>
      <c r="L35" s="17">
        <f t="shared" si="26"/>
        <v>0.44241508233235222</v>
      </c>
      <c r="M35" s="25">
        <v>5.8000000000000003E-2</v>
      </c>
      <c r="N35" s="6">
        <f t="shared" si="27"/>
        <v>1.7963999999999998E-8</v>
      </c>
      <c r="O35" s="25">
        <f t="shared" si="17"/>
        <v>0.10778399999999998</v>
      </c>
      <c r="P35" s="17">
        <f t="shared" si="18"/>
        <v>0.53811326356416556</v>
      </c>
      <c r="Q35" s="17">
        <f t="shared" si="19"/>
        <v>6.1077599999999999</v>
      </c>
      <c r="R35" s="17">
        <f t="shared" si="20"/>
        <v>9.4891200778098082</v>
      </c>
      <c r="S35" s="17">
        <f t="shared" si="28"/>
        <v>0.64365925922709344</v>
      </c>
    </row>
    <row r="36" spans="1:19" s="24" customFormat="1" x14ac:dyDescent="0.3">
      <c r="A36" s="21">
        <v>2067</v>
      </c>
      <c r="B36" s="21">
        <v>8.1449999999999996</v>
      </c>
      <c r="C36" s="34">
        <f t="shared" si="21"/>
        <v>6.2857533289532475</v>
      </c>
      <c r="D36" s="22">
        <f t="shared" si="22"/>
        <v>0.77173153209984624</v>
      </c>
      <c r="E36" s="21">
        <v>15.680999999999999</v>
      </c>
      <c r="F36" s="23">
        <f>(H8*I8*(F8)*B21*100000)+(I8*D8*1000*B21)</f>
        <v>2.4877710000000003E-8</v>
      </c>
      <c r="G36" s="33">
        <f t="shared" si="24"/>
        <v>16.537366592871841</v>
      </c>
      <c r="H36" s="22">
        <f t="shared" si="25"/>
        <v>0.94821626598995723</v>
      </c>
      <c r="I36" s="26">
        <v>0.17996999999999999</v>
      </c>
      <c r="J36" s="23">
        <f>(H8*I8*(F8)*L21*100000)+(I8*D8*1000*L21)</f>
        <v>1.0365712500000001E-8</v>
      </c>
      <c r="K36" s="26">
        <f t="shared" si="16"/>
        <v>0.10365712500000002</v>
      </c>
      <c r="L36" s="22">
        <f t="shared" si="26"/>
        <v>0.57596891148524765</v>
      </c>
      <c r="M36" s="26">
        <v>0.34200000000000003</v>
      </c>
      <c r="N36" s="36">
        <f>G8*H8*I8*100000*B21</f>
        <v>1.1637405E-8</v>
      </c>
      <c r="O36" s="26">
        <f t="shared" si="17"/>
        <v>0.13964886000000001</v>
      </c>
      <c r="P36" s="22">
        <f t="shared" si="18"/>
        <v>0.40833000000000003</v>
      </c>
      <c r="Q36" s="22">
        <f t="shared" si="19"/>
        <v>24.34797</v>
      </c>
      <c r="R36" s="22">
        <f t="shared" si="20"/>
        <v>23.066425906825092</v>
      </c>
      <c r="S36" s="22">
        <f t="shared" si="28"/>
        <v>0.94736546442373193</v>
      </c>
    </row>
    <row r="37" spans="1:19" x14ac:dyDescent="0.3">
      <c r="A37" s="8">
        <v>7002</v>
      </c>
      <c r="B37" s="8">
        <v>2.6579999999999999</v>
      </c>
      <c r="C37" s="20">
        <f t="shared" si="21"/>
        <v>2.5120849280756574</v>
      </c>
      <c r="D37" s="17">
        <f t="shared" si="22"/>
        <v>0.94510343418948739</v>
      </c>
      <c r="E37" s="8">
        <v>3.028</v>
      </c>
      <c r="F37" s="9">
        <f t="shared" si="23"/>
        <v>7.8238080000000011E-9</v>
      </c>
      <c r="G37" s="33">
        <f t="shared" si="24"/>
        <v>2.9961405277695086</v>
      </c>
      <c r="H37" s="17">
        <f t="shared" si="25"/>
        <v>0.98947837773101344</v>
      </c>
      <c r="I37" s="25">
        <v>7.6100000000000001E-2</v>
      </c>
      <c r="J37" s="9">
        <f>(H9*I9*(F9)*L22*1000000)+(I9*D9*1000*L22)</f>
        <v>3.2599200000000001E-9</v>
      </c>
      <c r="K37" s="25">
        <f t="shared" si="16"/>
        <v>8.1498000000000001E-2</v>
      </c>
      <c r="L37" s="17">
        <f t="shared" si="26"/>
        <v>0.93376524577290243</v>
      </c>
      <c r="M37" s="25">
        <v>0.151</v>
      </c>
      <c r="N37" s="6">
        <f t="shared" si="27"/>
        <v>4.4251680000000005E-9</v>
      </c>
      <c r="O37" s="25">
        <f t="shared" si="17"/>
        <v>0.13275504000000002</v>
      </c>
      <c r="P37" s="17">
        <f t="shared" si="18"/>
        <v>0.87917245033112601</v>
      </c>
      <c r="Q37" s="17">
        <f t="shared" si="19"/>
        <v>5.9131</v>
      </c>
      <c r="R37" s="17">
        <f t="shared" si="20"/>
        <v>5.7224784958451655</v>
      </c>
      <c r="S37" s="17">
        <f t="shared" si="28"/>
        <v>0.96776284788776878</v>
      </c>
    </row>
    <row r="38" spans="1:19" x14ac:dyDescent="0.3">
      <c r="A38" s="8">
        <v>2040</v>
      </c>
      <c r="B38" s="8">
        <v>1.129</v>
      </c>
      <c r="C38" s="20">
        <f t="shared" si="21"/>
        <v>1.1430834960246723</v>
      </c>
      <c r="D38" s="17">
        <f t="shared" si="22"/>
        <v>0.98767938118811893</v>
      </c>
      <c r="E38" s="8">
        <v>1.022</v>
      </c>
      <c r="F38" s="9">
        <f>(H10*I10*(F10)*B23*1000000)+(I10*D10*1000*B23)</f>
        <v>1.0958399999999998E-9</v>
      </c>
      <c r="G38" s="33">
        <f t="shared" si="24"/>
        <v>0.28612758030165486</v>
      </c>
      <c r="H38" s="17">
        <f>MIN(E38,G38)/MAX(E38,G38)</f>
        <v>0.27996827818165837</v>
      </c>
      <c r="I38" s="25">
        <v>4.4999999999999998E-2</v>
      </c>
      <c r="J38" s="9">
        <f>(H10*I10*(F10)*L23*1000000)+(I10*D10*1000*L23)</f>
        <v>4.5659999999999995E-10</v>
      </c>
      <c r="K38" s="25">
        <f t="shared" si="16"/>
        <v>2.2829999999999996E-2</v>
      </c>
      <c r="L38" s="17">
        <f t="shared" si="26"/>
        <v>0.5073333333333333</v>
      </c>
      <c r="M38" s="25">
        <v>4.8000000000000001E-2</v>
      </c>
      <c r="N38" s="6">
        <f t="shared" si="27"/>
        <v>5.7528E-10</v>
      </c>
      <c r="O38" s="25">
        <f t="shared" si="17"/>
        <v>3.45168E-2</v>
      </c>
      <c r="P38" s="17">
        <f t="shared" si="18"/>
        <v>0.71909999999999996</v>
      </c>
      <c r="Q38" s="17">
        <f t="shared" si="19"/>
        <v>2.2439999999999998</v>
      </c>
      <c r="R38" s="17">
        <f t="shared" si="20"/>
        <v>1.486557876326327</v>
      </c>
      <c r="S38" s="17">
        <f t="shared" si="28"/>
        <v>0.66245894666948624</v>
      </c>
    </row>
    <row r="39" spans="1:19" x14ac:dyDescent="0.3">
      <c r="A39" s="8" t="s">
        <v>14</v>
      </c>
      <c r="B39" s="8">
        <v>12.539</v>
      </c>
      <c r="C39" s="20">
        <f t="shared" si="21"/>
        <v>11.530108405108406</v>
      </c>
      <c r="D39" s="17">
        <f t="shared" si="22"/>
        <v>0.91953970851809597</v>
      </c>
      <c r="E39" s="8">
        <v>3.484</v>
      </c>
      <c r="F39" s="9">
        <f t="shared" si="23"/>
        <v>7.6614240000000024E-8</v>
      </c>
      <c r="G39" s="33">
        <f t="shared" si="24"/>
        <v>7.7435770378005264</v>
      </c>
      <c r="H39" s="17">
        <f t="shared" si="25"/>
        <v>0.44992126803836768</v>
      </c>
      <c r="I39" s="25">
        <v>2.2620000000000001E-2</v>
      </c>
      <c r="J39" s="9">
        <f>(H11*I11*(F11)*L24*1000000)+(I11*D11*1000*L24)</f>
        <v>3.1922600000000006E-8</v>
      </c>
      <c r="K39" s="25">
        <f t="shared" si="16"/>
        <v>7.9806500000000016E-2</v>
      </c>
      <c r="L39" s="17">
        <f t="shared" si="26"/>
        <v>0.28343555976016988</v>
      </c>
      <c r="M39" s="25">
        <v>0.04</v>
      </c>
      <c r="N39" s="6">
        <f t="shared" si="27"/>
        <v>5.4474239999999999E-8</v>
      </c>
      <c r="O39" s="25">
        <f>(B24*N39*F24)/2</f>
        <v>0.16342271999999999</v>
      </c>
      <c r="P39" s="17">
        <f t="shared" si="18"/>
        <v>0.24476400833372497</v>
      </c>
      <c r="Q39" s="17">
        <f t="shared" si="19"/>
        <v>16.085619999999999</v>
      </c>
      <c r="R39" s="17">
        <f t="shared" si="20"/>
        <v>19.516914662908931</v>
      </c>
      <c r="S39" s="17">
        <f t="shared" si="28"/>
        <v>0.82418867314975952</v>
      </c>
    </row>
    <row r="40" spans="1:19" x14ac:dyDescent="0.3">
      <c r="A40" s="31">
        <v>8004</v>
      </c>
      <c r="B40" s="31">
        <v>1.831</v>
      </c>
      <c r="C40" s="41">
        <f t="shared" si="21"/>
        <v>1.7075779532526933</v>
      </c>
      <c r="D40" s="40">
        <f t="shared" si="22"/>
        <v>0.93259309298344806</v>
      </c>
      <c r="E40" s="31">
        <v>4.0000000000000001E-3</v>
      </c>
      <c r="F40" s="28">
        <f t="shared" si="23"/>
        <v>9.6692400000000004E-10</v>
      </c>
      <c r="G40" s="42">
        <f t="shared" si="24"/>
        <v>7.6581708477695539E-3</v>
      </c>
      <c r="H40" s="40">
        <f t="shared" si="25"/>
        <v>0.52231793720885744</v>
      </c>
      <c r="I40" s="43">
        <v>9.7000000000000005E-4</v>
      </c>
      <c r="J40" s="28">
        <f>(H12*I12*(F12)*L25*1000000)+(I12*D12*1000*L25)</f>
        <v>4.02885E-10</v>
      </c>
      <c r="K40" s="43">
        <f t="shared" si="16"/>
        <v>1.0072124999999999E-3</v>
      </c>
      <c r="L40" s="40">
        <f t="shared" si="26"/>
        <v>0.96305397321816411</v>
      </c>
      <c r="M40" s="44">
        <v>1E-3</v>
      </c>
      <c r="N40" s="45">
        <f>G12*H12*I12*1000000*B25</f>
        <v>4.7552399999999996E-10</v>
      </c>
      <c r="O40" s="29">
        <f t="shared" si="17"/>
        <v>1.4265719999999999E-3</v>
      </c>
      <c r="P40" s="17">
        <f t="shared" si="18"/>
        <v>0.70098109313795598</v>
      </c>
      <c r="Q40" s="17">
        <f t="shared" si="19"/>
        <v>1.8369699999999998</v>
      </c>
      <c r="R40" s="17">
        <f t="shared" si="20"/>
        <v>1.717669908600463</v>
      </c>
      <c r="S40" s="17">
        <f>R40/Q40</f>
        <v>0.93505604805765097</v>
      </c>
    </row>
    <row r="41" spans="1:19" x14ac:dyDescent="0.3">
      <c r="A41" s="46"/>
      <c r="B41" s="46"/>
      <c r="C41" s="47"/>
      <c r="D41" s="47"/>
      <c r="E41" s="46"/>
      <c r="F41" s="46"/>
      <c r="G41" s="46"/>
      <c r="H41" s="47"/>
      <c r="I41" s="46"/>
      <c r="J41" s="46"/>
      <c r="K41" s="46"/>
      <c r="L41" s="47"/>
      <c r="M41" s="46"/>
      <c r="N41" s="46"/>
      <c r="P41" s="16"/>
      <c r="S41" s="16"/>
    </row>
    <row r="42" spans="1:19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9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9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9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9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9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9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="13" customFormat="1" x14ac:dyDescent="0.3"/>
    <row r="50" s="13" customFormat="1" x14ac:dyDescent="0.3"/>
    <row r="51" s="13" customFormat="1" x14ac:dyDescent="0.3"/>
    <row r="52" s="13" customFormat="1" x14ac:dyDescent="0.3"/>
    <row r="53" s="13" customFormat="1" x14ac:dyDescent="0.3"/>
    <row r="54" s="13" customFormat="1" x14ac:dyDescent="0.3"/>
    <row r="55" s="13" customFormat="1" x14ac:dyDescent="0.3"/>
    <row r="56" s="13" customFormat="1" x14ac:dyDescent="0.3"/>
    <row r="57" s="13" customFormat="1" x14ac:dyDescent="0.3"/>
    <row r="58" s="13" customFormat="1" x14ac:dyDescent="0.3"/>
    <row r="59" s="13" customFormat="1" x14ac:dyDescent="0.3"/>
    <row r="60" s="13" customFormat="1" x14ac:dyDescent="0.3"/>
    <row r="61" s="13" customFormat="1" x14ac:dyDescent="0.3"/>
    <row r="62" s="13" customFormat="1" x14ac:dyDescent="0.3"/>
    <row r="63" s="13" customFormat="1" x14ac:dyDescent="0.3"/>
    <row r="64" s="13" customFormat="1" x14ac:dyDescent="0.3"/>
    <row r="65" s="13" customFormat="1" x14ac:dyDescent="0.3"/>
    <row r="66" s="13" customFormat="1" x14ac:dyDescent="0.3"/>
    <row r="67" s="13" customFormat="1" x14ac:dyDescent="0.3"/>
    <row r="68" s="13" customFormat="1" x14ac:dyDescent="0.3"/>
    <row r="69" s="13" customFormat="1" x14ac:dyDescent="0.3"/>
    <row r="70" s="13" customFormat="1" x14ac:dyDescent="0.3"/>
    <row r="71" s="13" customFormat="1" x14ac:dyDescent="0.3"/>
    <row r="72" s="13" customFormat="1" x14ac:dyDescent="0.3"/>
    <row r="73" s="13" customFormat="1" x14ac:dyDescent="0.3"/>
    <row r="74" s="13" customFormat="1" x14ac:dyDescent="0.3"/>
    <row r="75" s="13" customFormat="1" x14ac:dyDescent="0.3"/>
    <row r="76" s="13" customFormat="1" x14ac:dyDescent="0.3"/>
    <row r="77" s="13" customFormat="1" x14ac:dyDescent="0.3"/>
    <row r="78" s="13" customFormat="1" x14ac:dyDescent="0.3"/>
    <row r="79" s="13" customFormat="1" x14ac:dyDescent="0.3"/>
    <row r="80" s="13" customFormat="1" x14ac:dyDescent="0.3"/>
    <row r="81" s="13" customFormat="1" x14ac:dyDescent="0.3"/>
    <row r="82" s="13" customFormat="1" x14ac:dyDescent="0.3"/>
    <row r="83" s="13" customFormat="1" x14ac:dyDescent="0.3"/>
    <row r="84" s="13" customFormat="1" x14ac:dyDescent="0.3"/>
    <row r="85" s="13" customFormat="1" x14ac:dyDescent="0.3"/>
    <row r="86" s="13" customFormat="1" x14ac:dyDescent="0.3"/>
    <row r="87" s="13" customFormat="1" x14ac:dyDescent="0.3"/>
    <row r="88" s="13" customFormat="1" x14ac:dyDescent="0.3"/>
    <row r="89" s="13" customFormat="1" x14ac:dyDescent="0.3"/>
    <row r="90" s="13" customFormat="1" x14ac:dyDescent="0.3"/>
    <row r="91" s="13" customFormat="1" x14ac:dyDescent="0.3"/>
    <row r="92" s="13" customFormat="1" x14ac:dyDescent="0.3"/>
    <row r="93" s="13" customFormat="1" x14ac:dyDescent="0.3"/>
    <row r="94" s="13" customFormat="1" x14ac:dyDescent="0.3"/>
    <row r="95" s="13" customFormat="1" x14ac:dyDescent="0.3"/>
    <row r="96" s="13" customFormat="1" x14ac:dyDescent="0.3"/>
    <row r="97" s="13" customFormat="1" x14ac:dyDescent="0.3"/>
    <row r="98" s="13" customFormat="1" x14ac:dyDescent="0.3"/>
    <row r="99" s="13" customFormat="1" x14ac:dyDescent="0.3"/>
    <row r="100" s="13" customFormat="1" x14ac:dyDescent="0.3"/>
    <row r="101" s="13" customFormat="1" x14ac:dyDescent="0.3"/>
    <row r="102" s="13" customFormat="1" x14ac:dyDescent="0.3"/>
    <row r="103" s="13" customFormat="1" x14ac:dyDescent="0.3"/>
    <row r="104" s="13" customFormat="1" x14ac:dyDescent="0.3"/>
    <row r="105" s="13" customFormat="1" x14ac:dyDescent="0.3"/>
    <row r="106" s="13" customFormat="1" x14ac:dyDescent="0.3"/>
    <row r="107" s="13" customFormat="1" x14ac:dyDescent="0.3"/>
    <row r="108" s="13" customFormat="1" x14ac:dyDescent="0.3"/>
    <row r="109" s="13" customFormat="1" x14ac:dyDescent="0.3"/>
    <row r="110" s="13" customFormat="1" x14ac:dyDescent="0.3"/>
    <row r="111" s="13" customFormat="1" x14ac:dyDescent="0.3"/>
    <row r="112" s="13" customFormat="1" x14ac:dyDescent="0.3"/>
    <row r="113" s="13" customFormat="1" x14ac:dyDescent="0.3"/>
    <row r="114" s="13" customFormat="1" x14ac:dyDescent="0.3"/>
    <row r="115" s="13" customFormat="1" x14ac:dyDescent="0.3"/>
    <row r="116" s="13" customFormat="1" x14ac:dyDescent="0.3"/>
    <row r="117" s="13" customFormat="1" x14ac:dyDescent="0.3"/>
    <row r="118" s="13" customFormat="1" x14ac:dyDescent="0.3"/>
    <row r="119" s="13" customFormat="1" x14ac:dyDescent="0.3"/>
    <row r="120" s="13" customFormat="1" x14ac:dyDescent="0.3"/>
    <row r="121" s="13" customFormat="1" x14ac:dyDescent="0.3"/>
    <row r="122" s="13" customFormat="1" x14ac:dyDescent="0.3"/>
    <row r="123" s="13" customFormat="1" x14ac:dyDescent="0.3"/>
    <row r="124" s="13" customFormat="1" x14ac:dyDescent="0.3"/>
    <row r="125" s="13" customFormat="1" x14ac:dyDescent="0.3"/>
    <row r="126" s="13" customFormat="1" x14ac:dyDescent="0.3"/>
    <row r="127" s="13" customFormat="1" x14ac:dyDescent="0.3"/>
    <row r="128" s="13" customFormat="1" x14ac:dyDescent="0.3"/>
    <row r="129" s="13" customFormat="1" x14ac:dyDescent="0.3"/>
    <row r="130" s="13" customFormat="1" x14ac:dyDescent="0.3"/>
    <row r="131" s="13" customFormat="1" x14ac:dyDescent="0.3"/>
    <row r="132" s="13" customFormat="1" x14ac:dyDescent="0.3"/>
    <row r="133" s="13" customFormat="1" x14ac:dyDescent="0.3"/>
    <row r="134" s="13" customFormat="1" x14ac:dyDescent="0.3"/>
    <row r="135" s="13" customFormat="1" x14ac:dyDescent="0.3"/>
    <row r="136" s="13" customFormat="1" x14ac:dyDescent="0.3"/>
    <row r="137" s="13" customFormat="1" x14ac:dyDescent="0.3"/>
    <row r="138" s="13" customFormat="1" x14ac:dyDescent="0.3"/>
    <row r="139" s="13" customFormat="1" x14ac:dyDescent="0.3"/>
    <row r="140" s="13" customFormat="1" x14ac:dyDescent="0.3"/>
    <row r="141" s="13" customFormat="1" x14ac:dyDescent="0.3"/>
    <row r="142" s="13" customFormat="1" x14ac:dyDescent="0.3"/>
    <row r="143" s="13" customFormat="1" x14ac:dyDescent="0.3"/>
    <row r="144" s="13" customFormat="1" x14ac:dyDescent="0.3"/>
    <row r="145" s="13" customFormat="1" x14ac:dyDescent="0.3"/>
    <row r="146" s="13" customFormat="1" x14ac:dyDescent="0.3"/>
    <row r="147" s="13" customFormat="1" x14ac:dyDescent="0.3"/>
    <row r="148" s="13" customFormat="1" x14ac:dyDescent="0.3"/>
    <row r="149" s="13" customFormat="1" x14ac:dyDescent="0.3"/>
    <row r="150" s="13" customFormat="1" x14ac:dyDescent="0.3"/>
    <row r="151" s="13" customFormat="1" x14ac:dyDescent="0.3"/>
    <row r="152" s="13" customFormat="1" x14ac:dyDescent="0.3"/>
    <row r="153" s="13" customFormat="1" x14ac:dyDescent="0.3"/>
    <row r="154" s="13" customFormat="1" x14ac:dyDescent="0.3"/>
    <row r="155" s="13" customFormat="1" x14ac:dyDescent="0.3"/>
    <row r="156" s="13" customFormat="1" x14ac:dyDescent="0.3"/>
    <row r="157" s="13" customFormat="1" x14ac:dyDescent="0.3"/>
    <row r="158" s="13" customFormat="1" x14ac:dyDescent="0.3"/>
    <row r="159" s="13" customFormat="1" x14ac:dyDescent="0.3"/>
    <row r="160" s="13" customFormat="1" x14ac:dyDescent="0.3"/>
    <row r="161" s="13" customFormat="1" x14ac:dyDescent="0.3"/>
    <row r="162" s="13" customFormat="1" x14ac:dyDescent="0.3"/>
    <row r="163" s="13" customFormat="1" x14ac:dyDescent="0.3"/>
    <row r="164" s="13" customFormat="1" x14ac:dyDescent="0.3"/>
    <row r="165" s="13" customFormat="1" x14ac:dyDescent="0.3"/>
    <row r="166" s="13" customFormat="1" x14ac:dyDescent="0.3"/>
    <row r="167" s="13" customFormat="1" x14ac:dyDescent="0.3"/>
    <row r="168" s="13" customFormat="1" x14ac:dyDescent="0.3"/>
    <row r="169" s="13" customFormat="1" x14ac:dyDescent="0.3"/>
    <row r="170" s="13" customFormat="1" x14ac:dyDescent="0.3"/>
    <row r="171" s="13" customFormat="1" x14ac:dyDescent="0.3"/>
    <row r="172" s="13" customFormat="1" x14ac:dyDescent="0.3"/>
    <row r="173" s="13" customFormat="1" x14ac:dyDescent="0.3"/>
    <row r="174" s="13" customFormat="1" x14ac:dyDescent="0.3"/>
    <row r="175" s="13" customFormat="1" x14ac:dyDescent="0.3"/>
    <row r="176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  <row r="249" s="13" customFormat="1" x14ac:dyDescent="0.3"/>
    <row r="250" s="13" customFormat="1" x14ac:dyDescent="0.3"/>
    <row r="251" s="13" customFormat="1" x14ac:dyDescent="0.3"/>
    <row r="252" s="13" customFormat="1" x14ac:dyDescent="0.3"/>
    <row r="253" s="13" customFormat="1" x14ac:dyDescent="0.3"/>
    <row r="254" s="13" customFormat="1" x14ac:dyDescent="0.3"/>
    <row r="255" s="13" customFormat="1" x14ac:dyDescent="0.3"/>
    <row r="256" s="13" customFormat="1" x14ac:dyDescent="0.3"/>
    <row r="257" s="13" customFormat="1" x14ac:dyDescent="0.3"/>
    <row r="258" s="13" customFormat="1" x14ac:dyDescent="0.3"/>
    <row r="259" s="13" customFormat="1" x14ac:dyDescent="0.3"/>
    <row r="260" s="13" customFormat="1" x14ac:dyDescent="0.3"/>
    <row r="261" s="13" customFormat="1" x14ac:dyDescent="0.3"/>
    <row r="262" s="13" customFormat="1" x14ac:dyDescent="0.3"/>
    <row r="263" s="13" customFormat="1" x14ac:dyDescent="0.3"/>
    <row r="264" s="13" customFormat="1" x14ac:dyDescent="0.3"/>
    <row r="265" s="13" customFormat="1" x14ac:dyDescent="0.3"/>
    <row r="266" s="13" customFormat="1" x14ac:dyDescent="0.3"/>
    <row r="267" s="13" customFormat="1" x14ac:dyDescent="0.3"/>
    <row r="268" s="13" customFormat="1" x14ac:dyDescent="0.3"/>
    <row r="269" s="13" customFormat="1" x14ac:dyDescent="0.3"/>
    <row r="270" s="13" customFormat="1" x14ac:dyDescent="0.3"/>
    <row r="271" s="13" customFormat="1" x14ac:dyDescent="0.3"/>
    <row r="272" s="13" customFormat="1" x14ac:dyDescent="0.3"/>
    <row r="273" s="13" customFormat="1" x14ac:dyDescent="0.3"/>
    <row r="274" s="13" customFormat="1" x14ac:dyDescent="0.3"/>
    <row r="275" s="13" customFormat="1" x14ac:dyDescent="0.3"/>
    <row r="276" s="13" customFormat="1" x14ac:dyDescent="0.3"/>
    <row r="277" s="13" customFormat="1" x14ac:dyDescent="0.3"/>
    <row r="278" s="13" customFormat="1" x14ac:dyDescent="0.3"/>
    <row r="279" s="13" customFormat="1" x14ac:dyDescent="0.3"/>
    <row r="280" s="13" customFormat="1" x14ac:dyDescent="0.3"/>
    <row r="281" s="13" customFormat="1" x14ac:dyDescent="0.3"/>
    <row r="282" s="13" customFormat="1" x14ac:dyDescent="0.3"/>
    <row r="283" s="13" customFormat="1" x14ac:dyDescent="0.3"/>
    <row r="284" s="13" customFormat="1" x14ac:dyDescent="0.3"/>
    <row r="285" s="13" customFormat="1" x14ac:dyDescent="0.3"/>
    <row r="286" s="13" customFormat="1" x14ac:dyDescent="0.3"/>
    <row r="287" s="13" customFormat="1" x14ac:dyDescent="0.3"/>
    <row r="288" s="13" customFormat="1" x14ac:dyDescent="0.3"/>
    <row r="289" s="13" customFormat="1" x14ac:dyDescent="0.3"/>
    <row r="290" s="13" customFormat="1" x14ac:dyDescent="0.3"/>
    <row r="291" s="13" customFormat="1" x14ac:dyDescent="0.3"/>
    <row r="292" s="13" customFormat="1" x14ac:dyDescent="0.3"/>
    <row r="293" s="13" customFormat="1" x14ac:dyDescent="0.3"/>
    <row r="294" s="13" customFormat="1" x14ac:dyDescent="0.3"/>
    <row r="295" s="13" customFormat="1" x14ac:dyDescent="0.3"/>
    <row r="296" s="13" customFormat="1" x14ac:dyDescent="0.3"/>
    <row r="297" s="13" customFormat="1" x14ac:dyDescent="0.3"/>
    <row r="298" s="13" customFormat="1" x14ac:dyDescent="0.3"/>
    <row r="299" s="13" customFormat="1" x14ac:dyDescent="0.3"/>
    <row r="300" s="13" customFormat="1" x14ac:dyDescent="0.3"/>
    <row r="301" s="13" customFormat="1" x14ac:dyDescent="0.3"/>
    <row r="302" s="13" customFormat="1" x14ac:dyDescent="0.3"/>
    <row r="303" s="13" customFormat="1" x14ac:dyDescent="0.3"/>
    <row r="304" s="13" customFormat="1" x14ac:dyDescent="0.3"/>
    <row r="305" s="13" customFormat="1" x14ac:dyDescent="0.3"/>
    <row r="306" s="13" customFormat="1" x14ac:dyDescent="0.3"/>
    <row r="307" s="13" customFormat="1" x14ac:dyDescent="0.3"/>
    <row r="308" s="13" customFormat="1" x14ac:dyDescent="0.3"/>
    <row r="309" s="13" customFormat="1" x14ac:dyDescent="0.3"/>
    <row r="310" s="13" customFormat="1" x14ac:dyDescent="0.3"/>
    <row r="311" s="13" customFormat="1" x14ac:dyDescent="0.3"/>
    <row r="312" s="13" customFormat="1" x14ac:dyDescent="0.3"/>
    <row r="313" s="13" customFormat="1" x14ac:dyDescent="0.3"/>
    <row r="314" s="13" customFormat="1" x14ac:dyDescent="0.3"/>
    <row r="315" s="13" customFormat="1" x14ac:dyDescent="0.3"/>
    <row r="316" s="13" customFormat="1" x14ac:dyDescent="0.3"/>
    <row r="317" s="13" customFormat="1" x14ac:dyDescent="0.3"/>
    <row r="318" s="13" customFormat="1" x14ac:dyDescent="0.3"/>
    <row r="319" s="13" customFormat="1" x14ac:dyDescent="0.3"/>
    <row r="320" s="13" customFormat="1" x14ac:dyDescent="0.3"/>
    <row r="321" s="13" customFormat="1" x14ac:dyDescent="0.3"/>
    <row r="322" s="13" customFormat="1" x14ac:dyDescent="0.3"/>
    <row r="323" s="13" customFormat="1" x14ac:dyDescent="0.3"/>
    <row r="324" s="13" customFormat="1" x14ac:dyDescent="0.3"/>
    <row r="325" s="13" customFormat="1" x14ac:dyDescent="0.3"/>
    <row r="326" s="13" customFormat="1" x14ac:dyDescent="0.3"/>
    <row r="327" s="13" customFormat="1" x14ac:dyDescent="0.3"/>
    <row r="328" s="13" customFormat="1" x14ac:dyDescent="0.3"/>
    <row r="329" s="13" customFormat="1" x14ac:dyDescent="0.3"/>
    <row r="330" s="13" customFormat="1" x14ac:dyDescent="0.3"/>
    <row r="331" s="13" customFormat="1" x14ac:dyDescent="0.3"/>
    <row r="332" s="13" customFormat="1" x14ac:dyDescent="0.3"/>
    <row r="333" s="13" customFormat="1" x14ac:dyDescent="0.3"/>
    <row r="334" s="13" customFormat="1" x14ac:dyDescent="0.3"/>
    <row r="335" s="13" customFormat="1" x14ac:dyDescent="0.3"/>
    <row r="336" s="13" customFormat="1" x14ac:dyDescent="0.3"/>
    <row r="337" s="13" customFormat="1" x14ac:dyDescent="0.3"/>
    <row r="338" s="13" customFormat="1" x14ac:dyDescent="0.3"/>
    <row r="339" s="13" customFormat="1" x14ac:dyDescent="0.3"/>
    <row r="340" s="13" customFormat="1" x14ac:dyDescent="0.3"/>
    <row r="341" s="13" customFormat="1" x14ac:dyDescent="0.3"/>
    <row r="342" s="13" customFormat="1" x14ac:dyDescent="0.3"/>
    <row r="343" s="13" customFormat="1" x14ac:dyDescent="0.3"/>
    <row r="344" s="13" customFormat="1" x14ac:dyDescent="0.3"/>
    <row r="345" s="13" customFormat="1" x14ac:dyDescent="0.3"/>
    <row r="346" s="13" customFormat="1" x14ac:dyDescent="0.3"/>
    <row r="347" s="13" customFormat="1" x14ac:dyDescent="0.3"/>
    <row r="348" s="13" customFormat="1" x14ac:dyDescent="0.3"/>
    <row r="349" s="13" customFormat="1" x14ac:dyDescent="0.3"/>
    <row r="350" s="13" customFormat="1" x14ac:dyDescent="0.3"/>
    <row r="351" s="13" customFormat="1" x14ac:dyDescent="0.3"/>
    <row r="352" s="13" customFormat="1" x14ac:dyDescent="0.3"/>
    <row r="353" s="13" customFormat="1" x14ac:dyDescent="0.3"/>
    <row r="354" s="13" customFormat="1" x14ac:dyDescent="0.3"/>
    <row r="355" s="13" customFormat="1" x14ac:dyDescent="0.3"/>
    <row r="356" s="13" customFormat="1" x14ac:dyDescent="0.3"/>
    <row r="357" s="13" customFormat="1" x14ac:dyDescent="0.3"/>
    <row r="358" s="13" customFormat="1" x14ac:dyDescent="0.3"/>
    <row r="359" s="13" customFormat="1" x14ac:dyDescent="0.3"/>
    <row r="360" s="13" customFormat="1" x14ac:dyDescent="0.3"/>
    <row r="361" s="13" customFormat="1" x14ac:dyDescent="0.3"/>
    <row r="362" s="13" customFormat="1" x14ac:dyDescent="0.3"/>
    <row r="363" s="13" customFormat="1" x14ac:dyDescent="0.3"/>
    <row r="364" s="13" customFormat="1" x14ac:dyDescent="0.3"/>
    <row r="365" s="13" customFormat="1" x14ac:dyDescent="0.3"/>
    <row r="366" s="13" customFormat="1" x14ac:dyDescent="0.3"/>
    <row r="367" s="13" customFormat="1" x14ac:dyDescent="0.3"/>
    <row r="368" s="13" customFormat="1" x14ac:dyDescent="0.3"/>
    <row r="369" s="13" customFormat="1" x14ac:dyDescent="0.3"/>
    <row r="370" s="13" customFormat="1" x14ac:dyDescent="0.3"/>
    <row r="371" s="13" customFormat="1" x14ac:dyDescent="0.3"/>
    <row r="372" s="13" customFormat="1" x14ac:dyDescent="0.3"/>
    <row r="373" s="13" customFormat="1" x14ac:dyDescent="0.3"/>
    <row r="374" s="13" customFormat="1" x14ac:dyDescent="0.3"/>
    <row r="375" s="13" customFormat="1" x14ac:dyDescent="0.3"/>
    <row r="376" s="13" customFormat="1" x14ac:dyDescent="0.3"/>
    <row r="377" s="13" customFormat="1" x14ac:dyDescent="0.3"/>
    <row r="378" s="13" customFormat="1" x14ac:dyDescent="0.3"/>
    <row r="379" s="13" customFormat="1" x14ac:dyDescent="0.3"/>
    <row r="380" s="13" customFormat="1" x14ac:dyDescent="0.3"/>
    <row r="381" s="13" customFormat="1" x14ac:dyDescent="0.3"/>
    <row r="382" s="13" customFormat="1" x14ac:dyDescent="0.3"/>
    <row r="383" s="13" customFormat="1" x14ac:dyDescent="0.3"/>
    <row r="384" s="13" customFormat="1" x14ac:dyDescent="0.3"/>
    <row r="385" s="13" customFormat="1" x14ac:dyDescent="0.3"/>
    <row r="386" s="13" customFormat="1" x14ac:dyDescent="0.3"/>
    <row r="387" s="13" customFormat="1" x14ac:dyDescent="0.3"/>
    <row r="388" s="13" customFormat="1" x14ac:dyDescent="0.3"/>
    <row r="389" s="13" customFormat="1" x14ac:dyDescent="0.3"/>
    <row r="390" s="13" customFormat="1" x14ac:dyDescent="0.3"/>
    <row r="391" s="13" customFormat="1" x14ac:dyDescent="0.3"/>
    <row r="392" s="13" customFormat="1" x14ac:dyDescent="0.3"/>
    <row r="393" s="13" customFormat="1" x14ac:dyDescent="0.3"/>
    <row r="394" s="13" customFormat="1" x14ac:dyDescent="0.3"/>
    <row r="395" s="13" customFormat="1" x14ac:dyDescent="0.3"/>
    <row r="396" s="13" customFormat="1" x14ac:dyDescent="0.3"/>
    <row r="397" s="13" customFormat="1" x14ac:dyDescent="0.3"/>
    <row r="398" s="13" customFormat="1" x14ac:dyDescent="0.3"/>
    <row r="399" s="13" customFormat="1" x14ac:dyDescent="0.3"/>
    <row r="400" s="13" customFormat="1" x14ac:dyDescent="0.3"/>
    <row r="401" s="13" customFormat="1" x14ac:dyDescent="0.3"/>
    <row r="402" s="13" customFormat="1" x14ac:dyDescent="0.3"/>
    <row r="403" s="13" customFormat="1" x14ac:dyDescent="0.3"/>
    <row r="404" s="13" customFormat="1" x14ac:dyDescent="0.3"/>
    <row r="405" s="13" customFormat="1" x14ac:dyDescent="0.3"/>
    <row r="406" s="13" customFormat="1" x14ac:dyDescent="0.3"/>
    <row r="407" s="13" customFormat="1" x14ac:dyDescent="0.3"/>
    <row r="408" s="13" customFormat="1" x14ac:dyDescent="0.3"/>
    <row r="409" s="13" customFormat="1" x14ac:dyDescent="0.3"/>
    <row r="410" s="13" customFormat="1" x14ac:dyDescent="0.3"/>
    <row r="411" s="13" customFormat="1" x14ac:dyDescent="0.3"/>
    <row r="412" s="13" customFormat="1" x14ac:dyDescent="0.3"/>
    <row r="413" s="13" customFormat="1" x14ac:dyDescent="0.3"/>
    <row r="414" s="13" customFormat="1" x14ac:dyDescent="0.3"/>
    <row r="415" s="13" customFormat="1" x14ac:dyDescent="0.3"/>
    <row r="416" s="13" customFormat="1" x14ac:dyDescent="0.3"/>
    <row r="417" s="13" customFormat="1" x14ac:dyDescent="0.3"/>
    <row r="418" s="13" customFormat="1" x14ac:dyDescent="0.3"/>
    <row r="419" s="13" customFormat="1" x14ac:dyDescent="0.3"/>
    <row r="420" s="13" customFormat="1" x14ac:dyDescent="0.3"/>
    <row r="421" s="13" customFormat="1" x14ac:dyDescent="0.3"/>
    <row r="422" s="13" customFormat="1" x14ac:dyDescent="0.3"/>
    <row r="423" s="13" customFormat="1" x14ac:dyDescent="0.3"/>
    <row r="424" s="13" customFormat="1" x14ac:dyDescent="0.3"/>
    <row r="425" s="13" customFormat="1" x14ac:dyDescent="0.3"/>
    <row r="426" s="13" customFormat="1" x14ac:dyDescent="0.3"/>
    <row r="427" s="13" customFormat="1" x14ac:dyDescent="0.3"/>
    <row r="428" s="13" customFormat="1" x14ac:dyDescent="0.3"/>
    <row r="429" s="13" customFormat="1" x14ac:dyDescent="0.3"/>
    <row r="430" s="13" customFormat="1" x14ac:dyDescent="0.3"/>
    <row r="431" s="13" customFormat="1" x14ac:dyDescent="0.3"/>
    <row r="432" s="13" customFormat="1" x14ac:dyDescent="0.3"/>
    <row r="433" s="13" customFormat="1" x14ac:dyDescent="0.3"/>
    <row r="434" s="13" customFormat="1" x14ac:dyDescent="0.3"/>
    <row r="435" s="13" customFormat="1" x14ac:dyDescent="0.3"/>
    <row r="436" s="13" customFormat="1" x14ac:dyDescent="0.3"/>
    <row r="437" s="13" customFormat="1" x14ac:dyDescent="0.3"/>
    <row r="438" s="13" customFormat="1" x14ac:dyDescent="0.3"/>
    <row r="439" s="13" customFormat="1" x14ac:dyDescent="0.3"/>
    <row r="440" s="13" customFormat="1" x14ac:dyDescent="0.3"/>
    <row r="441" s="13" customFormat="1" x14ac:dyDescent="0.3"/>
    <row r="442" s="13" customFormat="1" x14ac:dyDescent="0.3"/>
    <row r="443" s="13" customFormat="1" x14ac:dyDescent="0.3"/>
    <row r="444" s="13" customFormat="1" x14ac:dyDescent="0.3"/>
    <row r="445" s="13" customFormat="1" x14ac:dyDescent="0.3"/>
    <row r="446" s="13" customFormat="1" x14ac:dyDescent="0.3"/>
    <row r="447" s="13" customFormat="1" x14ac:dyDescent="0.3"/>
    <row r="448" s="13" customFormat="1" x14ac:dyDescent="0.3"/>
    <row r="449" s="13" customFormat="1" x14ac:dyDescent="0.3"/>
    <row r="450" s="13" customFormat="1" x14ac:dyDescent="0.3"/>
    <row r="451" s="13" customFormat="1" x14ac:dyDescent="0.3"/>
    <row r="452" s="13" customFormat="1" x14ac:dyDescent="0.3"/>
    <row r="453" s="13" customFormat="1" x14ac:dyDescent="0.3"/>
    <row r="454" s="13" customFormat="1" x14ac:dyDescent="0.3"/>
    <row r="455" s="13" customFormat="1" x14ac:dyDescent="0.3"/>
    <row r="456" s="13" customFormat="1" x14ac:dyDescent="0.3"/>
    <row r="457" s="13" customFormat="1" x14ac:dyDescent="0.3"/>
    <row r="458" s="13" customFormat="1" x14ac:dyDescent="0.3"/>
    <row r="459" s="13" customFormat="1" x14ac:dyDescent="0.3"/>
    <row r="460" s="13" customFormat="1" x14ac:dyDescent="0.3"/>
    <row r="461" s="13" customFormat="1" x14ac:dyDescent="0.3"/>
    <row r="462" s="13" customFormat="1" x14ac:dyDescent="0.3"/>
    <row r="463" s="13" customFormat="1" x14ac:dyDescent="0.3"/>
    <row r="464" s="13" customFormat="1" x14ac:dyDescent="0.3"/>
    <row r="465" s="13" customFormat="1" x14ac:dyDescent="0.3"/>
    <row r="466" s="13" customFormat="1" x14ac:dyDescent="0.3"/>
    <row r="467" s="13" customFormat="1" x14ac:dyDescent="0.3"/>
    <row r="468" s="13" customFormat="1" x14ac:dyDescent="0.3"/>
    <row r="469" s="13" customFormat="1" x14ac:dyDescent="0.3"/>
    <row r="470" s="13" customFormat="1" x14ac:dyDescent="0.3"/>
    <row r="471" s="13" customFormat="1" x14ac:dyDescent="0.3"/>
    <row r="472" s="13" customFormat="1" x14ac:dyDescent="0.3"/>
    <row r="473" s="13" customFormat="1" x14ac:dyDescent="0.3"/>
    <row r="474" s="13" customFormat="1" x14ac:dyDescent="0.3"/>
    <row r="475" s="13" customFormat="1" x14ac:dyDescent="0.3"/>
    <row r="476" s="13" customFormat="1" x14ac:dyDescent="0.3"/>
    <row r="477" s="13" customFormat="1" x14ac:dyDescent="0.3"/>
    <row r="478" s="13" customFormat="1" x14ac:dyDescent="0.3"/>
    <row r="479" s="13" customFormat="1" x14ac:dyDescent="0.3"/>
    <row r="480" s="13" customFormat="1" x14ac:dyDescent="0.3"/>
    <row r="481" s="13" customFormat="1" x14ac:dyDescent="0.3"/>
    <row r="482" s="13" customFormat="1" x14ac:dyDescent="0.3"/>
    <row r="483" s="13" customFormat="1" x14ac:dyDescent="0.3"/>
    <row r="484" s="13" customFormat="1" x14ac:dyDescent="0.3"/>
    <row r="485" s="13" customFormat="1" x14ac:dyDescent="0.3"/>
    <row r="486" s="13" customFormat="1" x14ac:dyDescent="0.3"/>
    <row r="487" s="13" customFormat="1" x14ac:dyDescent="0.3"/>
    <row r="488" s="13" customFormat="1" x14ac:dyDescent="0.3"/>
    <row r="489" s="13" customFormat="1" x14ac:dyDescent="0.3"/>
    <row r="490" s="13" customFormat="1" x14ac:dyDescent="0.3"/>
    <row r="491" s="13" customFormat="1" x14ac:dyDescent="0.3"/>
    <row r="492" s="13" customFormat="1" x14ac:dyDescent="0.3"/>
    <row r="493" s="13" customFormat="1" x14ac:dyDescent="0.3"/>
    <row r="494" s="13" customFormat="1" x14ac:dyDescent="0.3"/>
    <row r="495" s="13" customFormat="1" x14ac:dyDescent="0.3"/>
    <row r="496" s="13" customFormat="1" x14ac:dyDescent="0.3"/>
    <row r="497" s="13" customFormat="1" x14ac:dyDescent="0.3"/>
    <row r="498" s="13" customFormat="1" x14ac:dyDescent="0.3"/>
    <row r="499" s="13" customFormat="1" x14ac:dyDescent="0.3"/>
    <row r="500" s="13" customFormat="1" x14ac:dyDescent="0.3"/>
    <row r="501" s="13" customFormat="1" x14ac:dyDescent="0.3"/>
    <row r="502" s="13" customFormat="1" x14ac:dyDescent="0.3"/>
    <row r="503" s="13" customFormat="1" x14ac:dyDescent="0.3"/>
    <row r="504" s="13" customFormat="1" x14ac:dyDescent="0.3"/>
    <row r="505" s="13" customFormat="1" x14ac:dyDescent="0.3"/>
    <row r="506" s="13" customFormat="1" x14ac:dyDescent="0.3"/>
    <row r="507" s="13" customFormat="1" x14ac:dyDescent="0.3"/>
    <row r="508" s="13" customFormat="1" x14ac:dyDescent="0.3"/>
    <row r="509" s="13" customFormat="1" x14ac:dyDescent="0.3"/>
    <row r="510" s="13" customFormat="1" x14ac:dyDescent="0.3"/>
    <row r="511" s="13" customFormat="1" x14ac:dyDescent="0.3"/>
    <row r="512" s="13" customFormat="1" x14ac:dyDescent="0.3"/>
    <row r="513" s="13" customFormat="1" x14ac:dyDescent="0.3"/>
    <row r="514" s="13" customFormat="1" x14ac:dyDescent="0.3"/>
    <row r="515" s="13" customFormat="1" x14ac:dyDescent="0.3"/>
    <row r="516" s="13" customFormat="1" x14ac:dyDescent="0.3"/>
    <row r="517" s="13" customFormat="1" x14ac:dyDescent="0.3"/>
    <row r="518" s="13" customFormat="1" x14ac:dyDescent="0.3"/>
    <row r="519" s="13" customFormat="1" x14ac:dyDescent="0.3"/>
    <row r="520" s="13" customFormat="1" x14ac:dyDescent="0.3"/>
    <row r="521" s="13" customFormat="1" x14ac:dyDescent="0.3"/>
    <row r="522" s="13" customFormat="1" x14ac:dyDescent="0.3"/>
    <row r="523" s="13" customFormat="1" x14ac:dyDescent="0.3"/>
    <row r="524" s="13" customFormat="1" x14ac:dyDescent="0.3"/>
    <row r="525" s="13" customFormat="1" x14ac:dyDescent="0.3"/>
    <row r="526" s="13" customFormat="1" x14ac:dyDescent="0.3"/>
    <row r="527" s="13" customFormat="1" x14ac:dyDescent="0.3"/>
    <row r="528" s="13" customFormat="1" x14ac:dyDescent="0.3"/>
    <row r="529" s="13" customFormat="1" x14ac:dyDescent="0.3"/>
    <row r="530" s="13" customFormat="1" x14ac:dyDescent="0.3"/>
    <row r="531" s="13" customFormat="1" x14ac:dyDescent="0.3"/>
    <row r="532" s="13" customFormat="1" x14ac:dyDescent="0.3"/>
    <row r="533" s="13" customFormat="1" x14ac:dyDescent="0.3"/>
    <row r="534" s="13" customFormat="1" x14ac:dyDescent="0.3"/>
    <row r="535" s="13" customFormat="1" x14ac:dyDescent="0.3"/>
    <row r="536" s="13" customFormat="1" x14ac:dyDescent="0.3"/>
    <row r="537" s="13" customFormat="1" x14ac:dyDescent="0.3"/>
    <row r="538" s="13" customFormat="1" x14ac:dyDescent="0.3"/>
    <row r="539" s="13" customFormat="1" x14ac:dyDescent="0.3"/>
    <row r="540" s="13" customFormat="1" x14ac:dyDescent="0.3"/>
    <row r="541" s="13" customFormat="1" x14ac:dyDescent="0.3"/>
    <row r="542" s="13" customFormat="1" x14ac:dyDescent="0.3"/>
    <row r="543" s="13" customFormat="1" x14ac:dyDescent="0.3"/>
    <row r="544" s="13" customFormat="1" x14ac:dyDescent="0.3"/>
    <row r="545" s="13" customFormat="1" x14ac:dyDescent="0.3"/>
    <row r="546" s="13" customFormat="1" x14ac:dyDescent="0.3"/>
    <row r="547" s="13" customFormat="1" x14ac:dyDescent="0.3"/>
    <row r="548" s="13" customFormat="1" x14ac:dyDescent="0.3"/>
    <row r="549" s="13" customFormat="1" x14ac:dyDescent="0.3"/>
    <row r="550" s="13" customFormat="1" x14ac:dyDescent="0.3"/>
    <row r="551" s="13" customFormat="1" x14ac:dyDescent="0.3"/>
    <row r="552" s="13" customFormat="1" x14ac:dyDescent="0.3"/>
    <row r="553" s="13" customFormat="1" x14ac:dyDescent="0.3"/>
    <row r="554" s="13" customFormat="1" x14ac:dyDescent="0.3"/>
    <row r="555" s="13" customFormat="1" x14ac:dyDescent="0.3"/>
    <row r="556" s="13" customFormat="1" x14ac:dyDescent="0.3"/>
    <row r="557" s="13" customFormat="1" x14ac:dyDescent="0.3"/>
    <row r="558" s="13" customFormat="1" x14ac:dyDescent="0.3"/>
    <row r="559" s="13" customFormat="1" x14ac:dyDescent="0.3"/>
    <row r="560" s="13" customFormat="1" x14ac:dyDescent="0.3"/>
    <row r="561" s="13" customFormat="1" x14ac:dyDescent="0.3"/>
    <row r="562" s="13" customFormat="1" x14ac:dyDescent="0.3"/>
    <row r="563" s="13" customFormat="1" x14ac:dyDescent="0.3"/>
    <row r="564" s="13" customFormat="1" x14ac:dyDescent="0.3"/>
    <row r="565" s="13" customFormat="1" x14ac:dyDescent="0.3"/>
    <row r="566" s="13" customFormat="1" x14ac:dyDescent="0.3"/>
    <row r="567" s="13" customFormat="1" x14ac:dyDescent="0.3"/>
    <row r="568" s="13" customFormat="1" x14ac:dyDescent="0.3"/>
    <row r="569" s="13" customFormat="1" x14ac:dyDescent="0.3"/>
    <row r="570" s="13" customFormat="1" x14ac:dyDescent="0.3"/>
    <row r="571" s="13" customFormat="1" x14ac:dyDescent="0.3"/>
    <row r="572" s="13" customFormat="1" x14ac:dyDescent="0.3"/>
    <row r="573" s="13" customFormat="1" x14ac:dyDescent="0.3"/>
    <row r="574" s="13" customFormat="1" x14ac:dyDescent="0.3"/>
    <row r="575" s="13" customFormat="1" x14ac:dyDescent="0.3"/>
    <row r="576" s="13" customFormat="1" x14ac:dyDescent="0.3"/>
    <row r="577" s="13" customFormat="1" x14ac:dyDescent="0.3"/>
    <row r="578" s="13" customFormat="1" x14ac:dyDescent="0.3"/>
    <row r="579" s="13" customFormat="1" x14ac:dyDescent="0.3"/>
    <row r="580" s="13" customFormat="1" x14ac:dyDescent="0.3"/>
    <row r="581" s="13" customFormat="1" x14ac:dyDescent="0.3"/>
    <row r="582" s="13" customFormat="1" x14ac:dyDescent="0.3"/>
    <row r="583" s="13" customFormat="1" x14ac:dyDescent="0.3"/>
    <row r="584" s="13" customFormat="1" x14ac:dyDescent="0.3"/>
    <row r="585" s="13" customFormat="1" x14ac:dyDescent="0.3"/>
    <row r="586" s="13" customFormat="1" x14ac:dyDescent="0.3"/>
    <row r="587" s="13" customFormat="1" x14ac:dyDescent="0.3"/>
    <row r="588" s="13" customFormat="1" x14ac:dyDescent="0.3"/>
    <row r="589" s="13" customFormat="1" x14ac:dyDescent="0.3"/>
    <row r="590" s="13" customFormat="1" x14ac:dyDescent="0.3"/>
    <row r="591" s="13" customFormat="1" x14ac:dyDescent="0.3"/>
    <row r="592" s="13" customFormat="1" x14ac:dyDescent="0.3"/>
    <row r="593" s="13" customFormat="1" x14ac:dyDescent="0.3"/>
    <row r="594" s="13" customFormat="1" x14ac:dyDescent="0.3"/>
    <row r="595" s="13" customFormat="1" x14ac:dyDescent="0.3"/>
    <row r="596" s="13" customFormat="1" x14ac:dyDescent="0.3"/>
    <row r="597" s="13" customFormat="1" x14ac:dyDescent="0.3"/>
    <row r="598" s="13" customFormat="1" x14ac:dyDescent="0.3"/>
    <row r="599" s="13" customFormat="1" x14ac:dyDescent="0.3"/>
    <row r="600" s="13" customFormat="1" x14ac:dyDescent="0.3"/>
    <row r="601" s="13" customFormat="1" x14ac:dyDescent="0.3"/>
    <row r="602" s="13" customFormat="1" x14ac:dyDescent="0.3"/>
    <row r="603" s="13" customFormat="1" x14ac:dyDescent="0.3"/>
    <row r="604" s="13" customFormat="1" x14ac:dyDescent="0.3"/>
    <row r="605" s="13" customFormat="1" x14ac:dyDescent="0.3"/>
    <row r="606" s="1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0FE-22C0-4BF8-9707-2C696950C065}">
  <dimension ref="A1:AJ99"/>
  <sheetViews>
    <sheetView topLeftCell="A2" zoomScale="85" zoomScaleNormal="95" workbookViewId="0">
      <selection activeCell="H89" sqref="H89"/>
    </sheetView>
  </sheetViews>
  <sheetFormatPr defaultRowHeight="13.8" x14ac:dyDescent="0.25"/>
  <cols>
    <col min="1" max="1" width="13.21875" style="53" customWidth="1"/>
    <col min="2" max="2" width="13" style="53" customWidth="1"/>
    <col min="3" max="3" width="10.77734375" style="53" customWidth="1"/>
    <col min="4" max="4" width="10.5546875" style="53" customWidth="1"/>
    <col min="5" max="5" width="10.77734375" style="53" customWidth="1"/>
    <col min="6" max="6" width="9.33203125" style="53" customWidth="1"/>
    <col min="7" max="11" width="10.77734375" style="53" customWidth="1"/>
    <col min="12" max="12" width="10.6640625" style="53" customWidth="1"/>
    <col min="13" max="13" width="10.88671875" style="53" customWidth="1"/>
    <col min="14" max="14" width="12.6640625" style="53" bestFit="1" customWidth="1"/>
    <col min="15" max="15" width="14.6640625" style="53" bestFit="1" customWidth="1"/>
    <col min="16" max="16" width="10.21875" style="53" customWidth="1"/>
    <col min="17" max="17" width="13.44140625" style="53" bestFit="1" customWidth="1"/>
    <col min="18" max="19" width="12.6640625" style="53" customWidth="1"/>
    <col min="20" max="20" width="12.5546875" style="53" bestFit="1" customWidth="1"/>
    <col min="21" max="21" width="12.6640625" style="53" bestFit="1" customWidth="1"/>
    <col min="22" max="22" width="11.21875" style="53" customWidth="1"/>
    <col min="23" max="23" width="9.6640625" style="53" bestFit="1" customWidth="1"/>
    <col min="24" max="24" width="11.88671875" style="53" bestFit="1" customWidth="1"/>
    <col min="25" max="25" width="10.33203125" style="53" customWidth="1"/>
    <col min="26" max="26" width="9.77734375" style="53" customWidth="1"/>
    <col min="27" max="27" width="9.6640625" style="53" bestFit="1" customWidth="1"/>
    <col min="28" max="28" width="10.21875" style="53" customWidth="1"/>
    <col min="29" max="29" width="9.33203125" style="53" bestFit="1" customWidth="1"/>
    <col min="30" max="30" width="39.5546875" style="53" customWidth="1"/>
    <col min="31" max="31" width="9.33203125" style="53" bestFit="1" customWidth="1"/>
    <col min="32" max="32" width="9.6640625" style="53" bestFit="1" customWidth="1"/>
    <col min="33" max="34" width="9.33203125" style="53" bestFit="1" customWidth="1"/>
    <col min="35" max="35" width="9.6640625" style="53" bestFit="1" customWidth="1"/>
    <col min="36" max="36" width="10.44140625" style="53" bestFit="1" customWidth="1"/>
    <col min="37" max="38" width="9.6640625" style="53" bestFit="1" customWidth="1"/>
    <col min="39" max="39" width="10.109375" style="53" customWidth="1"/>
    <col min="40" max="41" width="9.44140625" style="53" bestFit="1" customWidth="1"/>
    <col min="42" max="42" width="12.109375" style="53" bestFit="1" customWidth="1"/>
    <col min="43" max="43" width="9.44140625" style="53" bestFit="1" customWidth="1"/>
    <col min="44" max="44" width="12.44140625" style="53" bestFit="1" customWidth="1"/>
    <col min="45" max="45" width="10.77734375" style="53" customWidth="1"/>
    <col min="46" max="16384" width="8.88671875" style="53"/>
  </cols>
  <sheetData>
    <row r="1" spans="1:36" s="57" customFormat="1" ht="61.2" customHeight="1" thickBot="1" x14ac:dyDescent="0.35">
      <c r="A1" s="60" t="str">
        <f>Sheet1!A1</f>
        <v>Output Current (A)</v>
      </c>
      <c r="B1" s="60" t="str">
        <f>Sheet1!B1</f>
        <v>Technology</v>
      </c>
      <c r="C1" s="60" t="str">
        <f>Sheet1!C1</f>
        <v>Cgs0</v>
      </c>
      <c r="D1" s="60" t="str">
        <f>Sheet1!D1</f>
        <v>Coss0</v>
      </c>
      <c r="E1" s="60" t="str">
        <f>Sheet1!E1</f>
        <v>u</v>
      </c>
      <c r="F1" s="60" t="str">
        <f>Sheet1!F1</f>
        <v>Vg</v>
      </c>
      <c r="G1" s="60" t="str">
        <f>Sheet1!G1</f>
        <v>Vth</v>
      </c>
      <c r="H1" s="60" t="str">
        <f>Sheet1!H1</f>
        <v>Vpl</v>
      </c>
      <c r="I1" s="60" t="str">
        <f>Sheet1!I1</f>
        <v>Rg</v>
      </c>
      <c r="J1" s="60" t="str">
        <f>Sheet1!J1</f>
        <v>Rdr</v>
      </c>
      <c r="K1" s="60" t="s">
        <v>176</v>
      </c>
      <c r="L1" s="75" t="s">
        <v>177</v>
      </c>
      <c r="M1" s="60" t="str">
        <f>Sheet1!K1</f>
        <v>Fsw</v>
      </c>
      <c r="N1" s="60" t="str">
        <f>Sheet1!L1</f>
        <v>Vin</v>
      </c>
      <c r="O1" s="60" t="str">
        <f>Sheet1!M1</f>
        <v>Vout</v>
      </c>
      <c r="P1" s="60" t="str">
        <f>Sheet1!N1</f>
        <v>D</v>
      </c>
      <c r="Q1" s="60" t="str">
        <f>Sheet1!O1</f>
        <v>Tox</v>
      </c>
      <c r="R1" s="60" t="str">
        <f>Sheet1!P1</f>
        <v>Cox</v>
      </c>
      <c r="S1" s="60" t="str">
        <f>Sheet1!Q1</f>
        <v>Kp</v>
      </c>
      <c r="T1" s="60" t="s">
        <v>48</v>
      </c>
      <c r="U1" s="60" t="s">
        <v>166</v>
      </c>
      <c r="V1" s="60" t="s">
        <v>167</v>
      </c>
      <c r="AD1" s="63"/>
      <c r="AJ1" s="64"/>
    </row>
    <row r="2" spans="1:36" ht="27.6" x14ac:dyDescent="0.25">
      <c r="A2" s="48">
        <v>25</v>
      </c>
      <c r="B2" s="57" t="str">
        <f>Sheet1!B2</f>
        <v>130nm-12V_LDMOS</v>
      </c>
      <c r="C2" s="49">
        <f>Sheet1!C2</f>
        <v>2.1349999999999999E-4</v>
      </c>
      <c r="D2" s="49">
        <f>Sheet1!D2</f>
        <v>1.5000000000000001E-4</v>
      </c>
      <c r="E2" s="49"/>
      <c r="F2" s="48">
        <v>5</v>
      </c>
      <c r="G2" s="48">
        <f>Sheet1!G2</f>
        <v>2.13</v>
      </c>
      <c r="H2" s="48">
        <f>Sheet1!H2</f>
        <v>2.5</v>
      </c>
      <c r="I2" s="48">
        <f>Sheet1!I2</f>
        <v>0.4</v>
      </c>
      <c r="J2" s="48">
        <f>Sheet1!J2</f>
        <v>0.7</v>
      </c>
      <c r="K2" s="63">
        <v>2.4999999999999999E-7</v>
      </c>
      <c r="L2" s="49">
        <v>2.4999999999999999E-7</v>
      </c>
      <c r="M2" s="49">
        <f>(((N2/3)-2*O2)*P2)/(0.1*A2*K2)</f>
        <v>1400000.0000000002</v>
      </c>
      <c r="N2" s="48">
        <v>48</v>
      </c>
      <c r="O2" s="48">
        <f>Sheet1!M2</f>
        <v>1</v>
      </c>
      <c r="P2" s="48">
        <f>(O2/N2)*3</f>
        <v>6.25E-2</v>
      </c>
      <c r="Q2" s="48"/>
      <c r="R2" s="49"/>
      <c r="S2" s="49">
        <f>Sheet1!Q2</f>
        <v>67.400000000000006</v>
      </c>
      <c r="T2" s="50">
        <f>(F2-0.5*(G2+H2))/(I2+J2)</f>
        <v>2.4409090909090909</v>
      </c>
      <c r="U2" s="49">
        <v>2.0000000000000001E-9</v>
      </c>
      <c r="V2" s="49">
        <v>2.0000000000000001E-9</v>
      </c>
    </row>
    <row r="3" spans="1:36" x14ac:dyDescent="0.25">
      <c r="A3" s="48"/>
      <c r="B3" s="48"/>
      <c r="C3" s="49"/>
      <c r="D3" s="49"/>
      <c r="E3" s="49"/>
      <c r="F3" s="48"/>
      <c r="G3" s="50"/>
      <c r="H3" s="50"/>
      <c r="I3" s="50"/>
      <c r="J3" s="50"/>
      <c r="K3" s="49"/>
      <c r="L3" s="48"/>
      <c r="M3" s="48"/>
      <c r="N3" s="52"/>
      <c r="O3" s="50"/>
      <c r="S3" s="59"/>
    </row>
    <row r="4" spans="1:36" x14ac:dyDescent="0.25">
      <c r="A4" s="54"/>
    </row>
    <row r="5" spans="1:36" x14ac:dyDescent="0.25">
      <c r="A5" s="54"/>
    </row>
    <row r="6" spans="1:36" x14ac:dyDescent="0.25">
      <c r="A6" s="54"/>
    </row>
    <row r="7" spans="1:36" x14ac:dyDescent="0.25">
      <c r="A7" s="54"/>
    </row>
    <row r="8" spans="1:36" x14ac:dyDescent="0.25">
      <c r="A8" s="54"/>
    </row>
    <row r="9" spans="1:36" ht="14.4" thickBot="1" x14ac:dyDescent="0.3">
      <c r="AD9" s="77" t="s">
        <v>109</v>
      </c>
      <c r="AE9" s="78" t="s">
        <v>157</v>
      </c>
      <c r="AF9" s="78" t="s">
        <v>158</v>
      </c>
    </row>
    <row r="10" spans="1:36" ht="28.2" thickBot="1" x14ac:dyDescent="0.3">
      <c r="A10" s="55" t="s">
        <v>17</v>
      </c>
      <c r="B10" s="62" t="s">
        <v>53</v>
      </c>
      <c r="C10" s="62" t="s">
        <v>54</v>
      </c>
      <c r="D10" s="60" t="s">
        <v>55</v>
      </c>
      <c r="E10" s="60" t="s">
        <v>56</v>
      </c>
      <c r="F10" s="60" t="s">
        <v>57</v>
      </c>
      <c r="G10" s="60" t="s">
        <v>58</v>
      </c>
      <c r="H10" s="60" t="s">
        <v>59</v>
      </c>
      <c r="I10" s="60" t="s">
        <v>60</v>
      </c>
      <c r="J10" s="60" t="s">
        <v>61</v>
      </c>
      <c r="K10" s="60" t="s">
        <v>62</v>
      </c>
      <c r="L10" s="60" t="s">
        <v>63</v>
      </c>
      <c r="M10" s="71" t="s">
        <v>64</v>
      </c>
      <c r="N10" s="71" t="s">
        <v>69</v>
      </c>
      <c r="O10" s="74" t="s">
        <v>70</v>
      </c>
      <c r="P10" s="74" t="s">
        <v>71</v>
      </c>
      <c r="Q10" s="74" t="s">
        <v>72</v>
      </c>
      <c r="R10" s="75" t="s">
        <v>73</v>
      </c>
      <c r="S10" s="74" t="s">
        <v>74</v>
      </c>
      <c r="T10" s="74" t="s">
        <v>75</v>
      </c>
      <c r="U10" s="74" t="s">
        <v>77</v>
      </c>
      <c r="V10" s="74" t="s">
        <v>76</v>
      </c>
      <c r="W10" s="74" t="s">
        <v>78</v>
      </c>
      <c r="X10" s="71" t="s">
        <v>148</v>
      </c>
      <c r="Y10" s="74" t="s">
        <v>149</v>
      </c>
      <c r="Z10" s="74" t="s">
        <v>150</v>
      </c>
      <c r="AA10" s="74" t="s">
        <v>151</v>
      </c>
      <c r="AB10" s="75" t="s">
        <v>152</v>
      </c>
      <c r="AD10" s="78" t="s">
        <v>67</v>
      </c>
      <c r="AE10" s="79"/>
      <c r="AF10" s="79"/>
    </row>
    <row r="11" spans="1:36" x14ac:dyDescent="0.25">
      <c r="A11" s="48">
        <f>A2</f>
        <v>25</v>
      </c>
      <c r="B11" s="50">
        <f>A2/3</f>
        <v>8.3333333333333339</v>
      </c>
      <c r="C11" s="50">
        <f>(2*A2)/3</f>
        <v>16.666666666666668</v>
      </c>
      <c r="D11" s="50">
        <f>SQRT(P2)*(C11/2)</f>
        <v>2.0833333333333335</v>
      </c>
      <c r="E11" s="50">
        <f>SQRT(P2)*(B11)</f>
        <v>2.0833333333333335</v>
      </c>
      <c r="F11" s="50">
        <f>SQRT(1-P2)*B11</f>
        <v>8.0687153045987863</v>
      </c>
      <c r="G11" s="50">
        <f>SQRT(P2)*(C11/2)</f>
        <v>2.0833333333333335</v>
      </c>
      <c r="H11" s="50">
        <f>SQRT(1-P2)*C11</f>
        <v>16.137430609197573</v>
      </c>
      <c r="I11" s="48">
        <f>N2/3</f>
        <v>16</v>
      </c>
      <c r="J11" s="48">
        <f>(2*N2)/3</f>
        <v>32</v>
      </c>
      <c r="K11" s="48">
        <f>N2/3</f>
        <v>16</v>
      </c>
      <c r="L11" s="48">
        <f>(2*N2)/3</f>
        <v>32</v>
      </c>
      <c r="M11" s="48">
        <f>N2/3</f>
        <v>16</v>
      </c>
      <c r="N11" s="49">
        <f>(D11/(I11))*SQRT(1/($M$2*($F$2-$G$2)*$S$2*((D11/$T$2)*$C$2+($D$2/(2))+(($F$2^2)/(I11^2))*$C$2)))</f>
        <v>4.744868216986935E-4</v>
      </c>
      <c r="O11" s="49">
        <f>(E11/(J11))*SQRT(1/($M$2*($F$2-$G$2)*$S$2*((E11/$T$2)*$C$2+($D$2/(2))+(($F$2^2)/(J11^2))*$C$2)))</f>
        <v>2.4420919892975413E-4</v>
      </c>
      <c r="P11" s="49">
        <f>(F11/(K11))*SQRT((1)/($M$2*($F$2-$G$2)*$S$2*(($D$2/(2))+(($F$2^2)/(K11^2))*$C$2)))</f>
        <v>3.1300719551873909E-3</v>
      </c>
      <c r="Q11" s="49">
        <f>(G11/(L11))*SQRT(1/($M$2*($F$2-$G$2)*$S$2*((G11/$T$2)*$C$2+($D$2/(2))+(($F$2^2)/(L11^2))*$C$2)))</f>
        <v>2.4420919892975413E-4</v>
      </c>
      <c r="R11" s="49">
        <f>(H11/(M11))*SQRT((1)/($M$2*($F$2-$G$2)*$S$2*(($D$2/(2))+(($F$2^2)/(M11^2))*$C$2)))</f>
        <v>6.2601439103747818E-3</v>
      </c>
      <c r="S11" s="49">
        <v>1.6999999999999999E-3</v>
      </c>
      <c r="T11" s="49">
        <v>1.6999999999999999E-3</v>
      </c>
      <c r="U11" s="49">
        <v>1.6999999999999999E-3</v>
      </c>
      <c r="V11" s="49">
        <v>1.6999999999999999E-3</v>
      </c>
      <c r="W11" s="49">
        <v>1.6999999999999999E-3</v>
      </c>
      <c r="X11" s="59">
        <f>(2*D11*S11)/($S$2*($F$2-$G$2)^2)</f>
        <v>1.2758922212231634E-5</v>
      </c>
      <c r="Y11" s="59">
        <f>(2*E11*T11)/($S$2*($F$2-$G$2)^2)</f>
        <v>1.2758922212231634E-5</v>
      </c>
      <c r="Z11" s="59">
        <f>(2*F11*U11)/($S$2*($F$2-$G$2)^2)</f>
        <v>4.9415093243529014E-5</v>
      </c>
      <c r="AA11" s="59">
        <f>(2*G11*V11)/($S$2*($F$2-$G$2)^2)</f>
        <v>1.2758922212231634E-5</v>
      </c>
      <c r="AB11" s="59">
        <f>(2*H11*W11)/($S$2*($F$2-$G$2)^2)</f>
        <v>9.8830186487058029E-5</v>
      </c>
      <c r="AD11" s="77" t="str">
        <f>D1</f>
        <v>Coss0</v>
      </c>
      <c r="AE11" s="79"/>
      <c r="AF11" s="79"/>
    </row>
    <row r="12" spans="1:36" x14ac:dyDescent="0.25">
      <c r="A12" s="48"/>
      <c r="B12" s="50"/>
      <c r="C12" s="50"/>
      <c r="D12" s="50"/>
      <c r="E12" s="50"/>
      <c r="F12" s="50"/>
      <c r="G12" s="50"/>
      <c r="H12" s="50"/>
      <c r="I12" s="48"/>
      <c r="J12" s="48"/>
      <c r="K12" s="48"/>
      <c r="L12" s="48"/>
      <c r="M12" s="48"/>
      <c r="N12" s="49"/>
      <c r="O12" s="49"/>
      <c r="P12" s="49"/>
      <c r="Q12" s="49"/>
      <c r="R12" s="49"/>
      <c r="S12" s="49"/>
      <c r="T12" s="49"/>
      <c r="U12" s="49"/>
      <c r="V12" s="49"/>
      <c r="W12" s="49"/>
      <c r="AD12" s="78" t="str">
        <f>E1</f>
        <v>u</v>
      </c>
      <c r="AE12" s="79"/>
      <c r="AF12" s="79"/>
    </row>
    <row r="13" spans="1:36" x14ac:dyDescent="0.25">
      <c r="N13" s="59"/>
      <c r="O13" s="59"/>
      <c r="P13" s="59"/>
      <c r="Q13" s="59"/>
      <c r="R13" s="59"/>
      <c r="AD13" s="78" t="str">
        <f>F1</f>
        <v>Vg</v>
      </c>
      <c r="AE13" s="79"/>
      <c r="AF13" s="79"/>
    </row>
    <row r="14" spans="1:36" x14ac:dyDescent="0.25">
      <c r="Q14" s="59"/>
      <c r="AD14" s="78" t="str">
        <f>G1</f>
        <v>Vth</v>
      </c>
      <c r="AE14" s="79"/>
      <c r="AF14" s="79"/>
    </row>
    <row r="15" spans="1:36" x14ac:dyDescent="0.25">
      <c r="AD15" s="78" t="str">
        <f>H1</f>
        <v>Vpl</v>
      </c>
      <c r="AE15" s="79"/>
      <c r="AF15" s="79"/>
    </row>
    <row r="16" spans="1:36" ht="14.4" thickBot="1" x14ac:dyDescent="0.3">
      <c r="AD16" s="78" t="str">
        <f>I1</f>
        <v>Rg</v>
      </c>
      <c r="AE16" s="79"/>
      <c r="AF16" s="79"/>
    </row>
    <row r="17" spans="1:32" ht="28.2" thickBot="1" x14ac:dyDescent="0.3">
      <c r="A17" s="73" t="s">
        <v>97</v>
      </c>
      <c r="AD17" s="78" t="s">
        <v>38</v>
      </c>
      <c r="AE17" s="79"/>
      <c r="AF17" s="79"/>
    </row>
    <row r="18" spans="1:32" ht="15" thickBot="1" x14ac:dyDescent="0.3">
      <c r="A18" s="56"/>
      <c r="B18" s="56"/>
      <c r="C18" s="56"/>
      <c r="D18" s="48"/>
      <c r="E18" s="57"/>
      <c r="F18" s="57"/>
      <c r="G18" s="57"/>
      <c r="H18" s="57"/>
      <c r="I18" s="57"/>
      <c r="J18" s="57"/>
      <c r="AD18" s="80" t="s">
        <v>40</v>
      </c>
      <c r="AE18" s="79"/>
      <c r="AF18" s="79"/>
    </row>
    <row r="19" spans="1:32" ht="28.2" thickBot="1" x14ac:dyDescent="0.3">
      <c r="A19" s="76"/>
      <c r="B19" s="65" t="s">
        <v>93</v>
      </c>
      <c r="C19" s="60" t="s">
        <v>80</v>
      </c>
      <c r="D19" s="60" t="s">
        <v>81</v>
      </c>
      <c r="E19" s="60" t="s">
        <v>82</v>
      </c>
      <c r="F19" s="60" t="s">
        <v>83</v>
      </c>
      <c r="G19" s="60" t="s">
        <v>84</v>
      </c>
      <c r="H19" s="60" t="s">
        <v>110</v>
      </c>
      <c r="I19" s="60" t="s">
        <v>111</v>
      </c>
      <c r="J19" s="60" t="s">
        <v>112</v>
      </c>
      <c r="K19" s="60" t="s">
        <v>113</v>
      </c>
      <c r="L19" s="60" t="s">
        <v>114</v>
      </c>
      <c r="AD19" s="80" t="s">
        <v>156</v>
      </c>
      <c r="AE19" s="79"/>
      <c r="AF19" s="79"/>
    </row>
    <row r="20" spans="1:32" x14ac:dyDescent="0.25">
      <c r="B20" s="48">
        <v>0.2</v>
      </c>
      <c r="C20" s="58">
        <f t="shared" ref="C20:C29" si="0">(1/($S$2*((N$11*$B20)/S$11)*($F$2-$G$2)))</f>
        <v>9.2608953693616852E-2</v>
      </c>
      <c r="D20" s="58">
        <f t="shared" ref="D20:D29" si="1">(1/($S$2*((O$11*$B20)/T$11)*($F$2-$G$2)))</f>
        <v>0.17993477842562933</v>
      </c>
      <c r="E20" s="58">
        <f t="shared" ref="E20:E29" si="2">(1/($S$2*((P$11*$B20)/U$11)*($F$2-$G$2)))</f>
        <v>1.4038568035505445E-2</v>
      </c>
      <c r="F20" s="58">
        <f t="shared" ref="F20:F29" si="3">(1/($S$2*((Q$11*$B20)/V$11)*($F$2-$G$2)))</f>
        <v>0.17993477842562933</v>
      </c>
      <c r="G20" s="58">
        <f t="shared" ref="G20:G29" si="4">(1/($S$2*((R$11*$B20)/W$11)*($F$2-$G$2)))</f>
        <v>7.0192840177527227E-3</v>
      </c>
      <c r="H20" s="49">
        <f>D$11^2*C20</f>
        <v>0.40194858373965653</v>
      </c>
      <c r="I20" s="49">
        <f>E$11^2*D20</f>
        <v>0.78096692025012748</v>
      </c>
      <c r="J20" s="49">
        <f>F$11^2*E20</f>
        <v>0.91396927314488607</v>
      </c>
      <c r="K20" s="49">
        <f>G$11^2*F20</f>
        <v>0.78096692025012748</v>
      </c>
      <c r="L20" s="49">
        <f>H$11^2*G20</f>
        <v>1.8279385462897721</v>
      </c>
      <c r="M20" s="59">
        <f>SUM(H20:L20)</f>
        <v>4.7057902436745698</v>
      </c>
      <c r="O20" s="58"/>
      <c r="P20" s="58"/>
      <c r="Q20" s="58"/>
      <c r="R20" s="58"/>
      <c r="S20" s="58"/>
      <c r="T20" s="49"/>
      <c r="U20" s="49"/>
      <c r="V20" s="49"/>
      <c r="W20" s="49"/>
      <c r="X20" s="49"/>
      <c r="Y20" s="59"/>
    </row>
    <row r="21" spans="1:32" x14ac:dyDescent="0.25">
      <c r="B21" s="48">
        <v>0.4</v>
      </c>
      <c r="C21" s="58">
        <f t="shared" si="0"/>
        <v>4.6304476846808426E-2</v>
      </c>
      <c r="D21" s="58">
        <f t="shared" si="1"/>
        <v>8.9967389212814664E-2</v>
      </c>
      <c r="E21" s="58">
        <f t="shared" si="2"/>
        <v>7.0192840177527227E-3</v>
      </c>
      <c r="F21" s="58">
        <f t="shared" si="3"/>
        <v>8.9967389212814664E-2</v>
      </c>
      <c r="G21" s="58">
        <f t="shared" si="4"/>
        <v>3.5096420088763613E-3</v>
      </c>
      <c r="H21" s="49">
        <f t="shared" ref="H21:H29" si="5">D$11^2*C21</f>
        <v>0.20097429186982826</v>
      </c>
      <c r="I21" s="49">
        <f t="shared" ref="I21:I29" si="6">E$11^2*D21</f>
        <v>0.39048346012506374</v>
      </c>
      <c r="J21" s="49">
        <f t="shared" ref="J21:J29" si="7">F$11^2*E21</f>
        <v>0.45698463657244304</v>
      </c>
      <c r="K21" s="49">
        <f t="shared" ref="K21:K29" si="8">G$11^2*F21</f>
        <v>0.39048346012506374</v>
      </c>
      <c r="L21" s="49">
        <f t="shared" ref="L21:L29" si="9">H$11^2*G21</f>
        <v>0.91396927314488607</v>
      </c>
      <c r="M21" s="59">
        <f t="shared" ref="M21:M29" si="10">SUM(H21:L21)</f>
        <v>2.3528951218372849</v>
      </c>
    </row>
    <row r="22" spans="1:32" x14ac:dyDescent="0.25">
      <c r="B22" s="48">
        <v>0.6</v>
      </c>
      <c r="C22" s="58">
        <f t="shared" si="0"/>
        <v>3.0869651231205615E-2</v>
      </c>
      <c r="D22" s="58">
        <f t="shared" si="1"/>
        <v>5.9978259475209773E-2</v>
      </c>
      <c r="E22" s="58">
        <f t="shared" si="2"/>
        <v>4.6795226785018166E-3</v>
      </c>
      <c r="F22" s="58">
        <f t="shared" si="3"/>
        <v>5.9978259475209773E-2</v>
      </c>
      <c r="G22" s="58">
        <f t="shared" si="4"/>
        <v>2.3397613392509083E-3</v>
      </c>
      <c r="H22" s="49">
        <f t="shared" si="5"/>
        <v>0.13398286124655218</v>
      </c>
      <c r="I22" s="49">
        <f t="shared" si="6"/>
        <v>0.26032230675004248</v>
      </c>
      <c r="J22" s="49">
        <f t="shared" si="7"/>
        <v>0.30465642438162877</v>
      </c>
      <c r="K22" s="49">
        <f t="shared" si="8"/>
        <v>0.26032230675004248</v>
      </c>
      <c r="L22" s="49">
        <f t="shared" si="9"/>
        <v>0.60931284876325753</v>
      </c>
      <c r="M22" s="59">
        <f t="shared" si="10"/>
        <v>1.5685967478915235</v>
      </c>
    </row>
    <row r="23" spans="1:32" x14ac:dyDescent="0.25">
      <c r="B23" s="48">
        <v>0.8</v>
      </c>
      <c r="C23" s="58">
        <f t="shared" si="0"/>
        <v>2.3152238423404213E-2</v>
      </c>
      <c r="D23" s="58">
        <f t="shared" si="1"/>
        <v>4.4983694606407332E-2</v>
      </c>
      <c r="E23" s="58">
        <f t="shared" si="2"/>
        <v>3.5096420088763613E-3</v>
      </c>
      <c r="F23" s="58">
        <f t="shared" si="3"/>
        <v>4.4983694606407332E-2</v>
      </c>
      <c r="G23" s="58">
        <f t="shared" si="4"/>
        <v>1.7548210044381807E-3</v>
      </c>
      <c r="H23" s="49">
        <f t="shared" si="5"/>
        <v>0.10048714593491413</v>
      </c>
      <c r="I23" s="49">
        <f t="shared" si="6"/>
        <v>0.19524173006253187</v>
      </c>
      <c r="J23" s="49">
        <f t="shared" si="7"/>
        <v>0.22849231828622152</v>
      </c>
      <c r="K23" s="49">
        <f t="shared" si="8"/>
        <v>0.19524173006253187</v>
      </c>
      <c r="L23" s="49">
        <f t="shared" si="9"/>
        <v>0.45698463657244304</v>
      </c>
      <c r="M23" s="59">
        <f t="shared" si="10"/>
        <v>1.1764475609186424</v>
      </c>
    </row>
    <row r="24" spans="1:32" x14ac:dyDescent="0.25">
      <c r="B24" s="48">
        <v>1</v>
      </c>
      <c r="C24" s="58">
        <f t="shared" si="0"/>
        <v>1.8521790738723374E-2</v>
      </c>
      <c r="D24" s="58">
        <f t="shared" si="1"/>
        <v>3.598695568512586E-2</v>
      </c>
      <c r="E24" s="58">
        <f t="shared" si="2"/>
        <v>2.8077136071010898E-3</v>
      </c>
      <c r="F24" s="58">
        <f t="shared" si="3"/>
        <v>3.598695568512586E-2</v>
      </c>
      <c r="G24" s="58">
        <f t="shared" si="4"/>
        <v>1.4038568035505449E-3</v>
      </c>
      <c r="H24" s="49">
        <f t="shared" si="5"/>
        <v>8.0389716747931328E-2</v>
      </c>
      <c r="I24" s="49">
        <f t="shared" si="6"/>
        <v>0.15619338405002547</v>
      </c>
      <c r="J24" s="49">
        <f t="shared" si="7"/>
        <v>0.18279385462897726</v>
      </c>
      <c r="K24" s="49">
        <f t="shared" si="8"/>
        <v>0.15619338405002547</v>
      </c>
      <c r="L24" s="49">
        <f t="shared" si="9"/>
        <v>0.36558770925795453</v>
      </c>
      <c r="M24" s="59">
        <f t="shared" si="10"/>
        <v>0.94115804873491404</v>
      </c>
    </row>
    <row r="25" spans="1:32" x14ac:dyDescent="0.25">
      <c r="B25" s="48">
        <v>1.2</v>
      </c>
      <c r="C25" s="58">
        <f t="shared" si="0"/>
        <v>1.5434825615602808E-2</v>
      </c>
      <c r="D25" s="58">
        <f t="shared" si="1"/>
        <v>2.9989129737604887E-2</v>
      </c>
      <c r="E25" s="58">
        <f t="shared" si="2"/>
        <v>2.3397613392509083E-3</v>
      </c>
      <c r="F25" s="58">
        <f t="shared" si="3"/>
        <v>2.9989129737604887E-2</v>
      </c>
      <c r="G25" s="58">
        <f t="shared" si="4"/>
        <v>1.1698806696254541E-3</v>
      </c>
      <c r="H25" s="49">
        <f t="shared" si="5"/>
        <v>6.6991430623276088E-2</v>
      </c>
      <c r="I25" s="49">
        <f t="shared" si="6"/>
        <v>0.13016115337502124</v>
      </c>
      <c r="J25" s="49">
        <f t="shared" si="7"/>
        <v>0.15232821219081438</v>
      </c>
      <c r="K25" s="49">
        <f t="shared" si="8"/>
        <v>0.13016115337502124</v>
      </c>
      <c r="L25" s="49">
        <f t="shared" si="9"/>
        <v>0.30465642438162877</v>
      </c>
      <c r="M25" s="59">
        <f t="shared" si="10"/>
        <v>0.78429837394576174</v>
      </c>
    </row>
    <row r="26" spans="1:32" x14ac:dyDescent="0.25">
      <c r="B26" s="48">
        <v>1.4</v>
      </c>
      <c r="C26" s="58">
        <f t="shared" si="0"/>
        <v>1.3229850527659551E-2</v>
      </c>
      <c r="D26" s="58">
        <f t="shared" si="1"/>
        <v>2.5704968346518479E-2</v>
      </c>
      <c r="E26" s="58">
        <f t="shared" si="2"/>
        <v>2.0055097193579217E-3</v>
      </c>
      <c r="F26" s="58">
        <f t="shared" si="3"/>
        <v>2.5704968346518479E-2</v>
      </c>
      <c r="G26" s="58">
        <f t="shared" si="4"/>
        <v>1.0027548596789608E-3</v>
      </c>
      <c r="H26" s="49">
        <f t="shared" si="5"/>
        <v>5.7421226248522368E-2</v>
      </c>
      <c r="I26" s="49">
        <f t="shared" si="6"/>
        <v>0.11156670289287536</v>
      </c>
      <c r="J26" s="49">
        <f t="shared" si="7"/>
        <v>0.13056703902069808</v>
      </c>
      <c r="K26" s="49">
        <f t="shared" si="8"/>
        <v>0.11156670289287536</v>
      </c>
      <c r="L26" s="49">
        <f t="shared" si="9"/>
        <v>0.26113407804139616</v>
      </c>
      <c r="M26" s="59">
        <f t="shared" si="10"/>
        <v>0.67225574909636732</v>
      </c>
    </row>
    <row r="27" spans="1:32" x14ac:dyDescent="0.25">
      <c r="B27" s="48">
        <v>1.6</v>
      </c>
      <c r="C27" s="58">
        <f t="shared" si="0"/>
        <v>1.1576119211702107E-2</v>
      </c>
      <c r="D27" s="58">
        <f t="shared" si="1"/>
        <v>2.2491847303203666E-2</v>
      </c>
      <c r="E27" s="58">
        <f t="shared" si="2"/>
        <v>1.7548210044381807E-3</v>
      </c>
      <c r="F27" s="58">
        <f t="shared" si="3"/>
        <v>2.2491847303203666E-2</v>
      </c>
      <c r="G27" s="58">
        <f t="shared" si="4"/>
        <v>8.7741050221909033E-4</v>
      </c>
      <c r="H27" s="49">
        <f t="shared" si="5"/>
        <v>5.0243572967457066E-2</v>
      </c>
      <c r="I27" s="49">
        <f t="shared" si="6"/>
        <v>9.7620865031265935E-2</v>
      </c>
      <c r="J27" s="49">
        <f t="shared" si="7"/>
        <v>0.11424615914311076</v>
      </c>
      <c r="K27" s="49">
        <f t="shared" si="8"/>
        <v>9.7620865031265935E-2</v>
      </c>
      <c r="L27" s="49">
        <f t="shared" si="9"/>
        <v>0.22849231828622152</v>
      </c>
      <c r="M27" s="59">
        <f t="shared" si="10"/>
        <v>0.58822378045932122</v>
      </c>
    </row>
    <row r="28" spans="1:32" x14ac:dyDescent="0.25">
      <c r="B28" s="54">
        <v>1.8</v>
      </c>
      <c r="C28" s="49">
        <f t="shared" si="0"/>
        <v>1.0289883743735207E-2</v>
      </c>
      <c r="D28" s="49">
        <f t="shared" si="1"/>
        <v>1.9992753158403261E-2</v>
      </c>
      <c r="E28" s="49">
        <f t="shared" si="2"/>
        <v>1.5598408928339386E-3</v>
      </c>
      <c r="F28" s="49">
        <f t="shared" si="3"/>
        <v>1.9992753158403261E-2</v>
      </c>
      <c r="G28" s="49">
        <f t="shared" si="4"/>
        <v>7.7992044641696928E-4</v>
      </c>
      <c r="H28" s="49">
        <f t="shared" si="5"/>
        <v>4.4660953748850735E-2</v>
      </c>
      <c r="I28" s="49">
        <f t="shared" si="6"/>
        <v>8.6774102250014168E-2</v>
      </c>
      <c r="J28" s="49">
        <f t="shared" si="7"/>
        <v>0.10155214146054291</v>
      </c>
      <c r="K28" s="49">
        <f t="shared" si="8"/>
        <v>8.6774102250014168E-2</v>
      </c>
      <c r="L28" s="49">
        <f t="shared" si="9"/>
        <v>0.20310428292108582</v>
      </c>
      <c r="M28" s="59">
        <f t="shared" si="10"/>
        <v>0.52286558263050786</v>
      </c>
    </row>
    <row r="29" spans="1:32" x14ac:dyDescent="0.25">
      <c r="B29" s="48">
        <v>2</v>
      </c>
      <c r="C29" s="49">
        <f t="shared" si="0"/>
        <v>9.260895369361687E-3</v>
      </c>
      <c r="D29" s="49">
        <f t="shared" si="1"/>
        <v>1.799347784256293E-2</v>
      </c>
      <c r="E29" s="49">
        <f t="shared" si="2"/>
        <v>1.4038568035505449E-3</v>
      </c>
      <c r="F29" s="49">
        <f t="shared" si="3"/>
        <v>1.799347784256293E-2</v>
      </c>
      <c r="G29" s="49">
        <f t="shared" si="4"/>
        <v>7.0192840177527244E-4</v>
      </c>
      <c r="H29" s="49">
        <f t="shared" si="5"/>
        <v>4.0194858373965664E-2</v>
      </c>
      <c r="I29" s="49">
        <f t="shared" si="6"/>
        <v>7.8096692025012737E-2</v>
      </c>
      <c r="J29" s="49">
        <f t="shared" si="7"/>
        <v>9.1396927314488632E-2</v>
      </c>
      <c r="K29" s="49">
        <f t="shared" si="8"/>
        <v>7.8096692025012737E-2</v>
      </c>
      <c r="L29" s="49">
        <f t="shared" si="9"/>
        <v>0.18279385462897726</v>
      </c>
      <c r="M29" s="59">
        <f t="shared" si="10"/>
        <v>0.47057902436745702</v>
      </c>
    </row>
    <row r="30" spans="1:32" ht="14.4" thickBot="1" x14ac:dyDescent="0.3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9"/>
    </row>
    <row r="31" spans="1:32" ht="28.2" thickBot="1" x14ac:dyDescent="0.3">
      <c r="A31" s="73" t="s">
        <v>115</v>
      </c>
      <c r="W31" s="72"/>
    </row>
    <row r="32" spans="1:32" ht="14.4" thickBot="1" x14ac:dyDescent="0.3"/>
    <row r="33" spans="1:14" ht="28.2" thickBot="1" x14ac:dyDescent="0.3">
      <c r="A33" s="66" t="s">
        <v>17</v>
      </c>
      <c r="B33" s="65" t="s">
        <v>93</v>
      </c>
      <c r="C33" s="60" t="s">
        <v>121</v>
      </c>
      <c r="D33" s="60" t="s">
        <v>122</v>
      </c>
      <c r="E33" s="60" t="s">
        <v>123</v>
      </c>
      <c r="F33" s="60" t="s">
        <v>124</v>
      </c>
      <c r="G33" s="60" t="s">
        <v>125</v>
      </c>
      <c r="H33" s="60" t="s">
        <v>116</v>
      </c>
      <c r="I33" s="60" t="s">
        <v>117</v>
      </c>
      <c r="J33" s="60" t="s">
        <v>118</v>
      </c>
      <c r="K33" s="60" t="s">
        <v>119</v>
      </c>
      <c r="L33" s="60" t="s">
        <v>120</v>
      </c>
    </row>
    <row r="34" spans="1:14" x14ac:dyDescent="0.25">
      <c r="B34" s="48">
        <f t="shared" ref="B34:B43" si="11">B20</f>
        <v>0.2</v>
      </c>
      <c r="C34" s="49">
        <f>$C$2*N$11*$B34*S$11*I$11</f>
        <v>5.5108797419373049E-10</v>
      </c>
      <c r="D34" s="49">
        <f t="shared" ref="D34:G41" si="12">$C$2*O$11*$B34*T$11*J$11</f>
        <v>5.6726866400994721E-10</v>
      </c>
      <c r="E34" s="49">
        <f t="shared" si="12"/>
        <v>3.6353907716328431E-9</v>
      </c>
      <c r="F34" s="49">
        <f t="shared" si="12"/>
        <v>5.6726866400994721E-10</v>
      </c>
      <c r="G34" s="49">
        <f t="shared" si="12"/>
        <v>7.2707815432656861E-9</v>
      </c>
      <c r="H34" s="49">
        <f t="shared" ref="H34:H43" si="13">(D$11*I$11*$M$2*C34)/$T$2</f>
        <v>1.053600844516878E-2</v>
      </c>
      <c r="I34" s="49">
        <f t="shared" ref="I34:I43" si="14">(E$11*J$11*$M$2*D34)/$T$2</f>
        <v>2.1690719865308974E-2</v>
      </c>
      <c r="J34" s="49">
        <f t="shared" ref="J34:J43" si="15">(F$11*K$11*$M$2*E34)/$T$2</f>
        <v>0.26918565102240605</v>
      </c>
      <c r="K34" s="49">
        <f t="shared" ref="K34:K43" si="16">(G$11*L$11*$M$2*F34)/$T$2</f>
        <v>2.1690719865308974E-2</v>
      </c>
      <c r="L34" s="49">
        <f t="shared" ref="L34:L43" si="17">(H$11*M$11*$M$2*G34)/$T$2</f>
        <v>1.0767426040896242</v>
      </c>
      <c r="M34" s="59">
        <f>SUM(H34,I34,K34)</f>
        <v>5.3917448175786725E-2</v>
      </c>
    </row>
    <row r="35" spans="1:14" x14ac:dyDescent="0.25">
      <c r="B35" s="48">
        <f t="shared" si="11"/>
        <v>0.4</v>
      </c>
      <c r="C35" s="49">
        <f t="shared" ref="C35:C41" si="18">$C$2*N$11*$B35*S$11*I$11</f>
        <v>1.102175948387461E-9</v>
      </c>
      <c r="D35" s="49">
        <f t="shared" si="12"/>
        <v>1.1345373280198944E-9</v>
      </c>
      <c r="E35" s="49">
        <f t="shared" si="12"/>
        <v>7.2707815432656861E-9</v>
      </c>
      <c r="F35" s="49">
        <f t="shared" si="12"/>
        <v>1.1345373280198944E-9</v>
      </c>
      <c r="G35" s="49">
        <f t="shared" si="12"/>
        <v>1.4541563086531372E-8</v>
      </c>
      <c r="H35" s="49">
        <f t="shared" si="13"/>
        <v>2.107201689033756E-2</v>
      </c>
      <c r="I35" s="49">
        <f t="shared" si="14"/>
        <v>4.3381439730617949E-2</v>
      </c>
      <c r="J35" s="49">
        <f t="shared" si="15"/>
        <v>0.53837130204481209</v>
      </c>
      <c r="K35" s="49">
        <f t="shared" si="16"/>
        <v>4.3381439730617949E-2</v>
      </c>
      <c r="L35" s="49">
        <f t="shared" si="17"/>
        <v>2.1534852081792484</v>
      </c>
      <c r="M35" s="59">
        <f t="shared" ref="M35:M43" si="19">SUM(H35,I35,K35)</f>
        <v>0.10783489635157345</v>
      </c>
    </row>
    <row r="36" spans="1:14" x14ac:dyDescent="0.25">
      <c r="B36" s="48">
        <f t="shared" si="11"/>
        <v>0.6</v>
      </c>
      <c r="C36" s="49">
        <f t="shared" si="18"/>
        <v>1.6532639225811913E-9</v>
      </c>
      <c r="D36" s="49">
        <f t="shared" si="12"/>
        <v>1.7018059920298415E-9</v>
      </c>
      <c r="E36" s="49">
        <f t="shared" si="12"/>
        <v>1.0906172314898528E-8</v>
      </c>
      <c r="F36" s="49">
        <f t="shared" si="12"/>
        <v>1.7018059920298415E-9</v>
      </c>
      <c r="G36" s="49">
        <f t="shared" si="12"/>
        <v>2.1812344629797055E-8</v>
      </c>
      <c r="H36" s="49">
        <f t="shared" si="13"/>
        <v>3.1608025335506336E-2</v>
      </c>
      <c r="I36" s="49">
        <f t="shared" si="14"/>
        <v>6.5072159595926923E-2</v>
      </c>
      <c r="J36" s="49">
        <f t="shared" si="15"/>
        <v>0.80755695306721809</v>
      </c>
      <c r="K36" s="49">
        <f t="shared" si="16"/>
        <v>6.5072159595926923E-2</v>
      </c>
      <c r="L36" s="49">
        <f t="shared" si="17"/>
        <v>3.2302278122688723</v>
      </c>
      <c r="M36" s="59">
        <f t="shared" si="19"/>
        <v>0.1617523445273602</v>
      </c>
    </row>
    <row r="37" spans="1:14" x14ac:dyDescent="0.25">
      <c r="B37" s="48">
        <f t="shared" si="11"/>
        <v>0.8</v>
      </c>
      <c r="C37" s="49">
        <f t="shared" si="18"/>
        <v>2.204351896774922E-9</v>
      </c>
      <c r="D37" s="49">
        <f t="shared" si="12"/>
        <v>2.2690746560397888E-9</v>
      </c>
      <c r="E37" s="49">
        <f t="shared" si="12"/>
        <v>1.4541563086531372E-8</v>
      </c>
      <c r="F37" s="49">
        <f t="shared" si="12"/>
        <v>2.2690746560397888E-9</v>
      </c>
      <c r="G37" s="49">
        <f t="shared" si="12"/>
        <v>2.9083126173062745E-8</v>
      </c>
      <c r="H37" s="49">
        <f t="shared" si="13"/>
        <v>4.2144033780675119E-2</v>
      </c>
      <c r="I37" s="49">
        <f t="shared" si="14"/>
        <v>8.6762879461235898E-2</v>
      </c>
      <c r="J37" s="49">
        <f t="shared" si="15"/>
        <v>1.0767426040896242</v>
      </c>
      <c r="K37" s="49">
        <f t="shared" si="16"/>
        <v>8.6762879461235898E-2</v>
      </c>
      <c r="L37" s="49">
        <f t="shared" si="17"/>
        <v>4.3069704163584968</v>
      </c>
      <c r="M37" s="59">
        <f t="shared" si="19"/>
        <v>0.2156697927031469</v>
      </c>
    </row>
    <row r="38" spans="1:14" x14ac:dyDescent="0.25">
      <c r="B38" s="48">
        <f t="shared" si="11"/>
        <v>1</v>
      </c>
      <c r="C38" s="49">
        <f t="shared" si="18"/>
        <v>2.7554398709686527E-9</v>
      </c>
      <c r="D38" s="49">
        <f t="shared" si="12"/>
        <v>2.8363433200497359E-9</v>
      </c>
      <c r="E38" s="49">
        <f t="shared" si="12"/>
        <v>1.8176953858164214E-8</v>
      </c>
      <c r="F38" s="49">
        <f t="shared" si="12"/>
        <v>2.8363433200497359E-9</v>
      </c>
      <c r="G38" s="49">
        <f t="shared" si="12"/>
        <v>3.6353907716328427E-8</v>
      </c>
      <c r="H38" s="49">
        <f t="shared" si="13"/>
        <v>5.2680042225843902E-2</v>
      </c>
      <c r="I38" s="49">
        <f t="shared" si="14"/>
        <v>0.10845359932654486</v>
      </c>
      <c r="J38" s="49">
        <f t="shared" si="15"/>
        <v>1.3459282551120302</v>
      </c>
      <c r="K38" s="49">
        <f t="shared" si="16"/>
        <v>0.10845359932654486</v>
      </c>
      <c r="L38" s="49">
        <f t="shared" si="17"/>
        <v>5.3837130204481207</v>
      </c>
      <c r="M38" s="59">
        <f t="shared" si="19"/>
        <v>0.2695872408789336</v>
      </c>
    </row>
    <row r="39" spans="1:14" x14ac:dyDescent="0.25">
      <c r="B39" s="48">
        <f t="shared" si="11"/>
        <v>1.2</v>
      </c>
      <c r="C39" s="49">
        <f t="shared" si="18"/>
        <v>3.3065278451623826E-9</v>
      </c>
      <c r="D39" s="49">
        <f t="shared" si="12"/>
        <v>3.403611984059683E-9</v>
      </c>
      <c r="E39" s="49">
        <f t="shared" si="12"/>
        <v>2.1812344629797055E-8</v>
      </c>
      <c r="F39" s="49">
        <f t="shared" si="12"/>
        <v>3.403611984059683E-9</v>
      </c>
      <c r="G39" s="49">
        <f t="shared" si="12"/>
        <v>4.362468925959411E-8</v>
      </c>
      <c r="H39" s="49">
        <f t="shared" si="13"/>
        <v>6.3216050671012672E-2</v>
      </c>
      <c r="I39" s="49">
        <f t="shared" si="14"/>
        <v>0.13014431919185385</v>
      </c>
      <c r="J39" s="49">
        <f t="shared" si="15"/>
        <v>1.6151139061344362</v>
      </c>
      <c r="K39" s="49">
        <f t="shared" si="16"/>
        <v>0.13014431919185385</v>
      </c>
      <c r="L39" s="49">
        <f t="shared" si="17"/>
        <v>6.4604556245377447</v>
      </c>
      <c r="M39" s="59">
        <f t="shared" si="19"/>
        <v>0.32350468905472041</v>
      </c>
    </row>
    <row r="40" spans="1:14" x14ac:dyDescent="0.25">
      <c r="B40" s="48">
        <f t="shared" si="11"/>
        <v>1.4</v>
      </c>
      <c r="C40" s="49">
        <f t="shared" si="18"/>
        <v>3.8576158193561128E-9</v>
      </c>
      <c r="D40" s="49">
        <f t="shared" si="12"/>
        <v>3.9708806480696306E-9</v>
      </c>
      <c r="E40" s="49">
        <f t="shared" si="12"/>
        <v>2.54477354014299E-8</v>
      </c>
      <c r="F40" s="49">
        <f t="shared" si="12"/>
        <v>3.9708806480696306E-9</v>
      </c>
      <c r="G40" s="49">
        <f t="shared" si="12"/>
        <v>5.08954708028598E-8</v>
      </c>
      <c r="H40" s="49">
        <f t="shared" si="13"/>
        <v>7.3752059116181448E-2</v>
      </c>
      <c r="I40" s="49">
        <f t="shared" si="14"/>
        <v>0.15183503905716281</v>
      </c>
      <c r="J40" s="49">
        <f t="shared" si="15"/>
        <v>1.8842995571568422</v>
      </c>
      <c r="K40" s="49">
        <f t="shared" si="16"/>
        <v>0.15183503905716281</v>
      </c>
      <c r="L40" s="49">
        <f t="shared" si="17"/>
        <v>7.5371982286273687</v>
      </c>
      <c r="M40" s="59">
        <f t="shared" si="19"/>
        <v>0.3774221372305071</v>
      </c>
    </row>
    <row r="41" spans="1:14" x14ac:dyDescent="0.25">
      <c r="B41" s="48">
        <f t="shared" si="11"/>
        <v>1.6</v>
      </c>
      <c r="C41" s="49">
        <f t="shared" si="18"/>
        <v>4.408703793549844E-9</v>
      </c>
      <c r="D41" s="49">
        <f t="shared" si="12"/>
        <v>4.5381493120795777E-9</v>
      </c>
      <c r="E41" s="49">
        <f t="shared" si="12"/>
        <v>2.9083126173062745E-8</v>
      </c>
      <c r="F41" s="49">
        <f t="shared" si="12"/>
        <v>4.5381493120795777E-9</v>
      </c>
      <c r="G41" s="49">
        <f t="shared" si="12"/>
        <v>5.8166252346125489E-8</v>
      </c>
      <c r="H41" s="49">
        <f t="shared" si="13"/>
        <v>8.4288067561350238E-2</v>
      </c>
      <c r="I41" s="49">
        <f t="shared" si="14"/>
        <v>0.1735257589224718</v>
      </c>
      <c r="J41" s="49">
        <f t="shared" si="15"/>
        <v>2.1534852081792484</v>
      </c>
      <c r="K41" s="49">
        <f t="shared" si="16"/>
        <v>0.1735257589224718</v>
      </c>
      <c r="L41" s="49">
        <f t="shared" si="17"/>
        <v>8.6139408327169935</v>
      </c>
      <c r="M41" s="59">
        <f t="shared" si="19"/>
        <v>0.4313395854062938</v>
      </c>
    </row>
    <row r="42" spans="1:14" x14ac:dyDescent="0.25">
      <c r="B42" s="48">
        <f t="shared" si="11"/>
        <v>1.8</v>
      </c>
      <c r="C42" s="49">
        <f t="shared" ref="C42:G43" si="20">$C$2*N$11*$B42*S$11*I$11</f>
        <v>4.9597917677435751E-9</v>
      </c>
      <c r="D42" s="49">
        <f t="shared" si="20"/>
        <v>5.1054179760895248E-9</v>
      </c>
      <c r="E42" s="49">
        <f t="shared" si="20"/>
        <v>3.2718516944695589E-8</v>
      </c>
      <c r="F42" s="49">
        <f t="shared" si="20"/>
        <v>5.1054179760895248E-9</v>
      </c>
      <c r="G42" s="49">
        <f t="shared" si="20"/>
        <v>6.5437033889391178E-8</v>
      </c>
      <c r="H42" s="49">
        <f t="shared" si="13"/>
        <v>9.4824076006519029E-2</v>
      </c>
      <c r="I42" s="49">
        <f t="shared" si="14"/>
        <v>0.19521647878778076</v>
      </c>
      <c r="J42" s="49">
        <f t="shared" si="15"/>
        <v>2.4226708592016544</v>
      </c>
      <c r="K42" s="49">
        <f t="shared" si="16"/>
        <v>0.19521647878778076</v>
      </c>
      <c r="L42" s="49">
        <f t="shared" si="17"/>
        <v>9.6906834368066175</v>
      </c>
      <c r="M42" s="59">
        <f t="shared" si="19"/>
        <v>0.48525703358208055</v>
      </c>
    </row>
    <row r="43" spans="1:14" x14ac:dyDescent="0.25">
      <c r="B43" s="48">
        <f t="shared" si="11"/>
        <v>2</v>
      </c>
      <c r="C43" s="49">
        <f t="shared" si="20"/>
        <v>5.5108797419373054E-9</v>
      </c>
      <c r="D43" s="49">
        <f t="shared" si="20"/>
        <v>5.6726866400994719E-9</v>
      </c>
      <c r="E43" s="49">
        <f t="shared" si="20"/>
        <v>3.6353907716328427E-8</v>
      </c>
      <c r="F43" s="49">
        <f t="shared" si="20"/>
        <v>5.6726866400994719E-9</v>
      </c>
      <c r="G43" s="49">
        <f t="shared" si="20"/>
        <v>7.2707815432656855E-8</v>
      </c>
      <c r="H43" s="49">
        <f t="shared" si="13"/>
        <v>0.1053600844516878</v>
      </c>
      <c r="I43" s="49">
        <f t="shared" si="14"/>
        <v>0.21690719865308972</v>
      </c>
      <c r="J43" s="49">
        <f t="shared" si="15"/>
        <v>2.6918565102240604</v>
      </c>
      <c r="K43" s="49">
        <f t="shared" si="16"/>
        <v>0.21690719865308972</v>
      </c>
      <c r="L43" s="49">
        <f t="shared" si="17"/>
        <v>10.767426040896241</v>
      </c>
      <c r="M43" s="59">
        <f t="shared" si="19"/>
        <v>0.5391744817578672</v>
      </c>
    </row>
    <row r="44" spans="1:14" ht="14.4" thickBot="1" x14ac:dyDescent="0.3"/>
    <row r="45" spans="1:14" ht="42" thickBot="1" x14ac:dyDescent="0.3">
      <c r="A45" s="73" t="s">
        <v>126</v>
      </c>
    </row>
    <row r="46" spans="1:14" ht="14.4" thickBot="1" x14ac:dyDescent="0.3"/>
    <row r="47" spans="1:14" ht="28.2" thickBot="1" x14ac:dyDescent="0.3">
      <c r="A47" s="66" t="s">
        <v>17</v>
      </c>
      <c r="B47" s="65" t="s">
        <v>93</v>
      </c>
      <c r="C47" s="65" t="s">
        <v>127</v>
      </c>
      <c r="D47" s="60" t="s">
        <v>128</v>
      </c>
      <c r="E47" s="60" t="s">
        <v>129</v>
      </c>
      <c r="F47" s="60" t="s">
        <v>130</v>
      </c>
      <c r="G47" s="60" t="s">
        <v>131</v>
      </c>
      <c r="H47" s="65" t="s">
        <v>132</v>
      </c>
      <c r="I47" s="60" t="s">
        <v>133</v>
      </c>
      <c r="J47" s="60" t="s">
        <v>134</v>
      </c>
      <c r="K47" s="60" t="s">
        <v>135</v>
      </c>
      <c r="L47" s="60" t="s">
        <v>136</v>
      </c>
    </row>
    <row r="48" spans="1:14" x14ac:dyDescent="0.25">
      <c r="B48" s="48">
        <f t="shared" ref="B48:B57" si="21">B20</f>
        <v>0.2</v>
      </c>
      <c r="C48" s="49">
        <f>$C$2*N$11*$B48*S$11*$F$2</f>
        <v>1.7221499193554077E-10</v>
      </c>
      <c r="D48" s="49">
        <f t="shared" ref="D48:G54" si="22">$C$2*O$11*$B48*T$11*$F$2</f>
        <v>8.8635728751554248E-11</v>
      </c>
      <c r="E48" s="49">
        <f t="shared" si="22"/>
        <v>1.1360596161352636E-9</v>
      </c>
      <c r="F48" s="49">
        <f t="shared" si="22"/>
        <v>8.8635728751554248E-11</v>
      </c>
      <c r="G48" s="49">
        <f t="shared" si="22"/>
        <v>2.2721192322705271E-9</v>
      </c>
      <c r="H48" s="49">
        <f t="shared" ref="H48:H57" si="23">C48*$M$2*$F$2</f>
        <v>1.2055049435487856E-3</v>
      </c>
      <c r="I48" s="49">
        <f t="shared" ref="I48:I57" si="24">D48*$M$2*$F$2</f>
        <v>6.2045010126087993E-4</v>
      </c>
      <c r="J48" s="49">
        <f t="shared" ref="J48:J57" si="25">E48*$M$2*$F$2</f>
        <v>7.9524173129468471E-3</v>
      </c>
      <c r="K48" s="49">
        <f t="shared" ref="K48:K57" si="26">F48*$M$2*$F$2</f>
        <v>6.2045010126087993E-4</v>
      </c>
      <c r="L48" s="49">
        <f t="shared" ref="L48:L57" si="27">G48*$M$2*$F$2</f>
        <v>1.5904834625893694E-2</v>
      </c>
      <c r="M48" s="59">
        <f>SUM(H48:L48)</f>
        <v>2.6303657084911086E-2</v>
      </c>
      <c r="N48" s="59"/>
    </row>
    <row r="49" spans="1:16" x14ac:dyDescent="0.25">
      <c r="B49" s="48">
        <f t="shared" si="21"/>
        <v>0.4</v>
      </c>
      <c r="C49" s="49">
        <f t="shared" ref="C49:C54" si="28">$C$2*N$11*$B49*S$11*$F$2</f>
        <v>3.4442998387108153E-10</v>
      </c>
      <c r="D49" s="49">
        <f t="shared" si="22"/>
        <v>1.772714575031085E-10</v>
      </c>
      <c r="E49" s="49">
        <f t="shared" si="22"/>
        <v>2.2721192322705271E-9</v>
      </c>
      <c r="F49" s="49">
        <f t="shared" si="22"/>
        <v>1.772714575031085E-10</v>
      </c>
      <c r="G49" s="49">
        <f t="shared" si="22"/>
        <v>4.5442384645410542E-9</v>
      </c>
      <c r="H49" s="49">
        <f t="shared" si="23"/>
        <v>2.4110098870975712E-3</v>
      </c>
      <c r="I49" s="49">
        <f t="shared" si="24"/>
        <v>1.2409002025217599E-3</v>
      </c>
      <c r="J49" s="49">
        <f t="shared" si="25"/>
        <v>1.5904834625893694E-2</v>
      </c>
      <c r="K49" s="49">
        <f t="shared" si="26"/>
        <v>1.2409002025217599E-3</v>
      </c>
      <c r="L49" s="49">
        <f t="shared" si="27"/>
        <v>3.1809669251787388E-2</v>
      </c>
      <c r="M49" s="59">
        <f t="shared" ref="M49:M54" si="29">SUM(H49:L49)</f>
        <v>5.2607314169822172E-2</v>
      </c>
    </row>
    <row r="50" spans="1:16" x14ac:dyDescent="0.25">
      <c r="B50" s="48">
        <f t="shared" si="21"/>
        <v>0.6</v>
      </c>
      <c r="C50" s="49">
        <f t="shared" si="28"/>
        <v>5.166449758066223E-10</v>
      </c>
      <c r="D50" s="49">
        <f t="shared" si="22"/>
        <v>2.6590718625466273E-10</v>
      </c>
      <c r="E50" s="49">
        <f t="shared" si="22"/>
        <v>3.4081788484057899E-9</v>
      </c>
      <c r="F50" s="49">
        <f t="shared" si="22"/>
        <v>2.6590718625466273E-10</v>
      </c>
      <c r="G50" s="49">
        <f t="shared" si="22"/>
        <v>6.8163576968115797E-9</v>
      </c>
      <c r="H50" s="49">
        <f t="shared" si="23"/>
        <v>3.6165148306463567E-3</v>
      </c>
      <c r="I50" s="49">
        <f t="shared" si="24"/>
        <v>1.8613503037826396E-3</v>
      </c>
      <c r="J50" s="49">
        <f t="shared" si="25"/>
        <v>2.3857251938840533E-2</v>
      </c>
      <c r="K50" s="49">
        <f t="shared" si="26"/>
        <v>1.8613503037826396E-3</v>
      </c>
      <c r="L50" s="49">
        <f t="shared" si="27"/>
        <v>4.7714503877681065E-2</v>
      </c>
      <c r="M50" s="59">
        <f t="shared" si="29"/>
        <v>7.8910971254733231E-2</v>
      </c>
    </row>
    <row r="51" spans="1:16" x14ac:dyDescent="0.25">
      <c r="B51" s="48">
        <f t="shared" si="21"/>
        <v>0.8</v>
      </c>
      <c r="C51" s="49">
        <f t="shared" si="28"/>
        <v>6.8885996774216307E-10</v>
      </c>
      <c r="D51" s="49">
        <f t="shared" si="22"/>
        <v>3.5454291500621699E-10</v>
      </c>
      <c r="E51" s="49">
        <f t="shared" si="22"/>
        <v>4.5442384645410542E-9</v>
      </c>
      <c r="F51" s="49">
        <f t="shared" si="22"/>
        <v>3.5454291500621699E-10</v>
      </c>
      <c r="G51" s="49">
        <f t="shared" si="22"/>
        <v>9.0884769290821085E-9</v>
      </c>
      <c r="H51" s="49">
        <f t="shared" si="23"/>
        <v>4.8220197741951423E-3</v>
      </c>
      <c r="I51" s="49">
        <f t="shared" si="24"/>
        <v>2.4818004050435197E-3</v>
      </c>
      <c r="J51" s="49">
        <f t="shared" si="25"/>
        <v>3.1809669251787388E-2</v>
      </c>
      <c r="K51" s="49">
        <f t="shared" si="26"/>
        <v>2.4818004050435197E-3</v>
      </c>
      <c r="L51" s="49">
        <f t="shared" si="27"/>
        <v>6.3619338503574777E-2</v>
      </c>
      <c r="M51" s="59">
        <f t="shared" si="29"/>
        <v>0.10521462833964434</v>
      </c>
    </row>
    <row r="52" spans="1:16" x14ac:dyDescent="0.25">
      <c r="B52" s="48">
        <f t="shared" si="21"/>
        <v>1</v>
      </c>
      <c r="C52" s="49">
        <f t="shared" si="28"/>
        <v>8.6107495967770394E-10</v>
      </c>
      <c r="D52" s="49">
        <f t="shared" si="22"/>
        <v>4.4317864375777125E-10</v>
      </c>
      <c r="E52" s="49">
        <f t="shared" si="22"/>
        <v>5.6802980806763166E-9</v>
      </c>
      <c r="F52" s="49">
        <f t="shared" si="22"/>
        <v>4.4317864375777125E-10</v>
      </c>
      <c r="G52" s="49">
        <f t="shared" si="22"/>
        <v>1.1360596161352633E-8</v>
      </c>
      <c r="H52" s="49">
        <f t="shared" si="23"/>
        <v>6.0275247177439288E-3</v>
      </c>
      <c r="I52" s="49">
        <f t="shared" si="24"/>
        <v>3.102250506304399E-3</v>
      </c>
      <c r="J52" s="49">
        <f t="shared" si="25"/>
        <v>3.9762086564734227E-2</v>
      </c>
      <c r="K52" s="49">
        <f t="shared" si="26"/>
        <v>3.102250506304399E-3</v>
      </c>
      <c r="L52" s="49">
        <f t="shared" si="27"/>
        <v>7.9524173129468453E-2</v>
      </c>
      <c r="M52" s="59">
        <f t="shared" si="29"/>
        <v>0.1315182854245554</v>
      </c>
    </row>
    <row r="53" spans="1:16" x14ac:dyDescent="0.25">
      <c r="B53" s="48">
        <f t="shared" si="21"/>
        <v>1.2</v>
      </c>
      <c r="C53" s="49">
        <f t="shared" si="28"/>
        <v>1.0332899516132446E-9</v>
      </c>
      <c r="D53" s="49">
        <f t="shared" si="22"/>
        <v>5.3181437250932546E-10</v>
      </c>
      <c r="E53" s="49">
        <f t="shared" si="22"/>
        <v>6.8163576968115797E-9</v>
      </c>
      <c r="F53" s="49">
        <f t="shared" si="22"/>
        <v>5.3181437250932546E-10</v>
      </c>
      <c r="G53" s="49">
        <f t="shared" si="22"/>
        <v>1.3632715393623159E-8</v>
      </c>
      <c r="H53" s="49">
        <f t="shared" si="23"/>
        <v>7.2330296612927135E-3</v>
      </c>
      <c r="I53" s="49">
        <f t="shared" si="24"/>
        <v>3.7227006075652791E-3</v>
      </c>
      <c r="J53" s="49">
        <f t="shared" si="25"/>
        <v>4.7714503877681065E-2</v>
      </c>
      <c r="K53" s="49">
        <f t="shared" si="26"/>
        <v>3.7227006075652791E-3</v>
      </c>
      <c r="L53" s="49">
        <f t="shared" si="27"/>
        <v>9.542900775536213E-2</v>
      </c>
      <c r="M53" s="59">
        <f t="shared" si="29"/>
        <v>0.15782194250946646</v>
      </c>
    </row>
    <row r="54" spans="1:16" x14ac:dyDescent="0.25">
      <c r="B54" s="48">
        <f t="shared" si="21"/>
        <v>1.4</v>
      </c>
      <c r="C54" s="49">
        <f t="shared" si="28"/>
        <v>1.2055049435487853E-9</v>
      </c>
      <c r="D54" s="49">
        <f t="shared" si="22"/>
        <v>6.2045010126087978E-10</v>
      </c>
      <c r="E54" s="49">
        <f t="shared" si="22"/>
        <v>7.9524173129468437E-9</v>
      </c>
      <c r="F54" s="49">
        <f t="shared" si="22"/>
        <v>6.2045010126087978E-10</v>
      </c>
      <c r="G54" s="49">
        <f t="shared" si="22"/>
        <v>1.5904834625893687E-8</v>
      </c>
      <c r="H54" s="49">
        <f t="shared" si="23"/>
        <v>8.4385346048414973E-3</v>
      </c>
      <c r="I54" s="49">
        <f t="shared" si="24"/>
        <v>4.3431507088261588E-3</v>
      </c>
      <c r="J54" s="49">
        <f t="shared" si="25"/>
        <v>5.5666921190627917E-2</v>
      </c>
      <c r="K54" s="49">
        <f t="shared" si="26"/>
        <v>4.3431507088261588E-3</v>
      </c>
      <c r="L54" s="49">
        <f t="shared" si="27"/>
        <v>0.11133384238125583</v>
      </c>
      <c r="M54" s="59">
        <f t="shared" si="29"/>
        <v>0.18412559959437758</v>
      </c>
    </row>
    <row r="55" spans="1:16" x14ac:dyDescent="0.25">
      <c r="B55" s="48">
        <f t="shared" si="21"/>
        <v>1.6</v>
      </c>
      <c r="C55" s="49">
        <f t="shared" ref="C55:G57" si="30">$C$2*N$11*$B55*S$11*$F$2</f>
        <v>1.3777199354843261E-9</v>
      </c>
      <c r="D55" s="49">
        <f t="shared" si="30"/>
        <v>7.0908583001243399E-10</v>
      </c>
      <c r="E55" s="49">
        <f t="shared" si="30"/>
        <v>9.0884769290821085E-9</v>
      </c>
      <c r="F55" s="49">
        <f t="shared" si="30"/>
        <v>7.0908583001243399E-10</v>
      </c>
      <c r="G55" s="49">
        <f t="shared" si="30"/>
        <v>1.8176953858164217E-8</v>
      </c>
      <c r="H55" s="49">
        <f t="shared" si="23"/>
        <v>9.6440395483902847E-3</v>
      </c>
      <c r="I55" s="49">
        <f t="shared" si="24"/>
        <v>4.9636008100870394E-3</v>
      </c>
      <c r="J55" s="49">
        <f t="shared" si="25"/>
        <v>6.3619338503574777E-2</v>
      </c>
      <c r="K55" s="49">
        <f t="shared" si="26"/>
        <v>4.9636008100870394E-3</v>
      </c>
      <c r="L55" s="49">
        <f t="shared" si="27"/>
        <v>0.12723867700714955</v>
      </c>
      <c r="M55" s="59">
        <f>SUM(H55:L55)</f>
        <v>0.21042925667928869</v>
      </c>
    </row>
    <row r="56" spans="1:16" x14ac:dyDescent="0.25">
      <c r="B56" s="48">
        <f t="shared" si="21"/>
        <v>1.8</v>
      </c>
      <c r="C56" s="49">
        <f t="shared" si="30"/>
        <v>1.5499349274198672E-9</v>
      </c>
      <c r="D56" s="49">
        <f t="shared" si="30"/>
        <v>7.977215587639882E-10</v>
      </c>
      <c r="E56" s="49">
        <f t="shared" si="30"/>
        <v>1.0224536545217372E-8</v>
      </c>
      <c r="F56" s="49">
        <f t="shared" si="30"/>
        <v>7.977215587639882E-10</v>
      </c>
      <c r="G56" s="49">
        <f t="shared" si="30"/>
        <v>2.0449073090434743E-8</v>
      </c>
      <c r="H56" s="49">
        <f t="shared" si="23"/>
        <v>1.0849544491939072E-2</v>
      </c>
      <c r="I56" s="49">
        <f t="shared" si="24"/>
        <v>5.5840509113479191E-3</v>
      </c>
      <c r="J56" s="49">
        <f t="shared" si="25"/>
        <v>7.1571755816521615E-2</v>
      </c>
      <c r="K56" s="49">
        <f t="shared" si="26"/>
        <v>5.5840509113479191E-3</v>
      </c>
      <c r="L56" s="49">
        <f t="shared" si="27"/>
        <v>0.14314351163304323</v>
      </c>
      <c r="M56" s="59">
        <f>SUM(H56:L56)</f>
        <v>0.23673291376419975</v>
      </c>
    </row>
    <row r="57" spans="1:16" x14ac:dyDescent="0.25">
      <c r="B57" s="48">
        <f t="shared" si="21"/>
        <v>2</v>
      </c>
      <c r="C57" s="49">
        <f t="shared" si="30"/>
        <v>1.7221499193554079E-9</v>
      </c>
      <c r="D57" s="49">
        <f t="shared" si="30"/>
        <v>8.8635728751554251E-10</v>
      </c>
      <c r="E57" s="49">
        <f t="shared" si="30"/>
        <v>1.1360596161352633E-8</v>
      </c>
      <c r="F57" s="49">
        <f t="shared" si="30"/>
        <v>8.8635728751554251E-10</v>
      </c>
      <c r="G57" s="49">
        <f t="shared" si="30"/>
        <v>2.2721192322705266E-8</v>
      </c>
      <c r="H57" s="49">
        <f t="shared" si="23"/>
        <v>1.2055049435487858E-2</v>
      </c>
      <c r="I57" s="49">
        <f t="shared" si="24"/>
        <v>6.204501012608798E-3</v>
      </c>
      <c r="J57" s="49">
        <f t="shared" si="25"/>
        <v>7.9524173129468453E-2</v>
      </c>
      <c r="K57" s="49">
        <f t="shared" si="26"/>
        <v>6.204501012608798E-3</v>
      </c>
      <c r="L57" s="49">
        <f t="shared" si="27"/>
        <v>0.15904834625893691</v>
      </c>
      <c r="M57" s="59">
        <f>SUM(H57:L57)</f>
        <v>0.26303657084911081</v>
      </c>
    </row>
    <row r="59" spans="1:16" ht="14.4" thickBot="1" x14ac:dyDescent="0.3"/>
    <row r="60" spans="1:16" ht="42" thickBot="1" x14ac:dyDescent="0.3">
      <c r="A60" s="73" t="s">
        <v>186</v>
      </c>
    </row>
    <row r="61" spans="1:16" ht="14.4" thickBot="1" x14ac:dyDescent="0.3"/>
    <row r="62" spans="1:16" ht="28.2" thickBot="1" x14ac:dyDescent="0.3">
      <c r="A62" s="66" t="s">
        <v>17</v>
      </c>
      <c r="B62" s="65" t="s">
        <v>93</v>
      </c>
      <c r="C62" s="60" t="s">
        <v>138</v>
      </c>
      <c r="D62" s="60" t="s">
        <v>139</v>
      </c>
      <c r="E62" s="60" t="s">
        <v>140</v>
      </c>
      <c r="F62" s="60" t="s">
        <v>141</v>
      </c>
      <c r="G62" s="60" t="s">
        <v>142</v>
      </c>
      <c r="H62" s="60" t="s">
        <v>143</v>
      </c>
      <c r="I62" s="60" t="s">
        <v>144</v>
      </c>
      <c r="J62" s="60" t="s">
        <v>145</v>
      </c>
      <c r="K62" s="60" t="s">
        <v>146</v>
      </c>
      <c r="L62" s="60" t="s">
        <v>147</v>
      </c>
    </row>
    <row r="63" spans="1:16" x14ac:dyDescent="0.25">
      <c r="B63" s="48">
        <f t="shared" ref="B63:B71" si="31">B20</f>
        <v>0.2</v>
      </c>
      <c r="C63" s="49">
        <f>$D$2*I$11*N$11*$B63*S$11</f>
        <v>3.8718124650613394E-10</v>
      </c>
      <c r="D63" s="49">
        <f t="shared" ref="D63:G69" si="32">$D$2*J$11*O$11*$B63*T$11</f>
        <v>3.9854941265335877E-10</v>
      </c>
      <c r="E63" s="49">
        <f t="shared" si="32"/>
        <v>2.5541387154329114E-9</v>
      </c>
      <c r="F63" s="49">
        <f t="shared" si="32"/>
        <v>3.9854941265335877E-10</v>
      </c>
      <c r="G63" s="49">
        <f t="shared" si="32"/>
        <v>5.1082774308658228E-9</v>
      </c>
      <c r="H63" s="49">
        <f t="shared" ref="H63:H72" si="33">C63*I$11*$M$2*0.5</f>
        <v>4.3364299608687007E-3</v>
      </c>
      <c r="I63" s="49">
        <f t="shared" ref="I63:I72" si="34">D63*J$11*$M$2*0.5</f>
        <v>8.9275068434352383E-3</v>
      </c>
      <c r="J63" s="49">
        <f t="shared" ref="J63:J72" si="35">E63*K$11*$M$2*0.5</f>
        <v>2.8606353612848613E-2</v>
      </c>
      <c r="K63" s="49">
        <f t="shared" ref="K63:K72" si="36">F63*L$11*$M$2*0.5</f>
        <v>8.9275068434352383E-3</v>
      </c>
      <c r="L63" s="49">
        <f t="shared" ref="L63:L72" si="37">G63*M$11*$M$2*0.5</f>
        <v>5.7212707225697226E-2</v>
      </c>
      <c r="M63" s="49">
        <f>SUM(H63:L63)</f>
        <v>0.10801050448628502</v>
      </c>
      <c r="P63" s="59"/>
    </row>
    <row r="64" spans="1:16" x14ac:dyDescent="0.25">
      <c r="B64" s="48">
        <f t="shared" si="31"/>
        <v>0.4</v>
      </c>
      <c r="C64" s="49">
        <f t="shared" ref="C64:C69" si="38">$D$2*I$11*N$11*$B64*S$11</f>
        <v>7.7436249301226788E-10</v>
      </c>
      <c r="D64" s="49">
        <f t="shared" si="32"/>
        <v>7.9709882530671754E-10</v>
      </c>
      <c r="E64" s="49">
        <f t="shared" si="32"/>
        <v>5.1082774308658228E-9</v>
      </c>
      <c r="F64" s="49">
        <f t="shared" si="32"/>
        <v>7.9709882530671754E-10</v>
      </c>
      <c r="G64" s="49">
        <f t="shared" si="32"/>
        <v>1.0216554861731646E-8</v>
      </c>
      <c r="H64" s="49">
        <f t="shared" si="33"/>
        <v>8.6728599217374015E-3</v>
      </c>
      <c r="I64" s="49">
        <f t="shared" si="34"/>
        <v>1.7855013686870477E-2</v>
      </c>
      <c r="J64" s="49">
        <f t="shared" si="35"/>
        <v>5.7212707225697226E-2</v>
      </c>
      <c r="K64" s="49">
        <f t="shared" si="36"/>
        <v>1.7855013686870477E-2</v>
      </c>
      <c r="L64" s="49">
        <f t="shared" si="37"/>
        <v>0.11442541445139445</v>
      </c>
      <c r="M64" s="49">
        <f t="shared" ref="M64:M69" si="39">SUM(H64:L64)</f>
        <v>0.21602100897257004</v>
      </c>
    </row>
    <row r="65" spans="1:13" x14ac:dyDescent="0.25">
      <c r="B65" s="48">
        <f t="shared" si="31"/>
        <v>0.6</v>
      </c>
      <c r="C65" s="49">
        <f t="shared" si="38"/>
        <v>1.1615437395184018E-9</v>
      </c>
      <c r="D65" s="49">
        <f t="shared" si="32"/>
        <v>1.1956482379600764E-9</v>
      </c>
      <c r="E65" s="49">
        <f t="shared" si="32"/>
        <v>7.6624161462987329E-9</v>
      </c>
      <c r="F65" s="49">
        <f t="shared" si="32"/>
        <v>1.1956482379600764E-9</v>
      </c>
      <c r="G65" s="49">
        <f t="shared" si="32"/>
        <v>1.5324832292597466E-8</v>
      </c>
      <c r="H65" s="49">
        <f t="shared" si="33"/>
        <v>1.3009289882606103E-2</v>
      </c>
      <c r="I65" s="49">
        <f t="shared" si="34"/>
        <v>2.6782520530305717E-2</v>
      </c>
      <c r="J65" s="49">
        <f t="shared" si="35"/>
        <v>8.5819060838545819E-2</v>
      </c>
      <c r="K65" s="49">
        <f t="shared" si="36"/>
        <v>2.6782520530305717E-2</v>
      </c>
      <c r="L65" s="49">
        <f t="shared" si="37"/>
        <v>0.17163812167709164</v>
      </c>
      <c r="M65" s="49">
        <f t="shared" si="39"/>
        <v>0.324031513458855</v>
      </c>
    </row>
    <row r="66" spans="1:13" x14ac:dyDescent="0.25">
      <c r="B66" s="48">
        <f t="shared" si="31"/>
        <v>0.8</v>
      </c>
      <c r="C66" s="49">
        <f t="shared" si="38"/>
        <v>1.5487249860245358E-9</v>
      </c>
      <c r="D66" s="49">
        <f t="shared" si="32"/>
        <v>1.5941976506134351E-9</v>
      </c>
      <c r="E66" s="49">
        <f t="shared" si="32"/>
        <v>1.0216554861731646E-8</v>
      </c>
      <c r="F66" s="49">
        <f t="shared" si="32"/>
        <v>1.5941976506134351E-9</v>
      </c>
      <c r="G66" s="49">
        <f t="shared" si="32"/>
        <v>2.0433109723463291E-8</v>
      </c>
      <c r="H66" s="49">
        <f t="shared" si="33"/>
        <v>1.7345719843474803E-2</v>
      </c>
      <c r="I66" s="49">
        <f t="shared" si="34"/>
        <v>3.5710027373740953E-2</v>
      </c>
      <c r="J66" s="49">
        <f t="shared" si="35"/>
        <v>0.11442541445139445</v>
      </c>
      <c r="K66" s="49">
        <f t="shared" si="36"/>
        <v>3.5710027373740953E-2</v>
      </c>
      <c r="L66" s="49">
        <f t="shared" si="37"/>
        <v>0.22885082890278891</v>
      </c>
      <c r="M66" s="49">
        <f t="shared" si="39"/>
        <v>0.43204201794514008</v>
      </c>
    </row>
    <row r="67" spans="1:13" x14ac:dyDescent="0.25">
      <c r="B67" s="48">
        <f t="shared" si="31"/>
        <v>1</v>
      </c>
      <c r="C67" s="49">
        <f t="shared" si="38"/>
        <v>1.9359062325306695E-9</v>
      </c>
      <c r="D67" s="49">
        <f t="shared" si="32"/>
        <v>1.9927470632667938E-9</v>
      </c>
      <c r="E67" s="49">
        <f t="shared" si="32"/>
        <v>1.2770693577164556E-8</v>
      </c>
      <c r="F67" s="49">
        <f t="shared" si="32"/>
        <v>1.9927470632667938E-9</v>
      </c>
      <c r="G67" s="49">
        <f t="shared" si="32"/>
        <v>2.5541387154329113E-8</v>
      </c>
      <c r="H67" s="49">
        <f t="shared" si="33"/>
        <v>2.1682149804343503E-2</v>
      </c>
      <c r="I67" s="49">
        <f t="shared" si="34"/>
        <v>4.4637534217176186E-2</v>
      </c>
      <c r="J67" s="49">
        <f t="shared" si="35"/>
        <v>0.14303176806424306</v>
      </c>
      <c r="K67" s="49">
        <f t="shared" si="36"/>
        <v>4.4637534217176186E-2</v>
      </c>
      <c r="L67" s="49">
        <f t="shared" si="37"/>
        <v>0.28606353612848612</v>
      </c>
      <c r="M67" s="49">
        <f t="shared" si="39"/>
        <v>0.54005252243142499</v>
      </c>
    </row>
    <row r="68" spans="1:13" x14ac:dyDescent="0.25">
      <c r="B68" s="48">
        <f t="shared" si="31"/>
        <v>1.2</v>
      </c>
      <c r="C68" s="49">
        <f t="shared" si="38"/>
        <v>2.3230874790368036E-9</v>
      </c>
      <c r="D68" s="49">
        <f t="shared" si="32"/>
        <v>2.3912964759201527E-9</v>
      </c>
      <c r="E68" s="49">
        <f t="shared" si="32"/>
        <v>1.5324832292597466E-8</v>
      </c>
      <c r="F68" s="49">
        <f t="shared" si="32"/>
        <v>2.3912964759201527E-9</v>
      </c>
      <c r="G68" s="49">
        <f t="shared" si="32"/>
        <v>3.0649664585194932E-8</v>
      </c>
      <c r="H68" s="49">
        <f t="shared" si="33"/>
        <v>2.6018579765212206E-2</v>
      </c>
      <c r="I68" s="49">
        <f t="shared" si="34"/>
        <v>5.3565041060611433E-2</v>
      </c>
      <c r="J68" s="49">
        <f t="shared" si="35"/>
        <v>0.17163812167709164</v>
      </c>
      <c r="K68" s="49">
        <f t="shared" si="36"/>
        <v>5.3565041060611433E-2</v>
      </c>
      <c r="L68" s="49">
        <f t="shared" si="37"/>
        <v>0.34327624335418327</v>
      </c>
      <c r="M68" s="49">
        <f t="shared" si="39"/>
        <v>0.64806302691771001</v>
      </c>
    </row>
    <row r="69" spans="1:13" x14ac:dyDescent="0.25">
      <c r="B69" s="48">
        <f t="shared" si="31"/>
        <v>1.4</v>
      </c>
      <c r="C69" s="49">
        <f t="shared" si="38"/>
        <v>2.7102687255429369E-9</v>
      </c>
      <c r="D69" s="49">
        <f t="shared" si="32"/>
        <v>2.7898458885735112E-9</v>
      </c>
      <c r="E69" s="49">
        <f t="shared" si="32"/>
        <v>1.787897100803038E-8</v>
      </c>
      <c r="F69" s="49">
        <f t="shared" si="32"/>
        <v>2.7898458885735112E-9</v>
      </c>
      <c r="G69" s="49">
        <f t="shared" si="32"/>
        <v>3.575794201606076E-8</v>
      </c>
      <c r="H69" s="49">
        <f t="shared" si="33"/>
        <v>3.0355009726080899E-2</v>
      </c>
      <c r="I69" s="49">
        <f t="shared" si="34"/>
        <v>6.2492547904046659E-2</v>
      </c>
      <c r="J69" s="49">
        <f t="shared" si="35"/>
        <v>0.2002444752899403</v>
      </c>
      <c r="K69" s="49">
        <f t="shared" si="36"/>
        <v>6.2492547904046659E-2</v>
      </c>
      <c r="L69" s="49">
        <f t="shared" si="37"/>
        <v>0.4004889505798806</v>
      </c>
      <c r="M69" s="49">
        <f t="shared" si="39"/>
        <v>0.75607353140399514</v>
      </c>
    </row>
    <row r="70" spans="1:13" x14ac:dyDescent="0.25">
      <c r="B70" s="48">
        <f t="shared" si="31"/>
        <v>1.6</v>
      </c>
      <c r="C70" s="49">
        <f t="shared" ref="C70:G72" si="40">$D$2*I$11*N$11*$B70*S$11</f>
        <v>3.0974499720490715E-9</v>
      </c>
      <c r="D70" s="49">
        <f t="shared" si="40"/>
        <v>3.1883953012268702E-9</v>
      </c>
      <c r="E70" s="49">
        <f t="shared" si="40"/>
        <v>2.0433109723463291E-8</v>
      </c>
      <c r="F70" s="49">
        <f t="shared" si="40"/>
        <v>3.1883953012268702E-9</v>
      </c>
      <c r="G70" s="49">
        <f t="shared" si="40"/>
        <v>4.0866219446926582E-8</v>
      </c>
      <c r="H70" s="49">
        <f t="shared" si="33"/>
        <v>3.4691439686949606E-2</v>
      </c>
      <c r="I70" s="49">
        <f t="shared" si="34"/>
        <v>7.1420054747481906E-2</v>
      </c>
      <c r="J70" s="49">
        <f t="shared" si="35"/>
        <v>0.22885082890278891</v>
      </c>
      <c r="K70" s="49">
        <f t="shared" si="36"/>
        <v>7.1420054747481906E-2</v>
      </c>
      <c r="L70" s="49">
        <f t="shared" si="37"/>
        <v>0.45770165780557781</v>
      </c>
      <c r="M70" s="49">
        <f>SUM(H70:L70)</f>
        <v>0.86408403589028016</v>
      </c>
    </row>
    <row r="71" spans="1:13" x14ac:dyDescent="0.25">
      <c r="B71" s="48">
        <f t="shared" si="31"/>
        <v>1.8</v>
      </c>
      <c r="C71" s="49">
        <f t="shared" si="40"/>
        <v>3.4846312185552052E-9</v>
      </c>
      <c r="D71" s="49">
        <f t="shared" si="40"/>
        <v>3.5869447138802287E-9</v>
      </c>
      <c r="E71" s="49">
        <f t="shared" si="40"/>
        <v>2.2987248438896199E-8</v>
      </c>
      <c r="F71" s="49">
        <f t="shared" si="40"/>
        <v>3.5869447138802287E-9</v>
      </c>
      <c r="G71" s="49">
        <f t="shared" si="40"/>
        <v>4.5974496877792397E-8</v>
      </c>
      <c r="H71" s="49">
        <f t="shared" si="33"/>
        <v>3.9027869647818306E-2</v>
      </c>
      <c r="I71" s="49">
        <f t="shared" si="34"/>
        <v>8.0347561590917133E-2</v>
      </c>
      <c r="J71" s="49">
        <f t="shared" si="35"/>
        <v>0.25745718251563748</v>
      </c>
      <c r="K71" s="49">
        <f t="shared" si="36"/>
        <v>8.0347561590917133E-2</v>
      </c>
      <c r="L71" s="49">
        <f t="shared" si="37"/>
        <v>0.51491436503127497</v>
      </c>
      <c r="M71" s="49">
        <f>SUM(H71:L71)</f>
        <v>0.97209454037656506</v>
      </c>
    </row>
    <row r="72" spans="1:13" x14ac:dyDescent="0.25">
      <c r="B72" s="48">
        <v>2</v>
      </c>
      <c r="C72" s="49">
        <f t="shared" si="40"/>
        <v>3.871812465061339E-9</v>
      </c>
      <c r="D72" s="49">
        <f t="shared" si="40"/>
        <v>3.9854941265335876E-9</v>
      </c>
      <c r="E72" s="49">
        <f t="shared" si="40"/>
        <v>2.5541387154329113E-8</v>
      </c>
      <c r="F72" s="49">
        <f t="shared" si="40"/>
        <v>3.9854941265335876E-9</v>
      </c>
      <c r="G72" s="49">
        <f t="shared" si="40"/>
        <v>5.1082774308658226E-8</v>
      </c>
      <c r="H72" s="49">
        <f t="shared" si="33"/>
        <v>4.3364299608687006E-2</v>
      </c>
      <c r="I72" s="49">
        <f t="shared" si="34"/>
        <v>8.9275068434352373E-2</v>
      </c>
      <c r="J72" s="49">
        <f t="shared" si="35"/>
        <v>0.28606353612848612</v>
      </c>
      <c r="K72" s="49">
        <f t="shared" si="36"/>
        <v>8.9275068434352373E-2</v>
      </c>
      <c r="L72" s="49">
        <f t="shared" si="37"/>
        <v>0.57212707225697224</v>
      </c>
      <c r="M72" s="49">
        <f>SUM(H72:L72)</f>
        <v>1.08010504486285</v>
      </c>
    </row>
    <row r="73" spans="1:13" ht="14.4" thickBot="1" x14ac:dyDescent="0.3"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1:13" ht="28.2" thickBot="1" x14ac:dyDescent="0.3">
      <c r="A74" s="73" t="s">
        <v>163</v>
      </c>
      <c r="L74" s="49"/>
      <c r="M74" s="49"/>
    </row>
    <row r="75" spans="1:13" ht="14.4" thickBot="1" x14ac:dyDescent="0.3">
      <c r="A75" s="56"/>
      <c r="B75" s="56"/>
      <c r="C75" s="56"/>
      <c r="D75" s="48"/>
      <c r="E75" s="57"/>
      <c r="F75" s="57"/>
      <c r="G75" s="57"/>
      <c r="H75" s="57"/>
      <c r="I75" s="57"/>
      <c r="J75" s="57"/>
      <c r="L75" s="49"/>
      <c r="M75" s="49"/>
    </row>
    <row r="76" spans="1:13" ht="28.2" thickBot="1" x14ac:dyDescent="0.3">
      <c r="A76" s="60" t="s">
        <v>17</v>
      </c>
      <c r="B76" s="65" t="s">
        <v>93</v>
      </c>
      <c r="C76" s="60" t="s">
        <v>82</v>
      </c>
      <c r="D76" s="60" t="s">
        <v>84</v>
      </c>
      <c r="E76" s="60" t="s">
        <v>169</v>
      </c>
      <c r="F76" s="60" t="s">
        <v>168</v>
      </c>
      <c r="G76" s="60" t="s">
        <v>166</v>
      </c>
      <c r="H76" s="60" t="s">
        <v>167</v>
      </c>
      <c r="I76" s="60" t="s">
        <v>164</v>
      </c>
      <c r="J76" s="60" t="s">
        <v>165</v>
      </c>
      <c r="L76" s="49"/>
      <c r="M76" s="49"/>
    </row>
    <row r="77" spans="1:13" x14ac:dyDescent="0.25">
      <c r="B77" s="48">
        <f>B63</f>
        <v>0.2</v>
      </c>
      <c r="C77" s="58">
        <f>(1/($S$2*((P$11*$B77)/U$11)*($F$2-$G$2)))</f>
        <v>1.4038568035505445E-2</v>
      </c>
      <c r="D77" s="58">
        <f t="shared" ref="D77:D86" si="41">(1/($S$2*((R$11*$B77)/W$11)*($F$2-$G$2)))</f>
        <v>7.0192840177527227E-3</v>
      </c>
      <c r="E77" s="49">
        <f>ABS($G$2+($F$11*C77))</f>
        <v>2.2432732087627341</v>
      </c>
      <c r="F77" s="49">
        <f>ABS($G$2+$H$11*D77)</f>
        <v>2.2432732087627341</v>
      </c>
      <c r="G77" s="49">
        <v>2.0000000000000001E-9</v>
      </c>
      <c r="H77" s="49">
        <v>2.0000000000000001E-9</v>
      </c>
      <c r="I77" s="49">
        <f>2*E77*$F$11*$M$2*G77</f>
        <v>0.10136186408286571</v>
      </c>
      <c r="J77" s="59">
        <f>2*F77*$H$11*$M$2*H77</f>
        <v>0.20272372816573142</v>
      </c>
      <c r="K77" s="59">
        <f>SUM(I77:J77)</f>
        <v>0.3040855922485971</v>
      </c>
      <c r="L77" s="49"/>
      <c r="M77" s="49"/>
    </row>
    <row r="78" spans="1:13" x14ac:dyDescent="0.25">
      <c r="B78" s="48">
        <f t="shared" ref="B78:B86" si="42">B64</f>
        <v>0.4</v>
      </c>
      <c r="C78" s="58">
        <f t="shared" ref="C78:C86" si="43">(1/($S$2*((P$11*$B78)/U$11)*($F$2-$G$2)))</f>
        <v>7.0192840177527227E-3</v>
      </c>
      <c r="D78" s="58">
        <f t="shared" si="41"/>
        <v>3.5096420088763613E-3</v>
      </c>
      <c r="E78" s="49">
        <f t="shared" ref="E78:E86" si="44">ABS($G$2+($F$11*C78))</f>
        <v>2.1866366043813668</v>
      </c>
      <c r="F78" s="49">
        <f t="shared" ref="F78:F86" si="45">ABS($G$2+$H$11*D78)</f>
        <v>2.1866366043813668</v>
      </c>
      <c r="G78" s="49">
        <v>2.0000000000000001E-9</v>
      </c>
      <c r="H78" s="49">
        <v>2.0000000000000001E-9</v>
      </c>
      <c r="I78" s="49">
        <f t="shared" ref="I78:I86" si="46">2*E78*$F$11*$M$2*G78</f>
        <v>9.8802750118060015E-2</v>
      </c>
      <c r="J78" s="59">
        <f t="shared" ref="J78:J86" si="47">2*F78*$H$11*$M$2*H78</f>
        <v>0.19760550023612003</v>
      </c>
      <c r="K78" s="59">
        <f t="shared" ref="K78:K86" si="48">SUM(I78:J78)</f>
        <v>0.29640825035418006</v>
      </c>
      <c r="L78" s="49"/>
      <c r="M78" s="49"/>
    </row>
    <row r="79" spans="1:13" x14ac:dyDescent="0.25">
      <c r="B79" s="48">
        <f t="shared" si="42"/>
        <v>0.6</v>
      </c>
      <c r="C79" s="58">
        <f t="shared" si="43"/>
        <v>4.6795226785018166E-3</v>
      </c>
      <c r="D79" s="58">
        <f t="shared" si="41"/>
        <v>2.3397613392509083E-3</v>
      </c>
      <c r="E79" s="49">
        <f t="shared" si="44"/>
        <v>2.1677577362542446</v>
      </c>
      <c r="F79" s="49">
        <f t="shared" si="45"/>
        <v>2.1677577362542446</v>
      </c>
      <c r="G79" s="49">
        <v>2.0000000000000001E-9</v>
      </c>
      <c r="H79" s="49">
        <v>2.0000000000000001E-9</v>
      </c>
      <c r="I79" s="49">
        <f t="shared" si="46"/>
        <v>9.7949712129791464E-2</v>
      </c>
      <c r="J79" s="59">
        <f t="shared" si="47"/>
        <v>0.19589942425958293</v>
      </c>
      <c r="K79" s="59">
        <f t="shared" si="48"/>
        <v>0.29384913638937438</v>
      </c>
      <c r="L79" s="49"/>
      <c r="M79" s="49"/>
    </row>
    <row r="80" spans="1:13" x14ac:dyDescent="0.25">
      <c r="B80" s="48">
        <f t="shared" si="42"/>
        <v>0.8</v>
      </c>
      <c r="C80" s="58">
        <f t="shared" si="43"/>
        <v>3.5096420088763613E-3</v>
      </c>
      <c r="D80" s="58">
        <f t="shared" si="41"/>
        <v>1.7548210044381807E-3</v>
      </c>
      <c r="E80" s="49">
        <f t="shared" si="44"/>
        <v>2.1583183021906835</v>
      </c>
      <c r="F80" s="49">
        <f t="shared" si="45"/>
        <v>2.1583183021906835</v>
      </c>
      <c r="G80" s="49">
        <v>2.0000000000000001E-9</v>
      </c>
      <c r="H80" s="49">
        <v>2.0000000000000001E-9</v>
      </c>
      <c r="I80" s="49">
        <f t="shared" si="46"/>
        <v>9.7523193135657188E-2</v>
      </c>
      <c r="J80" s="59">
        <f t="shared" si="47"/>
        <v>0.19504638627131438</v>
      </c>
      <c r="K80" s="59">
        <f t="shared" si="48"/>
        <v>0.29256957940697159</v>
      </c>
      <c r="L80" s="49"/>
      <c r="M80" s="49"/>
    </row>
    <row r="81" spans="2:13" x14ac:dyDescent="0.25">
      <c r="B81" s="48">
        <f t="shared" si="42"/>
        <v>1</v>
      </c>
      <c r="C81" s="58">
        <f t="shared" si="43"/>
        <v>2.8077136071010898E-3</v>
      </c>
      <c r="D81" s="58">
        <f t="shared" si="41"/>
        <v>1.4038568035505449E-3</v>
      </c>
      <c r="E81" s="49">
        <f t="shared" si="44"/>
        <v>2.1526546417525467</v>
      </c>
      <c r="F81" s="49">
        <f>ABS($G$2+$H$11*D81)</f>
        <v>2.1526546417525467</v>
      </c>
      <c r="G81" s="49">
        <v>2.0000000000000001E-9</v>
      </c>
      <c r="H81" s="49">
        <v>2.0000000000000001E-9</v>
      </c>
      <c r="I81" s="49">
        <f t="shared" si="46"/>
        <v>9.726728173917662E-2</v>
      </c>
      <c r="J81" s="59">
        <f t="shared" si="47"/>
        <v>0.19453456347835324</v>
      </c>
      <c r="K81" s="59">
        <f t="shared" si="48"/>
        <v>0.29180184521752983</v>
      </c>
      <c r="L81" s="49"/>
      <c r="M81" s="49"/>
    </row>
    <row r="82" spans="2:13" x14ac:dyDescent="0.25">
      <c r="B82" s="48">
        <f t="shared" si="42"/>
        <v>1.2</v>
      </c>
      <c r="C82" s="58">
        <f t="shared" si="43"/>
        <v>2.3397613392509083E-3</v>
      </c>
      <c r="D82" s="58">
        <f t="shared" si="41"/>
        <v>1.1698806696254541E-3</v>
      </c>
      <c r="E82" s="49">
        <f t="shared" si="44"/>
        <v>2.148878868127122</v>
      </c>
      <c r="F82" s="49">
        <f t="shared" si="45"/>
        <v>2.148878868127122</v>
      </c>
      <c r="G82" s="49">
        <v>2.0000000000000001E-9</v>
      </c>
      <c r="H82" s="49">
        <v>2.0000000000000001E-9</v>
      </c>
      <c r="I82" s="49">
        <f t="shared" si="46"/>
        <v>9.7096674141522885E-2</v>
      </c>
      <c r="J82" s="59">
        <f t="shared" si="47"/>
        <v>0.19419334828304577</v>
      </c>
      <c r="K82" s="59">
        <f t="shared" si="48"/>
        <v>0.29129002242456864</v>
      </c>
      <c r="L82" s="49"/>
      <c r="M82" s="49"/>
    </row>
    <row r="83" spans="2:13" x14ac:dyDescent="0.25">
      <c r="B83" s="48">
        <f t="shared" si="42"/>
        <v>1.4</v>
      </c>
      <c r="C83" s="58">
        <f t="shared" si="43"/>
        <v>2.0055097193579217E-3</v>
      </c>
      <c r="D83" s="58">
        <f t="shared" si="41"/>
        <v>1.0027548596789608E-3</v>
      </c>
      <c r="E83" s="49">
        <f t="shared" si="44"/>
        <v>2.1461818869661049</v>
      </c>
      <c r="F83" s="49">
        <f t="shared" si="45"/>
        <v>2.1461818869661049</v>
      </c>
      <c r="G83" s="49">
        <v>2.0000000000000001E-9</v>
      </c>
      <c r="H83" s="49">
        <v>2.0000000000000001E-9</v>
      </c>
      <c r="I83" s="49">
        <f t="shared" si="46"/>
        <v>9.697481157177025E-2</v>
      </c>
      <c r="J83" s="59">
        <f t="shared" si="47"/>
        <v>0.1939496231435405</v>
      </c>
      <c r="K83" s="59">
        <f t="shared" si="48"/>
        <v>0.29092443471531076</v>
      </c>
      <c r="L83" s="49"/>
      <c r="M83" s="49"/>
    </row>
    <row r="84" spans="2:13" x14ac:dyDescent="0.25">
      <c r="B84" s="48">
        <f t="shared" si="42"/>
        <v>1.6</v>
      </c>
      <c r="C84" s="58">
        <f t="shared" si="43"/>
        <v>1.7548210044381807E-3</v>
      </c>
      <c r="D84" s="58">
        <f t="shared" si="41"/>
        <v>8.7741050221909033E-4</v>
      </c>
      <c r="E84" s="49">
        <f t="shared" si="44"/>
        <v>2.1441591510953417</v>
      </c>
      <c r="F84" s="49">
        <f t="shared" si="45"/>
        <v>2.1441591510953417</v>
      </c>
      <c r="G84" s="49">
        <v>2.0000000000000001E-9</v>
      </c>
      <c r="H84" s="49">
        <v>2.0000000000000001E-9</v>
      </c>
      <c r="I84" s="49">
        <f t="shared" si="46"/>
        <v>9.6883414644455754E-2</v>
      </c>
      <c r="J84" s="59">
        <f t="shared" si="47"/>
        <v>0.19376682928891151</v>
      </c>
      <c r="K84" s="59">
        <f t="shared" si="48"/>
        <v>0.29065024393336725</v>
      </c>
      <c r="L84" s="49"/>
      <c r="M84" s="49"/>
    </row>
    <row r="85" spans="2:13" x14ac:dyDescent="0.25">
      <c r="B85" s="48">
        <f t="shared" si="42"/>
        <v>1.8</v>
      </c>
      <c r="C85" s="49">
        <f t="shared" si="43"/>
        <v>1.5598408928339386E-3</v>
      </c>
      <c r="D85" s="49">
        <f t="shared" si="41"/>
        <v>7.7992044641696928E-4</v>
      </c>
      <c r="E85" s="49">
        <f t="shared" si="44"/>
        <v>2.1425859120847481</v>
      </c>
      <c r="F85" s="49">
        <f t="shared" si="45"/>
        <v>2.1425859120847481</v>
      </c>
      <c r="G85" s="49">
        <v>2.0000000000000001E-9</v>
      </c>
      <c r="H85" s="49">
        <v>2.0000000000000001E-9</v>
      </c>
      <c r="I85" s="49">
        <f t="shared" si="46"/>
        <v>9.6812328145433391E-2</v>
      </c>
      <c r="J85" s="59">
        <f t="shared" si="47"/>
        <v>0.19362465629086678</v>
      </c>
      <c r="K85" s="59">
        <f t="shared" si="48"/>
        <v>0.29043698443630017</v>
      </c>
      <c r="L85" s="49"/>
      <c r="M85" s="49"/>
    </row>
    <row r="86" spans="2:13" x14ac:dyDescent="0.25">
      <c r="B86" s="48">
        <f t="shared" si="42"/>
        <v>2</v>
      </c>
      <c r="C86" s="49">
        <f t="shared" si="43"/>
        <v>1.4038568035505449E-3</v>
      </c>
      <c r="D86" s="49">
        <f t="shared" si="41"/>
        <v>7.0192840177527244E-4</v>
      </c>
      <c r="E86" s="49">
        <f t="shared" si="44"/>
        <v>2.1413273208762731</v>
      </c>
      <c r="F86" s="49">
        <f t="shared" si="45"/>
        <v>2.1413273208762731</v>
      </c>
      <c r="G86" s="49">
        <v>2.0000000000000001E-9</v>
      </c>
      <c r="H86" s="49">
        <v>2.0000000000000001E-9</v>
      </c>
      <c r="I86" s="49">
        <f t="shared" si="46"/>
        <v>9.675545894621547E-2</v>
      </c>
      <c r="J86" s="59">
        <f t="shared" si="47"/>
        <v>0.19351091789243094</v>
      </c>
      <c r="K86" s="59">
        <f t="shared" si="48"/>
        <v>0.29026637683864642</v>
      </c>
      <c r="L86" s="49"/>
      <c r="M86" s="49"/>
    </row>
    <row r="87" spans="2:13" x14ac:dyDescent="0.25">
      <c r="B87" s="48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2:13" ht="14.4" thickBot="1" x14ac:dyDescent="0.3"/>
    <row r="89" spans="2:13" ht="42" thickBot="1" x14ac:dyDescent="0.3">
      <c r="B89" s="65" t="s">
        <v>93</v>
      </c>
      <c r="C89" s="60" t="s">
        <v>153</v>
      </c>
      <c r="D89" s="60" t="s">
        <v>154</v>
      </c>
      <c r="E89" s="55" t="s">
        <v>155</v>
      </c>
      <c r="F89" s="57" t="s">
        <v>161</v>
      </c>
    </row>
    <row r="90" spans="2:13" x14ac:dyDescent="0.25">
      <c r="B90" s="48">
        <f t="shared" ref="B90:B98" si="49">B20</f>
        <v>0.2</v>
      </c>
      <c r="C90" s="49">
        <f t="shared" ref="C90:C99" si="50">M20</f>
        <v>4.7057902436745698</v>
      </c>
      <c r="D90" s="49">
        <f>SUM(M34,M48,M63)</f>
        <v>0.18823160974698283</v>
      </c>
      <c r="E90" s="49">
        <f>SUM(M20,M34,M48,M63,K77)</f>
        <v>5.1981074456701499</v>
      </c>
      <c r="F90" s="50">
        <f>(SUM($N$11*$S$11+$O$11*$T$11+$P$11*$U$11+$Q$11*$V$11+$R$11*$W$11)*B90)/0.000001</f>
        <v>3.520061168940928</v>
      </c>
      <c r="G90" s="59"/>
      <c r="H90" s="59"/>
      <c r="I90" s="59"/>
      <c r="J90" s="59"/>
    </row>
    <row r="91" spans="2:13" x14ac:dyDescent="0.25">
      <c r="B91" s="48">
        <f t="shared" si="49"/>
        <v>0.4</v>
      </c>
      <c r="C91" s="49">
        <f t="shared" si="50"/>
        <v>2.3528951218372849</v>
      </c>
      <c r="D91" s="49">
        <f t="shared" ref="D91:D99" si="51">SUM(M35,M49,M64)</f>
        <v>0.37646321949396566</v>
      </c>
      <c r="E91" s="49">
        <f t="shared" ref="E91:E99" si="52">SUM(M21,M35,M49,M64,K78)</f>
        <v>3.0257665916854308</v>
      </c>
      <c r="F91" s="50">
        <f t="shared" ref="F91:F99" si="53">(SUM($N$11*$S$11+$O$11*$T$11+$P$11*$U$11+$Q$11*$V$11+$R$11*$W$11)*B91)/0.000001</f>
        <v>7.040122337881856</v>
      </c>
      <c r="G91" s="59"/>
      <c r="H91" s="59"/>
      <c r="I91" s="59"/>
      <c r="J91" s="59"/>
    </row>
    <row r="92" spans="2:13" x14ac:dyDescent="0.25">
      <c r="B92" s="48">
        <f t="shared" si="49"/>
        <v>0.6</v>
      </c>
      <c r="C92" s="49">
        <f t="shared" si="50"/>
        <v>1.5685967478915235</v>
      </c>
      <c r="D92" s="49">
        <f t="shared" si="51"/>
        <v>0.56469482924094838</v>
      </c>
      <c r="E92" s="49">
        <f t="shared" si="52"/>
        <v>2.4271407135218461</v>
      </c>
      <c r="F92" s="50">
        <f t="shared" si="53"/>
        <v>10.560183506822783</v>
      </c>
      <c r="G92" s="59"/>
      <c r="H92" s="59"/>
      <c r="I92" s="59"/>
      <c r="J92" s="59"/>
    </row>
    <row r="93" spans="2:13" x14ac:dyDescent="0.25">
      <c r="B93" s="48">
        <f t="shared" si="49"/>
        <v>0.8</v>
      </c>
      <c r="C93" s="49">
        <f t="shared" si="50"/>
        <v>1.1764475609186424</v>
      </c>
      <c r="D93" s="49">
        <f t="shared" si="51"/>
        <v>0.75292643898793132</v>
      </c>
      <c r="E93" s="49">
        <f t="shared" si="52"/>
        <v>2.2219435793135456</v>
      </c>
      <c r="F93" s="50">
        <f t="shared" si="53"/>
        <v>14.080244675763712</v>
      </c>
      <c r="G93" s="59"/>
      <c r="H93" s="59"/>
      <c r="I93" s="59"/>
      <c r="J93" s="59"/>
    </row>
    <row r="94" spans="2:13" x14ac:dyDescent="0.25">
      <c r="B94" s="48">
        <f t="shared" si="49"/>
        <v>1</v>
      </c>
      <c r="C94" s="49">
        <f t="shared" si="50"/>
        <v>0.94115804873491404</v>
      </c>
      <c r="D94" s="49">
        <f t="shared" si="51"/>
        <v>0.94115804873491404</v>
      </c>
      <c r="E94" s="49">
        <f t="shared" si="52"/>
        <v>2.1741179426873578</v>
      </c>
      <c r="F94" s="50">
        <f t="shared" si="53"/>
        <v>17.600305844704639</v>
      </c>
      <c r="G94" s="59"/>
      <c r="H94" s="59"/>
      <c r="I94" s="59"/>
      <c r="J94" s="59"/>
    </row>
    <row r="95" spans="2:13" x14ac:dyDescent="0.25">
      <c r="B95" s="48">
        <f t="shared" si="49"/>
        <v>1.2</v>
      </c>
      <c r="C95" s="49">
        <f t="shared" si="50"/>
        <v>0.78429837394576174</v>
      </c>
      <c r="D95" s="49">
        <f t="shared" si="51"/>
        <v>1.1293896584818968</v>
      </c>
      <c r="E95" s="49">
        <f t="shared" si="52"/>
        <v>2.2049780548522273</v>
      </c>
      <c r="F95" s="50">
        <f t="shared" si="53"/>
        <v>21.120367013645566</v>
      </c>
      <c r="G95" s="59"/>
      <c r="H95" s="59"/>
      <c r="I95" s="59"/>
      <c r="J95" s="59"/>
    </row>
    <row r="96" spans="2:13" x14ac:dyDescent="0.25">
      <c r="B96" s="48">
        <f t="shared" si="49"/>
        <v>1.4</v>
      </c>
      <c r="C96" s="49">
        <f t="shared" si="50"/>
        <v>0.67225574909636732</v>
      </c>
      <c r="D96" s="49">
        <f t="shared" si="51"/>
        <v>1.3176212682288799</v>
      </c>
      <c r="E96" s="49">
        <f t="shared" si="52"/>
        <v>2.2808014520405582</v>
      </c>
      <c r="F96" s="50">
        <f t="shared" si="53"/>
        <v>24.640428182586493</v>
      </c>
      <c r="G96" s="59"/>
      <c r="H96" s="59"/>
      <c r="I96" s="59"/>
      <c r="J96" s="59"/>
    </row>
    <row r="97" spans="2:10" x14ac:dyDescent="0.25">
      <c r="B97" s="48">
        <f t="shared" si="49"/>
        <v>1.6</v>
      </c>
      <c r="C97" s="49">
        <f t="shared" si="50"/>
        <v>0.58822378045932122</v>
      </c>
      <c r="D97" s="49">
        <f t="shared" si="51"/>
        <v>1.5058528779758626</v>
      </c>
      <c r="E97" s="49">
        <f t="shared" si="52"/>
        <v>2.3847269023685511</v>
      </c>
      <c r="F97" s="50">
        <f t="shared" si="53"/>
        <v>28.160489351527424</v>
      </c>
      <c r="G97" s="59"/>
      <c r="H97" s="59"/>
      <c r="I97" s="59"/>
      <c r="J97" s="59"/>
    </row>
    <row r="98" spans="2:10" x14ac:dyDescent="0.25">
      <c r="B98" s="48">
        <f t="shared" si="49"/>
        <v>1.8</v>
      </c>
      <c r="C98" s="49">
        <f t="shared" si="50"/>
        <v>0.52286558263050786</v>
      </c>
      <c r="D98" s="49">
        <f t="shared" si="51"/>
        <v>1.6940844877228454</v>
      </c>
      <c r="E98" s="49">
        <f t="shared" si="52"/>
        <v>2.5073870547896533</v>
      </c>
      <c r="F98" s="50">
        <f t="shared" si="53"/>
        <v>31.680550520468355</v>
      </c>
      <c r="G98" s="59"/>
      <c r="H98" s="59"/>
      <c r="I98" s="59"/>
      <c r="J98" s="59"/>
    </row>
    <row r="99" spans="2:10" x14ac:dyDescent="0.25">
      <c r="B99" s="48">
        <v>2</v>
      </c>
      <c r="C99" s="49">
        <f t="shared" si="50"/>
        <v>0.47057902436745702</v>
      </c>
      <c r="D99" s="49">
        <f t="shared" si="51"/>
        <v>1.8823160974698281</v>
      </c>
      <c r="E99" s="49">
        <f t="shared" si="52"/>
        <v>2.6431614986759313</v>
      </c>
      <c r="F99" s="50">
        <f t="shared" si="53"/>
        <v>35.200611689409278</v>
      </c>
      <c r="G99" s="59"/>
      <c r="H99" s="59"/>
      <c r="I99" s="59"/>
      <c r="J99" s="5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B9B6-3A1D-450E-96FC-87D08FEA5D98}">
  <dimension ref="A1:AH88"/>
  <sheetViews>
    <sheetView topLeftCell="I26" zoomScale="83" workbookViewId="0">
      <selection activeCell="N3" sqref="N3"/>
    </sheetView>
  </sheetViews>
  <sheetFormatPr defaultRowHeight="13.8" x14ac:dyDescent="0.25"/>
  <cols>
    <col min="1" max="1" width="13.21875" style="53" customWidth="1"/>
    <col min="2" max="2" width="13" style="53" customWidth="1"/>
    <col min="3" max="3" width="10.77734375" style="53" customWidth="1"/>
    <col min="4" max="4" width="10.5546875" style="53" customWidth="1"/>
    <col min="5" max="5" width="10.77734375" style="53" customWidth="1"/>
    <col min="6" max="6" width="12.21875" style="53" customWidth="1"/>
    <col min="7" max="11" width="10.77734375" style="53" customWidth="1"/>
    <col min="12" max="12" width="10.6640625" style="53" customWidth="1"/>
    <col min="13" max="13" width="10.88671875" style="53" customWidth="1"/>
    <col min="14" max="14" width="12.6640625" style="53" bestFit="1" customWidth="1"/>
    <col min="15" max="15" width="14.6640625" style="53" bestFit="1" customWidth="1"/>
    <col min="16" max="16" width="10.21875" style="53" customWidth="1"/>
    <col min="17" max="17" width="13.44140625" style="53" bestFit="1" customWidth="1"/>
    <col min="18" max="19" width="12.6640625" style="53" customWidth="1"/>
    <col min="20" max="20" width="12.5546875" style="53" bestFit="1" customWidth="1"/>
    <col min="21" max="21" width="12.6640625" style="53" bestFit="1" customWidth="1"/>
    <col min="22" max="22" width="11.21875" style="53" customWidth="1"/>
    <col min="23" max="23" width="9.6640625" style="53" bestFit="1" customWidth="1"/>
    <col min="24" max="24" width="11.88671875" style="53" bestFit="1" customWidth="1"/>
    <col min="25" max="25" width="10.33203125" style="53" customWidth="1"/>
    <col min="26" max="26" width="9.77734375" style="53" customWidth="1"/>
    <col min="27" max="27" width="9.6640625" style="53" bestFit="1" customWidth="1"/>
    <col min="28" max="28" width="10.21875" style="53" customWidth="1"/>
    <col min="29" max="29" width="9.33203125" style="53" bestFit="1" customWidth="1"/>
    <col min="30" max="30" width="39.5546875" style="53" customWidth="1"/>
    <col min="31" max="31" width="9.33203125" style="53" bestFit="1" customWidth="1"/>
    <col min="32" max="32" width="9.6640625" style="53" bestFit="1" customWidth="1"/>
    <col min="33" max="34" width="9.33203125" style="53" bestFit="1" customWidth="1"/>
    <col min="35" max="35" width="9.6640625" style="53" bestFit="1" customWidth="1"/>
    <col min="36" max="36" width="10.44140625" style="53" bestFit="1" customWidth="1"/>
    <col min="37" max="38" width="9.6640625" style="53" bestFit="1" customWidth="1"/>
    <col min="39" max="39" width="10.109375" style="53" customWidth="1"/>
    <col min="40" max="41" width="9.44140625" style="53" bestFit="1" customWidth="1"/>
    <col min="42" max="42" width="12.109375" style="53" bestFit="1" customWidth="1"/>
    <col min="43" max="43" width="9.44140625" style="53" bestFit="1" customWidth="1"/>
    <col min="44" max="44" width="12.44140625" style="53" bestFit="1" customWidth="1"/>
    <col min="45" max="45" width="10.77734375" style="53" customWidth="1"/>
    <col min="46" max="16384" width="8.88671875" style="53"/>
  </cols>
  <sheetData>
    <row r="1" spans="1:34" s="57" customFormat="1" ht="61.2" customHeight="1" thickBot="1" x14ac:dyDescent="0.35">
      <c r="A1" s="60" t="str">
        <f>Sheet1!A1</f>
        <v>Output Current (A)</v>
      </c>
      <c r="B1" s="60" t="str">
        <f>Sheet1!B1</f>
        <v>Technology</v>
      </c>
      <c r="C1" s="60" t="str">
        <f>Sheet1!C1</f>
        <v>Cgs0</v>
      </c>
      <c r="D1" s="60" t="str">
        <f>Sheet1!D1</f>
        <v>Coss0</v>
      </c>
      <c r="E1" s="60" t="str">
        <f>Sheet1!E1</f>
        <v>u</v>
      </c>
      <c r="F1" s="60" t="str">
        <f>Sheet1!F1</f>
        <v>Vg</v>
      </c>
      <c r="G1" s="60" t="str">
        <f>Sheet1!G1</f>
        <v>Vth</v>
      </c>
      <c r="H1" s="60" t="str">
        <f>Sheet1!H1</f>
        <v>Vpl</v>
      </c>
      <c r="I1" s="60" t="str">
        <f>Sheet1!I1</f>
        <v>Rg</v>
      </c>
      <c r="J1" s="60" t="str">
        <f>Sheet1!J1</f>
        <v>Rdr</v>
      </c>
      <c r="K1" s="60" t="str">
        <f>Sheet1!K1</f>
        <v>Fsw</v>
      </c>
      <c r="L1" s="60" t="str">
        <f>Sheet1!L1</f>
        <v>Vin</v>
      </c>
      <c r="M1" s="60" t="str">
        <f>Sheet1!M1</f>
        <v>Vout</v>
      </c>
      <c r="N1" s="60" t="str">
        <f>Sheet1!N1</f>
        <v>D</v>
      </c>
      <c r="O1" s="60" t="str">
        <f>Sheet1!O1</f>
        <v>Tox</v>
      </c>
      <c r="P1" s="60" t="str">
        <f>Sheet1!P1</f>
        <v>Cox</v>
      </c>
      <c r="Q1" s="60" t="str">
        <f>Sheet1!Q1</f>
        <v>Kp</v>
      </c>
      <c r="R1" s="60" t="s">
        <v>48</v>
      </c>
      <c r="AB1" s="63"/>
      <c r="AH1" s="64"/>
    </row>
    <row r="2" spans="1:34" ht="27.6" x14ac:dyDescent="0.25">
      <c r="A2" s="48">
        <v>10</v>
      </c>
      <c r="B2" s="57" t="str">
        <f>Sheet1!B2</f>
        <v>130nm-12V_LDMOS</v>
      </c>
      <c r="C2" s="49">
        <f>Sheet1!C2</f>
        <v>2.1349999999999999E-4</v>
      </c>
      <c r="D2" s="49">
        <f>Sheet1!D2</f>
        <v>1.5000000000000001E-4</v>
      </c>
      <c r="E2" s="49"/>
      <c r="F2" s="48">
        <v>5</v>
      </c>
      <c r="G2" s="48">
        <f>Sheet1!G2</f>
        <v>2.13</v>
      </c>
      <c r="H2" s="48">
        <f>Sheet1!H2</f>
        <v>2.5</v>
      </c>
      <c r="I2" s="48">
        <f>Sheet1!I2</f>
        <v>0.4</v>
      </c>
      <c r="J2" s="48">
        <f>Sheet1!J2</f>
        <v>0.7</v>
      </c>
      <c r="K2" s="49">
        <f>Sheet1!K2</f>
        <v>500000</v>
      </c>
      <c r="L2" s="48">
        <v>48</v>
      </c>
      <c r="M2" s="48">
        <f>Sheet1!M2</f>
        <v>1</v>
      </c>
      <c r="N2" s="48">
        <f>(M2/L2)*3</f>
        <v>6.25E-2</v>
      </c>
      <c r="O2" s="48"/>
      <c r="P2" s="49"/>
      <c r="Q2" s="49">
        <f>Sheet1!Q2</f>
        <v>67.400000000000006</v>
      </c>
      <c r="R2" s="50">
        <f>(F2-0.5*(G2+H2))/(I2+J2)</f>
        <v>2.4409090909090909</v>
      </c>
    </row>
    <row r="3" spans="1:34" x14ac:dyDescent="0.25">
      <c r="A3" s="48"/>
      <c r="B3" s="48"/>
      <c r="C3" s="49"/>
      <c r="D3" s="49"/>
      <c r="E3" s="49"/>
      <c r="F3" s="48"/>
      <c r="G3" s="50"/>
      <c r="H3" s="50"/>
      <c r="I3" s="50"/>
      <c r="J3" s="50"/>
      <c r="K3" s="49"/>
      <c r="L3" s="48"/>
      <c r="M3" s="48"/>
      <c r="N3" s="52"/>
      <c r="O3" s="50"/>
    </row>
    <row r="4" spans="1:34" x14ac:dyDescent="0.25">
      <c r="A4" s="54"/>
    </row>
    <row r="5" spans="1:34" x14ac:dyDescent="0.25">
      <c r="A5" s="54"/>
    </row>
    <row r="6" spans="1:34" x14ac:dyDescent="0.25">
      <c r="A6" s="54"/>
    </row>
    <row r="7" spans="1:34" x14ac:dyDescent="0.25">
      <c r="A7" s="54"/>
    </row>
    <row r="8" spans="1:34" x14ac:dyDescent="0.25">
      <c r="A8" s="54"/>
    </row>
    <row r="9" spans="1:34" ht="14.4" thickBot="1" x14ac:dyDescent="0.3">
      <c r="AD9" s="77" t="s">
        <v>109</v>
      </c>
      <c r="AE9" s="78" t="s">
        <v>157</v>
      </c>
      <c r="AF9" s="78" t="s">
        <v>158</v>
      </c>
    </row>
    <row r="10" spans="1:34" ht="28.2" thickBot="1" x14ac:dyDescent="0.3">
      <c r="A10" s="55" t="s">
        <v>17</v>
      </c>
      <c r="B10" s="62" t="s">
        <v>53</v>
      </c>
      <c r="C10" s="62" t="s">
        <v>54</v>
      </c>
      <c r="D10" s="60" t="s">
        <v>55</v>
      </c>
      <c r="E10" s="60" t="s">
        <v>56</v>
      </c>
      <c r="F10" s="60" t="s">
        <v>57</v>
      </c>
      <c r="G10" s="60" t="s">
        <v>58</v>
      </c>
      <c r="H10" s="60" t="s">
        <v>59</v>
      </c>
      <c r="I10" s="60" t="s">
        <v>60</v>
      </c>
      <c r="J10" s="60" t="s">
        <v>61</v>
      </c>
      <c r="K10" s="60" t="s">
        <v>62</v>
      </c>
      <c r="L10" s="60" t="s">
        <v>63</v>
      </c>
      <c r="M10" s="71" t="s">
        <v>64</v>
      </c>
      <c r="N10" s="71" t="s">
        <v>69</v>
      </c>
      <c r="O10" s="74" t="s">
        <v>70</v>
      </c>
      <c r="P10" s="74" t="s">
        <v>71</v>
      </c>
      <c r="Q10" s="74" t="s">
        <v>72</v>
      </c>
      <c r="R10" s="75" t="s">
        <v>73</v>
      </c>
      <c r="S10" s="74" t="s">
        <v>74</v>
      </c>
      <c r="T10" s="74" t="s">
        <v>75</v>
      </c>
      <c r="U10" s="74" t="s">
        <v>77</v>
      </c>
      <c r="V10" s="74" t="s">
        <v>76</v>
      </c>
      <c r="W10" s="74" t="s">
        <v>78</v>
      </c>
      <c r="X10" s="71" t="s">
        <v>148</v>
      </c>
      <c r="Y10" s="74" t="s">
        <v>149</v>
      </c>
      <c r="Z10" s="74" t="s">
        <v>150</v>
      </c>
      <c r="AA10" s="74" t="s">
        <v>151</v>
      </c>
      <c r="AB10" s="75" t="s">
        <v>152</v>
      </c>
      <c r="AD10" s="78" t="s">
        <v>67</v>
      </c>
      <c r="AE10" s="79"/>
      <c r="AF10" s="79"/>
    </row>
    <row r="11" spans="1:34" x14ac:dyDescent="0.25">
      <c r="A11" s="48">
        <v>5</v>
      </c>
      <c r="B11" s="50">
        <f>A11/3</f>
        <v>1.6666666666666667</v>
      </c>
      <c r="C11" s="50">
        <f>(2*A11)/3</f>
        <v>3.3333333333333335</v>
      </c>
      <c r="D11" s="50">
        <f>SQRT($N$2)*(C11/2)</f>
        <v>0.41666666666666669</v>
      </c>
      <c r="E11" s="50">
        <f>SQRT($N$2)*(B11)</f>
        <v>0.41666666666666669</v>
      </c>
      <c r="F11" s="50">
        <f>SQRT(1-$N$2)*B11</f>
        <v>1.6137430609197572</v>
      </c>
      <c r="G11" s="50">
        <f>SQRT($N$2)*(C11/2)</f>
        <v>0.41666666666666669</v>
      </c>
      <c r="H11" s="50">
        <f>SQRT(1-$N$2)*C11</f>
        <v>3.2274861218395143</v>
      </c>
      <c r="I11" s="48">
        <f>$L$2/3</f>
        <v>16</v>
      </c>
      <c r="J11" s="48">
        <f>(2*$L$2)/3</f>
        <v>32</v>
      </c>
      <c r="K11" s="48">
        <f>$L$2/3</f>
        <v>16</v>
      </c>
      <c r="L11" s="48">
        <f>(2*$L$2)/3</f>
        <v>32</v>
      </c>
      <c r="M11" s="48">
        <f>$L$2/3</f>
        <v>16</v>
      </c>
      <c r="N11" s="49">
        <f>(D11/(I11))*SQRT(1/($K$2*($F$2-$G$2)*$Q$2*((D11/$R$2)*$C$2+($D$2/(2))+(($F$2^2)/(I11^2))*$C$2)))</f>
        <v>2.3021955235740625E-4</v>
      </c>
      <c r="O11" s="49">
        <f t="shared" ref="O11:Q20" si="0">(E11/(J11))*SQRT(1/($K$2*($F$2-$G$2)*$Q$2*((E11/$R$2)*$C$2+($D$2/(2))+(($F$2^2)/(J11^2))*$C$2)))</f>
        <v>1.2258213658728311E-4</v>
      </c>
      <c r="P11" s="49">
        <f>(F11/(K11))*SQRT(1/($K$2*($F$2-$G$2)*$Q$2*(($D$2/(2))+(($F$2^2)/(K11^2))*$C$2)))</f>
        <v>1.0475224340322593E-3</v>
      </c>
      <c r="Q11" s="49">
        <f t="shared" si="0"/>
        <v>1.2258213658728311E-4</v>
      </c>
      <c r="R11" s="49">
        <f>(H11/(M11))*SQRT(1/($K$2*($F$2-$G$2)*$Q$2*(($D$2/(2))+(($F$2^2)/(M11^2))*$C$2)))</f>
        <v>2.0950448680645186E-3</v>
      </c>
      <c r="S11" s="49">
        <v>1.6999999999999999E-3</v>
      </c>
      <c r="T11" s="49">
        <v>1.6999999999999999E-3</v>
      </c>
      <c r="U11" s="49">
        <v>1.6999999999999999E-3</v>
      </c>
      <c r="V11" s="49">
        <v>1.6999999999999999E-3</v>
      </c>
      <c r="W11" s="49">
        <v>1.6999999999999999E-3</v>
      </c>
      <c r="X11" s="59">
        <f>(2*D11*S11)/($Q$2*($F$2-$G$2)^2)</f>
        <v>2.5517844424463266E-6</v>
      </c>
      <c r="Y11" s="59">
        <f t="shared" ref="Y11:AB20" si="1">(2*E11*T11)/($Q$2*($F$2-$G$2)^2)</f>
        <v>2.5517844424463266E-6</v>
      </c>
      <c r="Z11" s="59">
        <f t="shared" si="1"/>
        <v>9.8830186487058012E-6</v>
      </c>
      <c r="AA11" s="59">
        <f t="shared" si="1"/>
        <v>2.5517844424463266E-6</v>
      </c>
      <c r="AB11" s="59">
        <f t="shared" si="1"/>
        <v>1.9766037297411602E-5</v>
      </c>
      <c r="AD11" s="77" t="str">
        <f>D1</f>
        <v>Coss0</v>
      </c>
      <c r="AE11" s="79"/>
      <c r="AF11" s="79"/>
    </row>
    <row r="12" spans="1:34" x14ac:dyDescent="0.25">
      <c r="A12" s="48">
        <v>10</v>
      </c>
      <c r="B12" s="50">
        <f t="shared" ref="B12:B20" si="2">A12/3</f>
        <v>3.3333333333333335</v>
      </c>
      <c r="C12" s="50">
        <f t="shared" ref="C12:C20" si="3">(2*A12)/3</f>
        <v>6.666666666666667</v>
      </c>
      <c r="D12" s="50">
        <f t="shared" ref="D12:D20" si="4">SQRT($N$2)*(C12/2)</f>
        <v>0.83333333333333337</v>
      </c>
      <c r="E12" s="50">
        <f t="shared" ref="E12:E20" si="5">SQRT($N$2)*(B12)</f>
        <v>0.83333333333333337</v>
      </c>
      <c r="F12" s="50">
        <f t="shared" ref="F12:F20" si="6">SQRT(1-$N$2)*B12</f>
        <v>3.2274861218395143</v>
      </c>
      <c r="G12" s="50">
        <f t="shared" ref="G12:G20" si="7">SQRT($N$2)*(C12/2)</f>
        <v>0.83333333333333337</v>
      </c>
      <c r="H12" s="50">
        <f t="shared" ref="H12:H20" si="8">SQRT(1-$N$2)*C12</f>
        <v>6.4549722436790287</v>
      </c>
      <c r="I12" s="48">
        <f t="shared" ref="I12:I20" si="9">$L$2/3</f>
        <v>16</v>
      </c>
      <c r="J12" s="48">
        <f t="shared" ref="J12:J20" si="10">(2*$L$2)/3</f>
        <v>32</v>
      </c>
      <c r="K12" s="48">
        <f t="shared" ref="K12:K20" si="11">$L$2/3</f>
        <v>16</v>
      </c>
      <c r="L12" s="48">
        <f t="shared" ref="L12:L20" si="12">(2*$L$2)/3</f>
        <v>32</v>
      </c>
      <c r="M12" s="48">
        <f t="shared" ref="M12:M20" si="13">$L$2/3</f>
        <v>16</v>
      </c>
      <c r="N12" s="49">
        <f t="shared" ref="N12:N20" si="14">(D12/(I12))*SQRT(1/($K$2*($F$2-$G$2)*$Q$2*((D12/$R$2)*$C$2+($D$2/(2))+(($F$2^2)/(I12^2))*$C$2)))</f>
        <v>4.0769462317139876E-4</v>
      </c>
      <c r="O12" s="49">
        <f t="shared" si="0"/>
        <v>2.1400433446841315E-4</v>
      </c>
      <c r="P12" s="49">
        <f t="shared" ref="P12:P20" si="15">(F12/(K12))*SQRT(1/($K$2*($F$2-$G$2)*$Q$2*(($D$2/(2))+(($F$2^2)/(K12^2))*$C$2)))</f>
        <v>2.0950448680645186E-3</v>
      </c>
      <c r="Q12" s="49">
        <f t="shared" si="0"/>
        <v>2.1400433446841315E-4</v>
      </c>
      <c r="R12" s="49">
        <f t="shared" ref="R12:R20" si="16">(H12/(M12))*SQRT(1/($K$2*($F$2-$G$2)*$Q$2*(($D$2/(2))+(($F$2^2)/(M12^2))*$C$2)))</f>
        <v>4.1900897361290372E-3</v>
      </c>
      <c r="S12" s="49">
        <v>1.6999999999999999E-3</v>
      </c>
      <c r="T12" s="49">
        <v>1.6999999999999999E-3</v>
      </c>
      <c r="U12" s="49">
        <v>1.6999999999999999E-3</v>
      </c>
      <c r="V12" s="49">
        <v>1.6999999999999999E-3</v>
      </c>
      <c r="W12" s="49">
        <v>1.6999999999999999E-3</v>
      </c>
      <c r="X12" s="59">
        <f t="shared" ref="X12:X20" si="17">(2*D12*S12)/($Q$2*($F$2-$G$2)^2)</f>
        <v>5.1035688848926532E-6</v>
      </c>
      <c r="Y12" s="59">
        <f t="shared" si="1"/>
        <v>5.1035688848926532E-6</v>
      </c>
      <c r="Z12" s="59">
        <f t="shared" si="1"/>
        <v>1.9766037297411602E-5</v>
      </c>
      <c r="AA12" s="59">
        <f t="shared" si="1"/>
        <v>5.1035688848926532E-6</v>
      </c>
      <c r="AB12" s="59">
        <f t="shared" si="1"/>
        <v>3.9532074594823205E-5</v>
      </c>
      <c r="AD12" s="78" t="str">
        <f>E1</f>
        <v>u</v>
      </c>
      <c r="AE12" s="79"/>
      <c r="AF12" s="79"/>
    </row>
    <row r="13" spans="1:34" x14ac:dyDescent="0.25">
      <c r="A13" s="48">
        <v>15</v>
      </c>
      <c r="B13" s="50">
        <f t="shared" si="2"/>
        <v>5</v>
      </c>
      <c r="C13" s="50">
        <f t="shared" si="3"/>
        <v>10</v>
      </c>
      <c r="D13" s="50">
        <f t="shared" si="4"/>
        <v>1.25</v>
      </c>
      <c r="E13" s="50">
        <f t="shared" si="5"/>
        <v>1.25</v>
      </c>
      <c r="F13" s="50">
        <f t="shared" si="6"/>
        <v>4.8412291827592711</v>
      </c>
      <c r="G13" s="50">
        <f t="shared" si="7"/>
        <v>1.25</v>
      </c>
      <c r="H13" s="50">
        <f t="shared" si="8"/>
        <v>9.6824583655185421</v>
      </c>
      <c r="I13" s="48">
        <f t="shared" si="9"/>
        <v>16</v>
      </c>
      <c r="J13" s="48">
        <f t="shared" si="10"/>
        <v>32</v>
      </c>
      <c r="K13" s="48">
        <f t="shared" si="11"/>
        <v>16</v>
      </c>
      <c r="L13" s="48">
        <f t="shared" si="12"/>
        <v>32</v>
      </c>
      <c r="M13" s="48">
        <f t="shared" si="13"/>
        <v>16</v>
      </c>
      <c r="N13" s="49">
        <f t="shared" si="14"/>
        <v>5.5457784918062632E-4</v>
      </c>
      <c r="O13" s="49">
        <f t="shared" si="0"/>
        <v>2.8850016113559377E-4</v>
      </c>
      <c r="P13" s="49">
        <f t="shared" si="15"/>
        <v>3.1425673020967775E-3</v>
      </c>
      <c r="Q13" s="49">
        <f t="shared" si="0"/>
        <v>2.8850016113559377E-4</v>
      </c>
      <c r="R13" s="49">
        <f t="shared" si="16"/>
        <v>6.2851346041935549E-3</v>
      </c>
      <c r="S13" s="49">
        <v>1.6999999999999999E-3</v>
      </c>
      <c r="T13" s="49">
        <v>1.6999999999999999E-3</v>
      </c>
      <c r="U13" s="49">
        <v>1.6999999999999999E-3</v>
      </c>
      <c r="V13" s="49">
        <v>1.6999999999999999E-3</v>
      </c>
      <c r="W13" s="49">
        <v>1.6999999999999999E-3</v>
      </c>
      <c r="X13" s="59">
        <f t="shared" si="17"/>
        <v>7.6553533273389786E-6</v>
      </c>
      <c r="Y13" s="59">
        <f t="shared" si="1"/>
        <v>7.6553533273389786E-6</v>
      </c>
      <c r="Z13" s="59">
        <f t="shared" si="1"/>
        <v>2.9649055946117402E-5</v>
      </c>
      <c r="AA13" s="59">
        <f t="shared" si="1"/>
        <v>7.6553533273389786E-6</v>
      </c>
      <c r="AB13" s="59">
        <f t="shared" si="1"/>
        <v>5.9298111892234804E-5</v>
      </c>
      <c r="AD13" s="78" t="str">
        <f>F1</f>
        <v>Vg</v>
      </c>
      <c r="AE13" s="79"/>
      <c r="AF13" s="79"/>
    </row>
    <row r="14" spans="1:34" x14ac:dyDescent="0.25">
      <c r="A14" s="48">
        <v>20</v>
      </c>
      <c r="B14" s="50">
        <f t="shared" si="2"/>
        <v>6.666666666666667</v>
      </c>
      <c r="C14" s="50">
        <f t="shared" si="3"/>
        <v>13.333333333333334</v>
      </c>
      <c r="D14" s="50">
        <f t="shared" si="4"/>
        <v>1.6666666666666667</v>
      </c>
      <c r="E14" s="50">
        <f t="shared" si="5"/>
        <v>1.6666666666666667</v>
      </c>
      <c r="F14" s="50">
        <f t="shared" si="6"/>
        <v>6.4549722436790287</v>
      </c>
      <c r="G14" s="50">
        <f t="shared" si="7"/>
        <v>1.6666666666666667</v>
      </c>
      <c r="H14" s="50">
        <f t="shared" si="8"/>
        <v>12.909944487358057</v>
      </c>
      <c r="I14" s="48">
        <f t="shared" si="9"/>
        <v>16</v>
      </c>
      <c r="J14" s="48">
        <f t="shared" si="10"/>
        <v>32</v>
      </c>
      <c r="K14" s="48">
        <f t="shared" si="11"/>
        <v>16</v>
      </c>
      <c r="L14" s="48">
        <f t="shared" si="12"/>
        <v>32</v>
      </c>
      <c r="M14" s="48">
        <f t="shared" si="13"/>
        <v>16</v>
      </c>
      <c r="N14" s="49">
        <f t="shared" si="14"/>
        <v>6.8139457826575048E-4</v>
      </c>
      <c r="O14" s="49">
        <f t="shared" si="0"/>
        <v>3.5228722566925846E-4</v>
      </c>
      <c r="P14" s="49">
        <f t="shared" si="15"/>
        <v>4.1900897361290372E-3</v>
      </c>
      <c r="Q14" s="49">
        <f t="shared" si="0"/>
        <v>3.5228722566925846E-4</v>
      </c>
      <c r="R14" s="49">
        <f t="shared" si="16"/>
        <v>8.3801794722580744E-3</v>
      </c>
      <c r="S14" s="49">
        <v>1.6999999999999999E-3</v>
      </c>
      <c r="T14" s="49">
        <v>1.6999999999999999E-3</v>
      </c>
      <c r="U14" s="49">
        <v>1.6999999999999999E-3</v>
      </c>
      <c r="V14" s="49">
        <v>1.6999999999999999E-3</v>
      </c>
      <c r="W14" s="49">
        <v>1.6999999999999999E-3</v>
      </c>
      <c r="X14" s="59">
        <f t="shared" si="17"/>
        <v>1.0207137769785306E-5</v>
      </c>
      <c r="Y14" s="59">
        <f t="shared" si="1"/>
        <v>1.0207137769785306E-5</v>
      </c>
      <c r="Z14" s="59">
        <f t="shared" si="1"/>
        <v>3.9532074594823205E-5</v>
      </c>
      <c r="AA14" s="59">
        <f t="shared" si="1"/>
        <v>1.0207137769785306E-5</v>
      </c>
      <c r="AB14" s="59">
        <f t="shared" si="1"/>
        <v>7.9064149189646409E-5</v>
      </c>
      <c r="AD14" s="78" t="str">
        <f>G1</f>
        <v>Vth</v>
      </c>
      <c r="AE14" s="79"/>
      <c r="AF14" s="79"/>
    </row>
    <row r="15" spans="1:34" x14ac:dyDescent="0.25">
      <c r="A15" s="48">
        <v>25</v>
      </c>
      <c r="B15" s="50">
        <f t="shared" si="2"/>
        <v>8.3333333333333339</v>
      </c>
      <c r="C15" s="50">
        <f t="shared" si="3"/>
        <v>16.666666666666668</v>
      </c>
      <c r="D15" s="50">
        <f t="shared" si="4"/>
        <v>2.0833333333333335</v>
      </c>
      <c r="E15" s="50">
        <f t="shared" si="5"/>
        <v>2.0833333333333335</v>
      </c>
      <c r="F15" s="50">
        <f t="shared" si="6"/>
        <v>8.0687153045987863</v>
      </c>
      <c r="G15" s="50">
        <f t="shared" si="7"/>
        <v>2.0833333333333335</v>
      </c>
      <c r="H15" s="50">
        <f t="shared" si="8"/>
        <v>16.137430609197573</v>
      </c>
      <c r="I15" s="48">
        <f t="shared" si="9"/>
        <v>16</v>
      </c>
      <c r="J15" s="48">
        <f t="shared" si="10"/>
        <v>32</v>
      </c>
      <c r="K15" s="48">
        <f t="shared" si="11"/>
        <v>16</v>
      </c>
      <c r="L15" s="48">
        <f t="shared" si="12"/>
        <v>32</v>
      </c>
      <c r="M15" s="48">
        <f t="shared" si="13"/>
        <v>16</v>
      </c>
      <c r="N15" s="49">
        <f t="shared" si="14"/>
        <v>7.9396831366499614E-4</v>
      </c>
      <c r="O15" s="49">
        <f t="shared" si="0"/>
        <v>4.0864014971286688E-4</v>
      </c>
      <c r="P15" s="49">
        <f t="shared" si="15"/>
        <v>5.2376121701612965E-3</v>
      </c>
      <c r="Q15" s="49">
        <f t="shared" si="0"/>
        <v>4.0864014971286688E-4</v>
      </c>
      <c r="R15" s="49">
        <f t="shared" si="16"/>
        <v>1.0475224340322593E-2</v>
      </c>
      <c r="S15" s="49">
        <v>1.6999999999999999E-3</v>
      </c>
      <c r="T15" s="49">
        <v>1.6999999999999999E-3</v>
      </c>
      <c r="U15" s="49">
        <v>1.6999999999999999E-3</v>
      </c>
      <c r="V15" s="49">
        <v>1.6999999999999999E-3</v>
      </c>
      <c r="W15" s="49">
        <v>1.6999999999999999E-3</v>
      </c>
      <c r="X15" s="59">
        <f t="shared" si="17"/>
        <v>1.2758922212231634E-5</v>
      </c>
      <c r="Y15" s="59">
        <f t="shared" si="1"/>
        <v>1.2758922212231634E-5</v>
      </c>
      <c r="Z15" s="59">
        <f t="shared" si="1"/>
        <v>4.9415093243529014E-5</v>
      </c>
      <c r="AA15" s="59">
        <f t="shared" si="1"/>
        <v>1.2758922212231634E-5</v>
      </c>
      <c r="AB15" s="59">
        <f t="shared" si="1"/>
        <v>9.8830186487058029E-5</v>
      </c>
      <c r="AD15" s="78" t="str">
        <f>H1</f>
        <v>Vpl</v>
      </c>
      <c r="AE15" s="79"/>
      <c r="AF15" s="79"/>
    </row>
    <row r="16" spans="1:34" x14ac:dyDescent="0.25">
      <c r="A16" s="48">
        <v>30</v>
      </c>
      <c r="B16" s="50">
        <f t="shared" si="2"/>
        <v>10</v>
      </c>
      <c r="C16" s="50">
        <f t="shared" si="3"/>
        <v>20</v>
      </c>
      <c r="D16" s="50">
        <f t="shared" si="4"/>
        <v>2.5</v>
      </c>
      <c r="E16" s="50">
        <f t="shared" si="5"/>
        <v>2.5</v>
      </c>
      <c r="F16" s="50">
        <f t="shared" si="6"/>
        <v>9.6824583655185421</v>
      </c>
      <c r="G16" s="50">
        <f t="shared" si="7"/>
        <v>2.5</v>
      </c>
      <c r="H16" s="50">
        <f t="shared" si="8"/>
        <v>19.364916731037084</v>
      </c>
      <c r="I16" s="48">
        <f t="shared" si="9"/>
        <v>16</v>
      </c>
      <c r="J16" s="48">
        <f t="shared" si="10"/>
        <v>32</v>
      </c>
      <c r="K16" s="48">
        <f t="shared" si="11"/>
        <v>16</v>
      </c>
      <c r="L16" s="48">
        <f t="shared" si="12"/>
        <v>32</v>
      </c>
      <c r="M16" s="48">
        <f t="shared" si="13"/>
        <v>16</v>
      </c>
      <c r="N16" s="49">
        <f t="shared" si="14"/>
        <v>8.9586233766039691E-4</v>
      </c>
      <c r="O16" s="49">
        <f t="shared" si="0"/>
        <v>4.5949948367452945E-4</v>
      </c>
      <c r="P16" s="49">
        <f t="shared" si="15"/>
        <v>6.2851346041935549E-3</v>
      </c>
      <c r="Q16" s="49">
        <f t="shared" si="0"/>
        <v>4.5949948367452945E-4</v>
      </c>
      <c r="R16" s="49">
        <f t="shared" si="16"/>
        <v>1.257026920838711E-2</v>
      </c>
      <c r="S16" s="49">
        <v>1.6999999999999999E-3</v>
      </c>
      <c r="T16" s="49">
        <v>1.6999999999999999E-3</v>
      </c>
      <c r="U16" s="49">
        <v>1.6999999999999999E-3</v>
      </c>
      <c r="V16" s="49">
        <v>1.6999999999999999E-3</v>
      </c>
      <c r="W16" s="49">
        <v>1.6999999999999999E-3</v>
      </c>
      <c r="X16" s="59">
        <f t="shared" si="17"/>
        <v>1.5310706654677957E-5</v>
      </c>
      <c r="Y16" s="59">
        <f t="shared" si="1"/>
        <v>1.5310706654677957E-5</v>
      </c>
      <c r="Z16" s="59">
        <f t="shared" si="1"/>
        <v>5.9298111892234804E-5</v>
      </c>
      <c r="AA16" s="59">
        <f t="shared" si="1"/>
        <v>1.5310706654677957E-5</v>
      </c>
      <c r="AB16" s="59">
        <f t="shared" si="1"/>
        <v>1.1859622378446961E-4</v>
      </c>
      <c r="AD16" s="78" t="str">
        <f>I1</f>
        <v>Rg</v>
      </c>
      <c r="AE16" s="79"/>
      <c r="AF16" s="79"/>
    </row>
    <row r="17" spans="1:32" x14ac:dyDescent="0.25">
      <c r="A17" s="57">
        <v>35</v>
      </c>
      <c r="B17" s="50">
        <f t="shared" si="2"/>
        <v>11.666666666666666</v>
      </c>
      <c r="C17" s="50">
        <f t="shared" si="3"/>
        <v>23.333333333333332</v>
      </c>
      <c r="D17" s="50">
        <f t="shared" si="4"/>
        <v>2.9166666666666665</v>
      </c>
      <c r="E17" s="50">
        <f t="shared" si="5"/>
        <v>2.9166666666666665</v>
      </c>
      <c r="F17" s="50">
        <f t="shared" si="6"/>
        <v>11.2962014264383</v>
      </c>
      <c r="G17" s="50">
        <f t="shared" si="7"/>
        <v>2.9166666666666665</v>
      </c>
      <c r="H17" s="50">
        <f t="shared" si="8"/>
        <v>22.592402852876599</v>
      </c>
      <c r="I17" s="48">
        <f t="shared" si="9"/>
        <v>16</v>
      </c>
      <c r="J17" s="48">
        <f t="shared" si="10"/>
        <v>32</v>
      </c>
      <c r="K17" s="48">
        <f t="shared" si="11"/>
        <v>16</v>
      </c>
      <c r="L17" s="48">
        <f t="shared" si="12"/>
        <v>32</v>
      </c>
      <c r="M17" s="48">
        <f t="shared" si="13"/>
        <v>16</v>
      </c>
      <c r="N17" s="49">
        <f t="shared" si="14"/>
        <v>9.8941915994838685E-4</v>
      </c>
      <c r="O17" s="49">
        <f t="shared" si="0"/>
        <v>5.0611302048688084E-4</v>
      </c>
      <c r="P17" s="49">
        <f t="shared" si="15"/>
        <v>7.3326570382258142E-3</v>
      </c>
      <c r="Q17" s="49">
        <f t="shared" si="0"/>
        <v>5.0611302048688084E-4</v>
      </c>
      <c r="R17" s="49">
        <f t="shared" si="16"/>
        <v>1.4665314076451628E-2</v>
      </c>
      <c r="S17" s="49">
        <v>1.6999999999999999E-3</v>
      </c>
      <c r="T17" s="49">
        <v>1.6999999999999999E-3</v>
      </c>
      <c r="U17" s="49">
        <v>1.6999999999999999E-3</v>
      </c>
      <c r="V17" s="49">
        <v>1.6999999999999999E-3</v>
      </c>
      <c r="W17" s="49">
        <v>1.6999999999999999E-3</v>
      </c>
      <c r="X17" s="59">
        <f t="shared" si="17"/>
        <v>1.7862491097124283E-5</v>
      </c>
      <c r="Y17" s="59">
        <f t="shared" si="1"/>
        <v>1.7862491097124283E-5</v>
      </c>
      <c r="Z17" s="59">
        <f t="shared" si="1"/>
        <v>6.9181130540940607E-5</v>
      </c>
      <c r="AA17" s="59">
        <f t="shared" si="1"/>
        <v>1.7862491097124283E-5</v>
      </c>
      <c r="AB17" s="59">
        <f t="shared" si="1"/>
        <v>1.3836226108188121E-4</v>
      </c>
      <c r="AD17" s="78" t="s">
        <v>38</v>
      </c>
      <c r="AE17" s="79"/>
      <c r="AF17" s="79"/>
    </row>
    <row r="18" spans="1:32" ht="14.4" x14ac:dyDescent="0.25">
      <c r="A18" s="57">
        <v>40</v>
      </c>
      <c r="B18" s="50">
        <f t="shared" si="2"/>
        <v>13.333333333333334</v>
      </c>
      <c r="C18" s="50">
        <f t="shared" si="3"/>
        <v>26.666666666666668</v>
      </c>
      <c r="D18" s="50">
        <f t="shared" si="4"/>
        <v>3.3333333333333335</v>
      </c>
      <c r="E18" s="50">
        <f t="shared" si="5"/>
        <v>3.3333333333333335</v>
      </c>
      <c r="F18" s="50">
        <f t="shared" si="6"/>
        <v>12.909944487358057</v>
      </c>
      <c r="G18" s="50">
        <f t="shared" si="7"/>
        <v>3.3333333333333335</v>
      </c>
      <c r="H18" s="50">
        <f t="shared" si="8"/>
        <v>25.819888974716115</v>
      </c>
      <c r="I18" s="48">
        <f t="shared" si="9"/>
        <v>16</v>
      </c>
      <c r="J18" s="48">
        <f t="shared" si="10"/>
        <v>32</v>
      </c>
      <c r="K18" s="48">
        <f t="shared" si="11"/>
        <v>16</v>
      </c>
      <c r="L18" s="48">
        <f t="shared" si="12"/>
        <v>32</v>
      </c>
      <c r="M18" s="48">
        <f t="shared" si="13"/>
        <v>16</v>
      </c>
      <c r="N18" s="49">
        <f t="shared" si="14"/>
        <v>1.0762638886656569E-3</v>
      </c>
      <c r="O18" s="49">
        <f t="shared" si="0"/>
        <v>5.4933268484621807E-4</v>
      </c>
      <c r="P18" s="49">
        <f t="shared" si="15"/>
        <v>8.3801794722580744E-3</v>
      </c>
      <c r="Q18" s="49">
        <f t="shared" si="0"/>
        <v>5.4933268484621807E-4</v>
      </c>
      <c r="R18" s="49">
        <f t="shared" si="16"/>
        <v>1.6760358944516149E-2</v>
      </c>
      <c r="S18" s="49">
        <v>1.6999999999999999E-3</v>
      </c>
      <c r="T18" s="49">
        <v>1.6999999999999999E-3</v>
      </c>
      <c r="U18" s="49">
        <v>1.6999999999999999E-3</v>
      </c>
      <c r="V18" s="49">
        <v>1.6999999999999999E-3</v>
      </c>
      <c r="W18" s="49">
        <v>1.6999999999999999E-3</v>
      </c>
      <c r="X18" s="59">
        <f t="shared" si="17"/>
        <v>2.0414275539570613E-5</v>
      </c>
      <c r="Y18" s="59">
        <f t="shared" si="1"/>
        <v>2.0414275539570613E-5</v>
      </c>
      <c r="Z18" s="59">
        <f t="shared" si="1"/>
        <v>7.9064149189646409E-5</v>
      </c>
      <c r="AA18" s="59">
        <f t="shared" si="1"/>
        <v>2.0414275539570613E-5</v>
      </c>
      <c r="AB18" s="59">
        <f t="shared" si="1"/>
        <v>1.5812829837929282E-4</v>
      </c>
      <c r="AD18" s="80" t="s">
        <v>40</v>
      </c>
      <c r="AE18" s="79"/>
      <c r="AF18" s="79"/>
    </row>
    <row r="19" spans="1:32" ht="14.4" x14ac:dyDescent="0.25">
      <c r="A19" s="57">
        <v>45</v>
      </c>
      <c r="B19" s="50">
        <f t="shared" si="2"/>
        <v>15</v>
      </c>
      <c r="C19" s="50">
        <f t="shared" si="3"/>
        <v>30</v>
      </c>
      <c r="D19" s="50">
        <f t="shared" si="4"/>
        <v>3.75</v>
      </c>
      <c r="E19" s="50">
        <f t="shared" si="5"/>
        <v>3.75</v>
      </c>
      <c r="F19" s="50">
        <f t="shared" si="6"/>
        <v>14.523687548277813</v>
      </c>
      <c r="G19" s="50">
        <f t="shared" si="7"/>
        <v>3.75</v>
      </c>
      <c r="H19" s="50">
        <f t="shared" si="8"/>
        <v>29.047375096555626</v>
      </c>
      <c r="I19" s="48">
        <f t="shared" si="9"/>
        <v>16</v>
      </c>
      <c r="J19" s="48">
        <f t="shared" si="10"/>
        <v>32</v>
      </c>
      <c r="K19" s="48">
        <f t="shared" si="11"/>
        <v>16</v>
      </c>
      <c r="L19" s="48">
        <f t="shared" si="12"/>
        <v>32</v>
      </c>
      <c r="M19" s="48">
        <f t="shared" si="13"/>
        <v>16</v>
      </c>
      <c r="N19" s="49">
        <f t="shared" si="14"/>
        <v>1.1575721287588618E-3</v>
      </c>
      <c r="O19" s="49">
        <f t="shared" si="0"/>
        <v>5.8976746008384997E-4</v>
      </c>
      <c r="P19" s="49">
        <f t="shared" si="15"/>
        <v>9.4277019062903328E-3</v>
      </c>
      <c r="Q19" s="49">
        <f t="shared" si="0"/>
        <v>5.8976746008384997E-4</v>
      </c>
      <c r="R19" s="49">
        <f t="shared" si="16"/>
        <v>1.8855403812580666E-2</v>
      </c>
      <c r="S19" s="49">
        <v>1.6999999999999999E-3</v>
      </c>
      <c r="T19" s="49">
        <v>1.6999999999999999E-3</v>
      </c>
      <c r="U19" s="49">
        <v>1.6999999999999999E-3</v>
      </c>
      <c r="V19" s="49">
        <v>1.6999999999999999E-3</v>
      </c>
      <c r="W19" s="49">
        <v>1.6999999999999999E-3</v>
      </c>
      <c r="X19" s="59">
        <f t="shared" si="17"/>
        <v>2.2966059982016939E-5</v>
      </c>
      <c r="Y19" s="59">
        <f t="shared" si="1"/>
        <v>2.2966059982016939E-5</v>
      </c>
      <c r="Z19" s="59">
        <f t="shared" si="1"/>
        <v>8.8947167838352212E-5</v>
      </c>
      <c r="AA19" s="59">
        <f t="shared" si="1"/>
        <v>2.2966059982016939E-5</v>
      </c>
      <c r="AB19" s="59">
        <f t="shared" si="1"/>
        <v>1.7789433567670442E-4</v>
      </c>
      <c r="AD19" s="80"/>
      <c r="AE19" s="79"/>
      <c r="AF19" s="79"/>
    </row>
    <row r="20" spans="1:32" ht="14.4" x14ac:dyDescent="0.25">
      <c r="A20" s="57">
        <v>50</v>
      </c>
      <c r="B20" s="50">
        <f t="shared" si="2"/>
        <v>16.666666666666668</v>
      </c>
      <c r="C20" s="50">
        <f t="shared" si="3"/>
        <v>33.333333333333336</v>
      </c>
      <c r="D20" s="50">
        <f t="shared" si="4"/>
        <v>4.166666666666667</v>
      </c>
      <c r="E20" s="50">
        <f t="shared" si="5"/>
        <v>4.166666666666667</v>
      </c>
      <c r="F20" s="50">
        <f t="shared" si="6"/>
        <v>16.137430609197573</v>
      </c>
      <c r="G20" s="50">
        <f t="shared" si="7"/>
        <v>4.166666666666667</v>
      </c>
      <c r="H20" s="50">
        <f t="shared" si="8"/>
        <v>32.274861218395145</v>
      </c>
      <c r="I20" s="48">
        <f t="shared" si="9"/>
        <v>16</v>
      </c>
      <c r="J20" s="48">
        <f t="shared" si="10"/>
        <v>32</v>
      </c>
      <c r="K20" s="48">
        <f t="shared" si="11"/>
        <v>16</v>
      </c>
      <c r="L20" s="48">
        <f t="shared" si="12"/>
        <v>32</v>
      </c>
      <c r="M20" s="48">
        <f t="shared" si="13"/>
        <v>16</v>
      </c>
      <c r="N20" s="49">
        <f t="shared" si="14"/>
        <v>1.2342232700615469E-3</v>
      </c>
      <c r="O20" s="49">
        <f t="shared" si="0"/>
        <v>6.2786875787989433E-4</v>
      </c>
      <c r="P20" s="49">
        <f t="shared" si="15"/>
        <v>1.0475224340322593E-2</v>
      </c>
      <c r="Q20" s="49">
        <f t="shared" si="0"/>
        <v>6.2786875787989433E-4</v>
      </c>
      <c r="R20" s="49">
        <f t="shared" si="16"/>
        <v>2.0950448680645186E-2</v>
      </c>
      <c r="S20" s="49">
        <v>1.6999999999999999E-3</v>
      </c>
      <c r="T20" s="49">
        <v>1.6999999999999999E-3</v>
      </c>
      <c r="U20" s="49">
        <v>1.6999999999999999E-3</v>
      </c>
      <c r="V20" s="49">
        <v>1.6999999999999999E-3</v>
      </c>
      <c r="W20" s="49">
        <v>1.6999999999999999E-3</v>
      </c>
      <c r="X20" s="59">
        <f t="shared" si="17"/>
        <v>2.5517844424463269E-5</v>
      </c>
      <c r="Y20" s="59">
        <f t="shared" si="1"/>
        <v>2.5517844424463269E-5</v>
      </c>
      <c r="Z20" s="59">
        <f t="shared" si="1"/>
        <v>9.8830186487058029E-5</v>
      </c>
      <c r="AA20" s="59">
        <f t="shared" si="1"/>
        <v>2.5517844424463269E-5</v>
      </c>
      <c r="AB20" s="59">
        <f t="shared" si="1"/>
        <v>1.9766037297411606E-4</v>
      </c>
      <c r="AD20" s="80"/>
      <c r="AE20" s="79"/>
      <c r="AF20" s="79"/>
    </row>
    <row r="21" spans="1:32" ht="15" thickBot="1" x14ac:dyDescent="0.3">
      <c r="A21" s="56"/>
      <c r="B21" s="56"/>
      <c r="C21" s="56"/>
      <c r="D21" s="48"/>
      <c r="E21" s="57"/>
      <c r="F21" s="57"/>
      <c r="G21" s="57"/>
      <c r="H21" s="57"/>
      <c r="I21" s="57"/>
      <c r="J21" s="57"/>
      <c r="Q21" s="49"/>
      <c r="S21" s="49"/>
      <c r="AD21" s="80"/>
      <c r="AE21" s="79"/>
      <c r="AF21" s="79"/>
    </row>
    <row r="22" spans="1:32" ht="28.2" thickBot="1" x14ac:dyDescent="0.3">
      <c r="A22" s="55" t="s">
        <v>17</v>
      </c>
      <c r="B22" s="65" t="s">
        <v>93</v>
      </c>
      <c r="C22" s="60" t="s">
        <v>80</v>
      </c>
      <c r="D22" s="60" t="s">
        <v>81</v>
      </c>
      <c r="E22" s="60" t="s">
        <v>82</v>
      </c>
      <c r="F22" s="60" t="s">
        <v>83</v>
      </c>
      <c r="G22" s="60" t="s">
        <v>84</v>
      </c>
      <c r="H22" s="60" t="s">
        <v>110</v>
      </c>
      <c r="I22" s="60" t="s">
        <v>111</v>
      </c>
      <c r="J22" s="60" t="s">
        <v>112</v>
      </c>
      <c r="K22" s="60" t="s">
        <v>113</v>
      </c>
      <c r="L22" s="60" t="s">
        <v>114</v>
      </c>
      <c r="AD22" s="80" t="s">
        <v>156</v>
      </c>
      <c r="AE22" s="79"/>
      <c r="AF22" s="79"/>
    </row>
    <row r="23" spans="1:32" x14ac:dyDescent="0.25">
      <c r="A23" s="53">
        <f>A11</f>
        <v>5</v>
      </c>
      <c r="B23" s="48">
        <v>1</v>
      </c>
      <c r="C23" s="58">
        <f>(1/($Q$2*((N11*$B23)/S11)*($F$2-$G$2)))</f>
        <v>3.8173758613437005E-2</v>
      </c>
      <c r="D23" s="58">
        <f>(1/($Q$2*((O11*$B23)/T11)*($F$2-$G$2)))</f>
        <v>7.1693526189499202E-2</v>
      </c>
      <c r="E23" s="58">
        <f>(1/($Q$2*((P11*$B23)/U11)*($F$2-$G$2)))</f>
        <v>8.3896490750617232E-3</v>
      </c>
      <c r="F23" s="58">
        <f>(1/($Q$2*((Q11*$B23)/V11)*($F$2-$G$2)))</f>
        <v>7.1693526189499202E-2</v>
      </c>
      <c r="G23" s="58">
        <f>(1/($Q$2*((R11*$B23)/W11)*($F$2-$G$2)))</f>
        <v>4.1948245375308616E-3</v>
      </c>
      <c r="H23" s="49">
        <f>D11^2*C23</f>
        <v>6.6273886481661472E-3</v>
      </c>
      <c r="I23" s="49">
        <f>E11^2*D23</f>
        <v>1.2446792741232502E-2</v>
      </c>
      <c r="J23" s="49">
        <f>F11^2*E23</f>
        <v>2.1848044466306574E-2</v>
      </c>
      <c r="K23" s="49">
        <f>G11^2*F23</f>
        <v>1.2446792741232502E-2</v>
      </c>
      <c r="L23" s="49">
        <f>H11^2*G23</f>
        <v>4.3696088932613147E-2</v>
      </c>
      <c r="M23" s="59">
        <f>SUM(H23:L23)</f>
        <v>9.7065107529550873E-2</v>
      </c>
      <c r="O23" s="58"/>
      <c r="P23" s="58"/>
      <c r="Q23" s="58"/>
      <c r="R23" s="58"/>
      <c r="S23" s="58"/>
      <c r="T23" s="49"/>
      <c r="U23" s="49"/>
      <c r="V23" s="49"/>
      <c r="W23" s="49"/>
      <c r="X23" s="49"/>
      <c r="Y23" s="59"/>
    </row>
    <row r="24" spans="1:32" x14ac:dyDescent="0.25">
      <c r="A24" s="53">
        <f t="shared" ref="A24:A32" si="18">A12</f>
        <v>10</v>
      </c>
      <c r="B24" s="48">
        <v>1</v>
      </c>
      <c r="C24" s="58">
        <f t="shared" ref="C24:C31" si="19">(1/($Q$2*((N12*$B24)/S12)*($F$2-$G$2)))</f>
        <v>2.1556197016830519E-2</v>
      </c>
      <c r="D24" s="58">
        <f t="shared" ref="D24:D32" si="20">(1/($Q$2*((O12*$B24)/T12)*($F$2-$G$2)))</f>
        <v>4.1066203830008412E-2</v>
      </c>
      <c r="E24" s="58">
        <f t="shared" ref="E24:E32" si="21">(1/($Q$2*((P12*$B24)/U12)*($F$2-$G$2)))</f>
        <v>4.1948245375308616E-3</v>
      </c>
      <c r="F24" s="58">
        <f t="shared" ref="F24:F31" si="22">(1/($Q$2*((Q12*$B24)/V12)*($F$2-$G$2)))</f>
        <v>4.1066203830008412E-2</v>
      </c>
      <c r="G24" s="58">
        <f t="shared" ref="G24:G32" si="23">(1/($Q$2*((R12*$B24)/W12)*($F$2-$G$2)))</f>
        <v>2.0974122687654308E-3</v>
      </c>
      <c r="H24" s="49">
        <f t="shared" ref="H24:H32" si="24">D12^2*C24</f>
        <v>1.4969581261687862E-2</v>
      </c>
      <c r="I24" s="49">
        <f t="shared" ref="I24:I32" si="25">E12^2*D24</f>
        <v>2.8518197104172513E-2</v>
      </c>
      <c r="J24" s="49">
        <f t="shared" ref="J24:J32" si="26">F12^2*E24</f>
        <v>4.3696088932613147E-2</v>
      </c>
      <c r="K24" s="49">
        <f t="shared" ref="K24:K32" si="27">G12^2*F24</f>
        <v>2.8518197104172513E-2</v>
      </c>
      <c r="L24" s="49">
        <f t="shared" ref="L24:L31" si="28">H12^2*G24</f>
        <v>8.7392177865226295E-2</v>
      </c>
      <c r="M24" s="59">
        <f t="shared" ref="M24:M32" si="29">SUM(H24:L24)</f>
        <v>0.20309424226787232</v>
      </c>
    </row>
    <row r="25" spans="1:32" x14ac:dyDescent="0.25">
      <c r="A25" s="53">
        <f t="shared" si="18"/>
        <v>15</v>
      </c>
      <c r="B25" s="48">
        <v>1</v>
      </c>
      <c r="C25" s="58">
        <f t="shared" si="19"/>
        <v>1.5846910641616307E-2</v>
      </c>
      <c r="D25" s="58">
        <f t="shared" si="20"/>
        <v>3.0462186174151445E-2</v>
      </c>
      <c r="E25" s="58">
        <f t="shared" si="21"/>
        <v>2.7965496916872411E-3</v>
      </c>
      <c r="F25" s="58">
        <f t="shared" si="22"/>
        <v>3.0462186174151445E-2</v>
      </c>
      <c r="G25" s="58">
        <f t="shared" si="23"/>
        <v>1.3982748458436205E-3</v>
      </c>
      <c r="H25" s="49">
        <f t="shared" si="24"/>
        <v>2.476079787752548E-2</v>
      </c>
      <c r="I25" s="49">
        <f t="shared" si="25"/>
        <v>4.7597165897111632E-2</v>
      </c>
      <c r="J25" s="49">
        <f t="shared" si="26"/>
        <v>6.5544133398919707E-2</v>
      </c>
      <c r="K25" s="49">
        <f t="shared" si="27"/>
        <v>4.7597165897111632E-2</v>
      </c>
      <c r="L25" s="49">
        <f t="shared" si="28"/>
        <v>0.13108826679783941</v>
      </c>
      <c r="M25" s="59">
        <f t="shared" si="29"/>
        <v>0.31658752986850791</v>
      </c>
    </row>
    <row r="26" spans="1:32" x14ac:dyDescent="0.25">
      <c r="A26" s="53">
        <f t="shared" si="18"/>
        <v>20</v>
      </c>
      <c r="B26" s="48">
        <v>1</v>
      </c>
      <c r="C26" s="58">
        <f t="shared" si="19"/>
        <v>1.2897586655521655E-2</v>
      </c>
      <c r="D26" s="58">
        <f t="shared" si="20"/>
        <v>2.4946535041369924E-2</v>
      </c>
      <c r="E26" s="58">
        <f t="shared" si="21"/>
        <v>2.0974122687654308E-3</v>
      </c>
      <c r="F26" s="58">
        <f t="shared" si="22"/>
        <v>2.4946535041369924E-2</v>
      </c>
      <c r="G26" s="58">
        <f t="shared" si="23"/>
        <v>1.0487061343827154E-3</v>
      </c>
      <c r="H26" s="49">
        <f t="shared" si="24"/>
        <v>3.5826629598671271E-2</v>
      </c>
      <c r="I26" s="49">
        <f t="shared" si="25"/>
        <v>6.9295930670472017E-2</v>
      </c>
      <c r="J26" s="49">
        <f t="shared" si="26"/>
        <v>8.7392177865226295E-2</v>
      </c>
      <c r="K26" s="49">
        <f t="shared" si="27"/>
        <v>6.9295930670472017E-2</v>
      </c>
      <c r="L26" s="49">
        <f t="shared" si="28"/>
        <v>0.17478435573045259</v>
      </c>
      <c r="M26" s="59">
        <f t="shared" si="29"/>
        <v>0.4365950245352942</v>
      </c>
    </row>
    <row r="27" spans="1:32" x14ac:dyDescent="0.25">
      <c r="A27" s="53">
        <f t="shared" si="18"/>
        <v>25</v>
      </c>
      <c r="B27" s="48">
        <v>1</v>
      </c>
      <c r="C27" s="58">
        <f t="shared" si="19"/>
        <v>1.1068887093513493E-2</v>
      </c>
      <c r="D27" s="58">
        <f t="shared" si="20"/>
        <v>2.150631949885572E-2</v>
      </c>
      <c r="E27" s="58">
        <f t="shared" si="21"/>
        <v>1.6779298150123446E-3</v>
      </c>
      <c r="F27" s="58">
        <f t="shared" si="22"/>
        <v>2.150631949885572E-2</v>
      </c>
      <c r="G27" s="58">
        <f t="shared" si="23"/>
        <v>8.389649075061723E-4</v>
      </c>
      <c r="H27" s="49">
        <f t="shared" si="24"/>
        <v>4.8042044676707876E-2</v>
      </c>
      <c r="I27" s="49">
        <f t="shared" si="25"/>
        <v>9.3343400602672419E-2</v>
      </c>
      <c r="J27" s="49">
        <f t="shared" si="26"/>
        <v>0.10924022233153288</v>
      </c>
      <c r="K27" s="49">
        <f t="shared" si="27"/>
        <v>9.3343400602672419E-2</v>
      </c>
      <c r="L27" s="49">
        <f t="shared" si="28"/>
        <v>0.21848044466306576</v>
      </c>
      <c r="M27" s="59">
        <f t="shared" si="29"/>
        <v>0.56244951287665135</v>
      </c>
    </row>
    <row r="28" spans="1:32" x14ac:dyDescent="0.25">
      <c r="A28" s="53">
        <f t="shared" si="18"/>
        <v>30</v>
      </c>
      <c r="B28" s="48">
        <v>1</v>
      </c>
      <c r="C28" s="58">
        <f t="shared" si="19"/>
        <v>9.8099286579414538E-3</v>
      </c>
      <c r="D28" s="58">
        <f t="shared" si="20"/>
        <v>1.9125909673513519E-2</v>
      </c>
      <c r="E28" s="58">
        <f t="shared" si="21"/>
        <v>1.3982748458436205E-3</v>
      </c>
      <c r="F28" s="58">
        <f t="shared" si="22"/>
        <v>1.9125909673513519E-2</v>
      </c>
      <c r="G28" s="58">
        <f t="shared" si="23"/>
        <v>6.9913742292181027E-4</v>
      </c>
      <c r="H28" s="49">
        <f t="shared" si="24"/>
        <v>6.1312054112134085E-2</v>
      </c>
      <c r="I28" s="49">
        <f t="shared" si="25"/>
        <v>0.1195369354594595</v>
      </c>
      <c r="J28" s="49">
        <f t="shared" si="26"/>
        <v>0.13108826679783941</v>
      </c>
      <c r="K28" s="49">
        <f t="shared" si="27"/>
        <v>0.1195369354594595</v>
      </c>
      <c r="L28" s="49">
        <f t="shared" si="28"/>
        <v>0.26217653359567883</v>
      </c>
      <c r="M28" s="59">
        <f t="shared" si="29"/>
        <v>0.69365072542457129</v>
      </c>
    </row>
    <row r="29" spans="1:32" x14ac:dyDescent="0.25">
      <c r="A29" s="53">
        <f t="shared" si="18"/>
        <v>35</v>
      </c>
      <c r="B29" s="48">
        <v>1</v>
      </c>
      <c r="C29" s="58">
        <f t="shared" si="19"/>
        <v>8.8823281128329826E-3</v>
      </c>
      <c r="D29" s="58">
        <f t="shared" si="20"/>
        <v>1.7364393453720591E-2</v>
      </c>
      <c r="E29" s="58">
        <f t="shared" si="21"/>
        <v>1.1985212964373891E-3</v>
      </c>
      <c r="F29" s="58">
        <f t="shared" si="22"/>
        <v>1.7364393453720591E-2</v>
      </c>
      <c r="G29" s="58">
        <f t="shared" si="23"/>
        <v>5.9926064821869455E-4</v>
      </c>
      <c r="H29" s="49">
        <f t="shared" si="24"/>
        <v>7.5561471793197235E-2</v>
      </c>
      <c r="I29" s="49">
        <f t="shared" si="25"/>
        <v>0.14771793042227582</v>
      </c>
      <c r="J29" s="49">
        <f t="shared" si="26"/>
        <v>0.152936311264146</v>
      </c>
      <c r="K29" s="49">
        <f t="shared" si="27"/>
        <v>0.14771793042227582</v>
      </c>
      <c r="L29" s="49">
        <f t="shared" si="28"/>
        <v>0.305872622528292</v>
      </c>
      <c r="M29" s="59">
        <f t="shared" si="29"/>
        <v>0.82980626643018685</v>
      </c>
    </row>
    <row r="30" spans="1:32" x14ac:dyDescent="0.25">
      <c r="A30" s="53">
        <f t="shared" si="18"/>
        <v>40</v>
      </c>
      <c r="B30" s="48">
        <v>1</v>
      </c>
      <c r="C30" s="58">
        <f t="shared" si="19"/>
        <v>8.1656048412818791E-3</v>
      </c>
      <c r="D30" s="58">
        <f t="shared" si="20"/>
        <v>1.5998220863638193E-2</v>
      </c>
      <c r="E30" s="58">
        <f t="shared" si="21"/>
        <v>1.0487061343827154E-3</v>
      </c>
      <c r="F30" s="58">
        <f t="shared" si="22"/>
        <v>1.5998220863638193E-2</v>
      </c>
      <c r="G30" s="58">
        <f t="shared" si="23"/>
        <v>5.243530671913577E-4</v>
      </c>
      <c r="H30" s="49">
        <f t="shared" si="24"/>
        <v>9.072894268090978E-2</v>
      </c>
      <c r="I30" s="49">
        <f t="shared" si="25"/>
        <v>0.17775800959597995</v>
      </c>
      <c r="J30" s="49">
        <f t="shared" si="26"/>
        <v>0.17478435573045259</v>
      </c>
      <c r="K30" s="49">
        <f t="shared" si="27"/>
        <v>0.17775800959597995</v>
      </c>
      <c r="L30" s="49">
        <f t="shared" si="28"/>
        <v>0.34956871146090518</v>
      </c>
      <c r="M30" s="59">
        <f t="shared" si="29"/>
        <v>0.97059802906422743</v>
      </c>
    </row>
    <row r="31" spans="1:32" x14ac:dyDescent="0.25">
      <c r="A31" s="53">
        <f t="shared" si="18"/>
        <v>45</v>
      </c>
      <c r="B31" s="54">
        <v>1</v>
      </c>
      <c r="C31" s="58">
        <f t="shared" si="19"/>
        <v>7.5920501206330282E-3</v>
      </c>
      <c r="D31" s="58">
        <f t="shared" si="20"/>
        <v>1.490137421032973E-2</v>
      </c>
      <c r="E31" s="58">
        <f t="shared" si="21"/>
        <v>9.3218323056241384E-4</v>
      </c>
      <c r="F31" s="58">
        <f t="shared" si="22"/>
        <v>1.490137421032973E-2</v>
      </c>
      <c r="G31" s="58">
        <f t="shared" si="23"/>
        <v>4.6609161528120692E-4</v>
      </c>
      <c r="H31" s="49">
        <f t="shared" si="24"/>
        <v>0.10676320482140196</v>
      </c>
      <c r="I31" s="49">
        <f t="shared" si="25"/>
        <v>0.20955057483276182</v>
      </c>
      <c r="J31" s="49">
        <f t="shared" si="26"/>
        <v>0.19663240019675918</v>
      </c>
      <c r="K31" s="49">
        <f t="shared" si="27"/>
        <v>0.20955057483276182</v>
      </c>
      <c r="L31" s="49">
        <f t="shared" si="28"/>
        <v>0.39326480039351835</v>
      </c>
      <c r="M31" s="59">
        <f t="shared" si="29"/>
        <v>1.1157615550772031</v>
      </c>
    </row>
    <row r="32" spans="1:32" x14ac:dyDescent="0.25">
      <c r="A32" s="53">
        <f t="shared" si="18"/>
        <v>50</v>
      </c>
      <c r="B32" s="48">
        <v>1</v>
      </c>
      <c r="C32" s="58">
        <f>(1/($Q$2*((N20*$B32)/S20)*($F$2-$G$2)))</f>
        <v>7.1205476618074956E-3</v>
      </c>
      <c r="D32" s="58">
        <f t="shared" si="20"/>
        <v>1.399710609819239E-2</v>
      </c>
      <c r="E32" s="58">
        <f t="shared" si="21"/>
        <v>8.389649075061723E-4</v>
      </c>
      <c r="F32" s="58">
        <f>(1/($Q$2*((Q20*$B32)/V20)*($F$2-$G$2)))</f>
        <v>1.399710609819239E-2</v>
      </c>
      <c r="G32" s="58">
        <f t="shared" si="23"/>
        <v>4.1948245375308615E-4</v>
      </c>
      <c r="H32" s="49">
        <f t="shared" si="24"/>
        <v>0.12362061912860238</v>
      </c>
      <c r="I32" s="49">
        <f t="shared" si="25"/>
        <v>0.24300531420472904</v>
      </c>
      <c r="J32" s="49">
        <f t="shared" si="26"/>
        <v>0.21848044466306576</v>
      </c>
      <c r="K32" s="49">
        <f t="shared" si="27"/>
        <v>0.24300531420472904</v>
      </c>
      <c r="L32" s="49">
        <f>H20^2*G32</f>
        <v>0.43696088932613153</v>
      </c>
      <c r="M32" s="59">
        <f t="shared" si="29"/>
        <v>1.2650725815272579</v>
      </c>
    </row>
    <row r="33" spans="1:23" ht="14.4" thickBot="1" x14ac:dyDescent="0.3"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9"/>
    </row>
    <row r="34" spans="1:23" ht="28.2" thickBot="1" x14ac:dyDescent="0.3">
      <c r="A34" s="73" t="s">
        <v>115</v>
      </c>
      <c r="W34" s="72"/>
    </row>
    <row r="35" spans="1:23" ht="14.4" thickBot="1" x14ac:dyDescent="0.3"/>
    <row r="36" spans="1:23" ht="28.2" thickBot="1" x14ac:dyDescent="0.3">
      <c r="A36" s="66" t="s">
        <v>17</v>
      </c>
      <c r="B36" s="65" t="s">
        <v>93</v>
      </c>
      <c r="C36" s="60" t="s">
        <v>121</v>
      </c>
      <c r="D36" s="60" t="s">
        <v>122</v>
      </c>
      <c r="E36" s="60" t="s">
        <v>123</v>
      </c>
      <c r="F36" s="60" t="s">
        <v>124</v>
      </c>
      <c r="G36" s="60" t="s">
        <v>125</v>
      </c>
      <c r="H36" s="60" t="s">
        <v>116</v>
      </c>
      <c r="I36" s="60" t="s">
        <v>117</v>
      </c>
      <c r="J36" s="60" t="s">
        <v>118</v>
      </c>
      <c r="K36" s="60" t="s">
        <v>119</v>
      </c>
      <c r="L36" s="60" t="s">
        <v>120</v>
      </c>
    </row>
    <row r="37" spans="1:23" x14ac:dyDescent="0.25">
      <c r="A37" s="53">
        <f>A23</f>
        <v>5</v>
      </c>
      <c r="B37" s="48">
        <f t="shared" ref="B37:B46" si="30">B23</f>
        <v>1</v>
      </c>
      <c r="C37" s="49">
        <f>$C$2*N11*$B37*S11*I11</f>
        <v>1.3369309844499294E-9</v>
      </c>
      <c r="D37" s="49">
        <f>$C$2*O11*$B37*T11*J11</f>
        <v>1.4237179671793408E-9</v>
      </c>
      <c r="E37" s="49">
        <f>$C$2*P11*$B37*U11*K11</f>
        <v>6.0831722789121355E-9</v>
      </c>
      <c r="F37" s="49">
        <f>$C$2*Q11*$B37*V11*L11</f>
        <v>1.4237179671793408E-9</v>
      </c>
      <c r="G37" s="49">
        <f>$C$2*R11*$B37*W11*M11</f>
        <v>1.2166344557824271E-8</v>
      </c>
      <c r="H37" s="49">
        <f>(D11*I11*$K$2*C37)/$R$2</f>
        <v>1.8257282220917723E-3</v>
      </c>
      <c r="I37" s="49">
        <f>(E11*J11*$K$2*D37)/$R$2</f>
        <v>3.8884910338852262E-3</v>
      </c>
      <c r="J37" s="49">
        <f>(F11*K11*$K$2*E37)/$R$2</f>
        <v>3.2173839132428377E-2</v>
      </c>
      <c r="K37" s="49">
        <f>(G11*L11*$K$2*F37)/$R$2</f>
        <v>3.8884910338852262E-3</v>
      </c>
      <c r="L37" s="49">
        <f>(H11*M11*$K$2*G37)/$R$2</f>
        <v>0.12869535652971351</v>
      </c>
      <c r="M37" s="59">
        <f>SUM(H37,I37,K37)</f>
        <v>9.6027102898622249E-3</v>
      </c>
    </row>
    <row r="38" spans="1:23" x14ac:dyDescent="0.25">
      <c r="A38" s="53">
        <f t="shared" ref="A38:A46" si="31">A24</f>
        <v>10</v>
      </c>
      <c r="B38" s="48">
        <f t="shared" si="30"/>
        <v>1</v>
      </c>
      <c r="C38" s="49">
        <f t="shared" ref="C38:C46" si="32">$C$2*N12*$B38*S12*I12</f>
        <v>2.3675642156809466E-9</v>
      </c>
      <c r="D38" s="49">
        <f t="shared" ref="D38:D46" si="33">$C$2*O12*$B38*T12*J12</f>
        <v>2.4855319422499372E-9</v>
      </c>
      <c r="E38" s="49">
        <f t="shared" ref="E38:E46" si="34">$C$2*P12*$B38*U12*K12</f>
        <v>1.2166344557824271E-8</v>
      </c>
      <c r="F38" s="49">
        <f t="shared" ref="F38:F45" si="35">$C$2*Q12*$B38*V12*L12</f>
        <v>2.4855319422499372E-9</v>
      </c>
      <c r="G38" s="49">
        <f t="shared" ref="G38:G46" si="36">$C$2*R12*$B38*W12*M12</f>
        <v>2.4332689115648542E-8</v>
      </c>
      <c r="H38" s="49">
        <f t="shared" ref="H38:H46" si="37">(D12*I12*$K$2*C38)/$R$2</f>
        <v>6.4663454680298979E-3</v>
      </c>
      <c r="I38" s="49">
        <f t="shared" ref="I38:I45" si="38">(E12*J12*$K$2*D38)/$R$2</f>
        <v>1.3577083235133116E-2</v>
      </c>
      <c r="J38" s="49">
        <f t="shared" ref="J38:J46" si="39">(F12*K12*$K$2*E38)/$R$2</f>
        <v>0.12869535652971351</v>
      </c>
      <c r="K38" s="49">
        <f t="shared" ref="K38:K46" si="40">(G12*L12*$K$2*F38)/$R$2</f>
        <v>1.3577083235133116E-2</v>
      </c>
      <c r="L38" s="49">
        <f t="shared" ref="L38:L46" si="41">(H12*M12*$K$2*G38)/$R$2</f>
        <v>0.51478142611885402</v>
      </c>
      <c r="M38" s="59">
        <f t="shared" ref="M38:M46" si="42">SUM(H38,I38,K38)</f>
        <v>3.3620511938296134E-2</v>
      </c>
    </row>
    <row r="39" spans="1:23" x14ac:dyDescent="0.25">
      <c r="A39" s="53">
        <f t="shared" si="31"/>
        <v>15</v>
      </c>
      <c r="B39" s="48">
        <f t="shared" si="30"/>
        <v>1</v>
      </c>
      <c r="C39" s="49">
        <f t="shared" si="32"/>
        <v>3.2205444857617326E-9</v>
      </c>
      <c r="D39" s="49">
        <f t="shared" si="33"/>
        <v>3.3507562714932399E-9</v>
      </c>
      <c r="E39" s="49">
        <f t="shared" si="34"/>
        <v>1.8249516836736404E-8</v>
      </c>
      <c r="F39" s="49">
        <f t="shared" si="35"/>
        <v>3.3507562714932399E-9</v>
      </c>
      <c r="G39" s="49">
        <f t="shared" si="36"/>
        <v>3.6499033673472808E-8</v>
      </c>
      <c r="H39" s="49">
        <f t="shared" si="37"/>
        <v>1.3194036999396296E-2</v>
      </c>
      <c r="I39" s="49">
        <f t="shared" si="38"/>
        <v>2.7454986209628038E-2</v>
      </c>
      <c r="J39" s="49">
        <f t="shared" si="39"/>
        <v>0.28956455219185528</v>
      </c>
      <c r="K39" s="49">
        <f t="shared" si="40"/>
        <v>2.7454986209628038E-2</v>
      </c>
      <c r="L39" s="49">
        <f t="shared" si="41"/>
        <v>1.1582582087674211</v>
      </c>
      <c r="M39" s="59">
        <f t="shared" si="42"/>
        <v>6.810400941865237E-2</v>
      </c>
    </row>
    <row r="40" spans="1:23" x14ac:dyDescent="0.25">
      <c r="A40" s="53">
        <f t="shared" si="31"/>
        <v>20</v>
      </c>
      <c r="B40" s="48">
        <f t="shared" si="30"/>
        <v>1</v>
      </c>
      <c r="C40" s="49">
        <f t="shared" si="32"/>
        <v>3.9569945949048654E-9</v>
      </c>
      <c r="D40" s="49">
        <f t="shared" si="33"/>
        <v>4.0916047538130355E-9</v>
      </c>
      <c r="E40" s="49">
        <f t="shared" si="34"/>
        <v>2.4332689115648542E-8</v>
      </c>
      <c r="F40" s="49">
        <f t="shared" si="35"/>
        <v>4.0916047538130355E-9</v>
      </c>
      <c r="G40" s="49">
        <f t="shared" si="36"/>
        <v>4.8665378231297084E-8</v>
      </c>
      <c r="H40" s="49">
        <f t="shared" si="37"/>
        <v>2.1614868054104789E-2</v>
      </c>
      <c r="I40" s="49">
        <f t="shared" si="38"/>
        <v>4.4700337471824593E-2</v>
      </c>
      <c r="J40" s="49">
        <f t="shared" si="39"/>
        <v>0.51478142611885402</v>
      </c>
      <c r="K40" s="49">
        <f t="shared" si="40"/>
        <v>4.4700337471824593E-2</v>
      </c>
      <c r="L40" s="49">
        <f t="shared" si="41"/>
        <v>2.0591257044754161</v>
      </c>
      <c r="M40" s="59">
        <f t="shared" si="42"/>
        <v>0.11101554299775399</v>
      </c>
    </row>
    <row r="41" spans="1:23" x14ac:dyDescent="0.25">
      <c r="A41" s="53">
        <f t="shared" si="31"/>
        <v>25</v>
      </c>
      <c r="B41" s="48">
        <f t="shared" si="30"/>
        <v>1</v>
      </c>
      <c r="C41" s="49">
        <f t="shared" si="32"/>
        <v>4.6107327911153646E-9</v>
      </c>
      <c r="D41" s="49">
        <f t="shared" si="33"/>
        <v>4.7461101548251202E-9</v>
      </c>
      <c r="E41" s="49">
        <f t="shared" si="34"/>
        <v>3.0415861394560677E-8</v>
      </c>
      <c r="F41" s="49">
        <f t="shared" si="35"/>
        <v>4.7461101548251202E-9</v>
      </c>
      <c r="G41" s="49">
        <f t="shared" si="36"/>
        <v>6.0831722789121353E-8</v>
      </c>
      <c r="H41" s="49">
        <f t="shared" si="37"/>
        <v>3.1482346804636262E-2</v>
      </c>
      <c r="I41" s="49">
        <f t="shared" si="38"/>
        <v>6.4813422350187874E-2</v>
      </c>
      <c r="J41" s="49">
        <f t="shared" si="39"/>
        <v>0.80434597831070931</v>
      </c>
      <c r="K41" s="49">
        <f t="shared" si="40"/>
        <v>6.4813422350187874E-2</v>
      </c>
      <c r="L41" s="49">
        <f t="shared" si="41"/>
        <v>3.2173839132428372</v>
      </c>
      <c r="M41" s="59">
        <f t="shared" si="42"/>
        <v>0.16110919150501202</v>
      </c>
    </row>
    <row r="42" spans="1:23" x14ac:dyDescent="0.25">
      <c r="A42" s="53">
        <f t="shared" si="31"/>
        <v>30</v>
      </c>
      <c r="B42" s="48">
        <f t="shared" si="30"/>
        <v>1</v>
      </c>
      <c r="C42" s="49">
        <f t="shared" si="32"/>
        <v>5.2024517672614562E-9</v>
      </c>
      <c r="D42" s="49">
        <f t="shared" si="33"/>
        <v>5.3368108031894547E-9</v>
      </c>
      <c r="E42" s="49">
        <f t="shared" si="34"/>
        <v>3.6499033673472808E-8</v>
      </c>
      <c r="F42" s="49">
        <f t="shared" si="35"/>
        <v>5.3368108031894547E-9</v>
      </c>
      <c r="G42" s="49">
        <f t="shared" si="36"/>
        <v>7.2998067346945616E-8</v>
      </c>
      <c r="H42" s="49">
        <f t="shared" si="37"/>
        <v>4.2627165318343402E-2</v>
      </c>
      <c r="I42" s="49">
        <f t="shared" si="38"/>
        <v>8.7456117445190315E-2</v>
      </c>
      <c r="J42" s="49">
        <f t="shared" si="39"/>
        <v>1.1582582087674211</v>
      </c>
      <c r="K42" s="49">
        <f t="shared" si="40"/>
        <v>8.7456117445190315E-2</v>
      </c>
      <c r="L42" s="49">
        <f t="shared" si="41"/>
        <v>4.6330328350696846</v>
      </c>
      <c r="M42" s="59">
        <f t="shared" si="42"/>
        <v>0.21753940020872403</v>
      </c>
    </row>
    <row r="43" spans="1:23" x14ac:dyDescent="0.25">
      <c r="A43" s="53">
        <f t="shared" si="31"/>
        <v>35</v>
      </c>
      <c r="B43" s="48">
        <f t="shared" si="30"/>
        <v>1</v>
      </c>
      <c r="C43" s="49">
        <f t="shared" si="32"/>
        <v>5.7457549456522711E-9</v>
      </c>
      <c r="D43" s="49">
        <f t="shared" si="33"/>
        <v>5.8781990651428277E-9</v>
      </c>
      <c r="E43" s="49">
        <f t="shared" si="34"/>
        <v>4.2582205952384939E-8</v>
      </c>
      <c r="F43" s="49">
        <f t="shared" si="35"/>
        <v>5.8781990651428277E-9</v>
      </c>
      <c r="G43" s="49">
        <f t="shared" si="36"/>
        <v>8.5164411904769879E-8</v>
      </c>
      <c r="H43" s="49">
        <f t="shared" si="37"/>
        <v>5.4925280051548717E-2</v>
      </c>
      <c r="I43" s="49">
        <f t="shared" si="38"/>
        <v>0.11238270093507081</v>
      </c>
      <c r="J43" s="49">
        <f t="shared" si="39"/>
        <v>1.57651811748899</v>
      </c>
      <c r="K43" s="49">
        <f t="shared" si="40"/>
        <v>0.11238270093507081</v>
      </c>
      <c r="L43" s="49">
        <f t="shared" si="41"/>
        <v>6.3060724699559598</v>
      </c>
      <c r="M43" s="59">
        <f t="shared" si="42"/>
        <v>0.27969068192169033</v>
      </c>
    </row>
    <row r="44" spans="1:23" x14ac:dyDescent="0.25">
      <c r="A44" s="53">
        <f t="shared" si="31"/>
        <v>40</v>
      </c>
      <c r="B44" s="48">
        <f t="shared" si="30"/>
        <v>1</v>
      </c>
      <c r="C44" s="49">
        <f t="shared" si="32"/>
        <v>6.2500796542592021E-9</v>
      </c>
      <c r="D44" s="49">
        <f t="shared" si="33"/>
        <v>6.3801695348779143E-9</v>
      </c>
      <c r="E44" s="49">
        <f t="shared" si="34"/>
        <v>4.8665378231297084E-8</v>
      </c>
      <c r="F44" s="49">
        <f t="shared" si="35"/>
        <v>6.3801695348779143E-9</v>
      </c>
      <c r="G44" s="49">
        <f t="shared" si="36"/>
        <v>9.7330756462594168E-8</v>
      </c>
      <c r="H44" s="49">
        <f t="shared" si="37"/>
        <v>6.828144128799625E-2</v>
      </c>
      <c r="I44" s="49">
        <f t="shared" si="38"/>
        <v>0.1394053182046571</v>
      </c>
      <c r="J44" s="49">
        <f t="shared" si="39"/>
        <v>2.0591257044754161</v>
      </c>
      <c r="K44" s="49">
        <f t="shared" si="40"/>
        <v>0.1394053182046571</v>
      </c>
      <c r="L44" s="49">
        <f t="shared" si="41"/>
        <v>8.2365028179016644</v>
      </c>
      <c r="M44" s="59">
        <f t="shared" si="42"/>
        <v>0.34709207769731043</v>
      </c>
    </row>
    <row r="45" spans="1:23" x14ac:dyDescent="0.25">
      <c r="A45" s="53">
        <f t="shared" si="31"/>
        <v>45</v>
      </c>
      <c r="B45" s="48">
        <f t="shared" si="30"/>
        <v>1</v>
      </c>
      <c r="C45" s="49">
        <f t="shared" si="32"/>
        <v>6.7222528661284603E-9</v>
      </c>
      <c r="D45" s="49">
        <f t="shared" si="33"/>
        <v>6.8497951883978657E-9</v>
      </c>
      <c r="E45" s="49">
        <f t="shared" si="34"/>
        <v>5.4748550510209215E-8</v>
      </c>
      <c r="F45" s="49">
        <f t="shared" si="35"/>
        <v>6.8497951883978657E-9</v>
      </c>
      <c r="G45" s="49">
        <f t="shared" si="36"/>
        <v>1.0949710102041843E-7</v>
      </c>
      <c r="H45" s="49">
        <f t="shared" si="37"/>
        <v>8.2619867628394489E-2</v>
      </c>
      <c r="I45" s="49">
        <f t="shared" si="38"/>
        <v>0.16837485379302017</v>
      </c>
      <c r="J45" s="49">
        <f t="shared" si="39"/>
        <v>2.606080969726698</v>
      </c>
      <c r="K45" s="49">
        <f t="shared" si="40"/>
        <v>0.16837485379302017</v>
      </c>
      <c r="L45" s="49">
        <f t="shared" si="41"/>
        <v>10.424323878906792</v>
      </c>
      <c r="M45" s="59">
        <f t="shared" si="42"/>
        <v>0.41936957521443485</v>
      </c>
    </row>
    <row r="46" spans="1:23" x14ac:dyDescent="0.25">
      <c r="A46" s="53">
        <f t="shared" si="31"/>
        <v>50</v>
      </c>
      <c r="B46" s="48">
        <f t="shared" si="30"/>
        <v>1</v>
      </c>
      <c r="C46" s="49">
        <f t="shared" si="32"/>
        <v>7.1673813739014141E-9</v>
      </c>
      <c r="D46" s="49">
        <f t="shared" si="33"/>
        <v>7.2923189015202438E-9</v>
      </c>
      <c r="E46" s="49">
        <f t="shared" si="34"/>
        <v>6.0831722789121353E-8</v>
      </c>
      <c r="F46" s="49">
        <f>$C$2*Q20*$B46*V20*L20</f>
        <v>7.2923189015202438E-9</v>
      </c>
      <c r="G46" s="49">
        <f t="shared" si="36"/>
        <v>1.2166344557824271E-7</v>
      </c>
      <c r="H46" s="49">
        <f t="shared" si="37"/>
        <v>9.7878578662837445E-2</v>
      </c>
      <c r="I46" s="49">
        <f>(E20*J20*$K$2*D46)/$R$2</f>
        <v>0.19916947961942319</v>
      </c>
      <c r="J46" s="49">
        <f t="shared" si="39"/>
        <v>3.2173839132428372</v>
      </c>
      <c r="K46" s="49">
        <f t="shared" si="40"/>
        <v>0.19916947961942319</v>
      </c>
      <c r="L46" s="49">
        <f t="shared" si="41"/>
        <v>12.869535652971349</v>
      </c>
      <c r="M46" s="59">
        <f t="shared" si="42"/>
        <v>0.49621753790168388</v>
      </c>
    </row>
    <row r="47" spans="1:23" ht="14.4" thickBot="1" x14ac:dyDescent="0.3"/>
    <row r="48" spans="1:23" ht="42" thickBot="1" x14ac:dyDescent="0.3">
      <c r="A48" s="73" t="s">
        <v>126</v>
      </c>
    </row>
    <row r="49" spans="1:14" ht="14.4" thickBot="1" x14ac:dyDescent="0.3"/>
    <row r="50" spans="1:14" ht="28.2" thickBot="1" x14ac:dyDescent="0.3">
      <c r="A50" s="66" t="s">
        <v>17</v>
      </c>
      <c r="B50" s="65" t="s">
        <v>93</v>
      </c>
      <c r="C50" s="60" t="s">
        <v>127</v>
      </c>
      <c r="D50" s="60" t="s">
        <v>128</v>
      </c>
      <c r="E50" s="60" t="s">
        <v>129</v>
      </c>
      <c r="F50" s="60" t="s">
        <v>130</v>
      </c>
      <c r="G50" s="60" t="s">
        <v>131</v>
      </c>
      <c r="H50" s="60" t="s">
        <v>132</v>
      </c>
      <c r="I50" s="60" t="s">
        <v>133</v>
      </c>
      <c r="J50" s="60" t="s">
        <v>134</v>
      </c>
      <c r="K50" s="60" t="s">
        <v>135</v>
      </c>
      <c r="L50" s="60" t="s">
        <v>136</v>
      </c>
    </row>
    <row r="51" spans="1:14" x14ac:dyDescent="0.25">
      <c r="A51" s="53">
        <f>A37</f>
        <v>5</v>
      </c>
      <c r="B51" s="48">
        <f t="shared" ref="B51:B60" si="43">B23</f>
        <v>1</v>
      </c>
      <c r="C51" s="49">
        <f>$C$2*N11*$B51*S11*$F$2</f>
        <v>4.1779093264060295E-10</v>
      </c>
      <c r="D51" s="49">
        <f t="shared" ref="D51:G60" si="44">$C$2*O11*$B51*T11*$F$2</f>
        <v>2.2245593237177199E-10</v>
      </c>
      <c r="E51" s="49">
        <f t="shared" si="44"/>
        <v>1.9009913371600423E-9</v>
      </c>
      <c r="F51" s="49">
        <f t="shared" si="44"/>
        <v>2.2245593237177199E-10</v>
      </c>
      <c r="G51" s="49">
        <f t="shared" si="44"/>
        <v>3.8019826743200846E-9</v>
      </c>
      <c r="H51" s="49">
        <f>C51*$K$2*$F$2</f>
        <v>1.0444773316015074E-3</v>
      </c>
      <c r="I51" s="49">
        <f>D51*$K$2*$F$2</f>
        <v>5.5613983092942995E-4</v>
      </c>
      <c r="J51" s="49">
        <f>E51*$K$2*$F$2</f>
        <v>4.752478342900106E-3</v>
      </c>
      <c r="K51" s="49">
        <f t="shared" ref="I51:L60" si="45">F51*$K$2*$F$2</f>
        <v>5.5613983092942995E-4</v>
      </c>
      <c r="L51" s="49">
        <f>G51*$K$2*$F$2</f>
        <v>9.5049566858002119E-3</v>
      </c>
      <c r="M51" s="59">
        <f>SUM(H51:L51)</f>
        <v>1.6414192022160684E-2</v>
      </c>
      <c r="N51" s="59"/>
    </row>
    <row r="52" spans="1:14" x14ac:dyDescent="0.25">
      <c r="A52" s="53">
        <f t="shared" ref="A52:A60" si="46">A38</f>
        <v>10</v>
      </c>
      <c r="B52" s="48">
        <f t="shared" si="43"/>
        <v>1</v>
      </c>
      <c r="C52" s="49">
        <f t="shared" ref="C52:C60" si="47">$C$2*N12*$B52*S12*$F$2</f>
        <v>7.3986381740029585E-10</v>
      </c>
      <c r="D52" s="49">
        <f t="shared" si="44"/>
        <v>3.8836436597655268E-10</v>
      </c>
      <c r="E52" s="49">
        <f t="shared" si="44"/>
        <v>3.8019826743200846E-9</v>
      </c>
      <c r="F52" s="49">
        <f t="shared" si="44"/>
        <v>3.8836436597655268E-10</v>
      </c>
      <c r="G52" s="49">
        <f t="shared" si="44"/>
        <v>7.6039653486401692E-9</v>
      </c>
      <c r="H52" s="49">
        <f t="shared" ref="H52:H60" si="48">C52*$K$2*$F$2</f>
        <v>1.8496595435007397E-3</v>
      </c>
      <c r="I52" s="49">
        <f t="shared" si="45"/>
        <v>9.7091091494138173E-4</v>
      </c>
      <c r="J52" s="49">
        <f t="shared" si="45"/>
        <v>9.5049566858002119E-3</v>
      </c>
      <c r="K52" s="49">
        <f t="shared" si="45"/>
        <v>9.7091091494138173E-4</v>
      </c>
      <c r="L52" s="49">
        <f t="shared" si="45"/>
        <v>1.9009913371600424E-2</v>
      </c>
      <c r="M52" s="59">
        <f t="shared" ref="M52:M60" si="49">SUM(H52:L52)</f>
        <v>3.2306351430784142E-2</v>
      </c>
    </row>
    <row r="53" spans="1:14" x14ac:dyDescent="0.25">
      <c r="A53" s="53">
        <f t="shared" si="46"/>
        <v>15</v>
      </c>
      <c r="B53" s="48">
        <f t="shared" si="43"/>
        <v>1</v>
      </c>
      <c r="C53" s="49">
        <f t="shared" si="47"/>
        <v>1.0064201518005414E-9</v>
      </c>
      <c r="D53" s="49">
        <f t="shared" si="44"/>
        <v>5.2355566742081874E-10</v>
      </c>
      <c r="E53" s="49">
        <f t="shared" si="44"/>
        <v>5.7029740114801261E-9</v>
      </c>
      <c r="F53" s="49">
        <f t="shared" si="44"/>
        <v>5.2355566742081874E-10</v>
      </c>
      <c r="G53" s="49">
        <f t="shared" si="44"/>
        <v>1.1405948022960252E-8</v>
      </c>
      <c r="H53" s="49">
        <f t="shared" si="48"/>
        <v>2.5160503795013537E-3</v>
      </c>
      <c r="I53" s="49">
        <f t="shared" si="45"/>
        <v>1.308889168552047E-3</v>
      </c>
      <c r="J53" s="49">
        <f t="shared" si="45"/>
        <v>1.4257435028700315E-2</v>
      </c>
      <c r="K53" s="49">
        <f t="shared" si="45"/>
        <v>1.308889168552047E-3</v>
      </c>
      <c r="L53" s="49">
        <f t="shared" si="45"/>
        <v>2.8514870057400631E-2</v>
      </c>
      <c r="M53" s="59">
        <f t="shared" si="49"/>
        <v>4.7906133802706391E-2</v>
      </c>
    </row>
    <row r="54" spans="1:14" x14ac:dyDescent="0.25">
      <c r="A54" s="53">
        <f t="shared" si="46"/>
        <v>20</v>
      </c>
      <c r="B54" s="48">
        <f t="shared" si="43"/>
        <v>1</v>
      </c>
      <c r="C54" s="49">
        <f t="shared" si="47"/>
        <v>1.2365608109077706E-9</v>
      </c>
      <c r="D54" s="49">
        <f t="shared" si="44"/>
        <v>6.3931324278328678E-10</v>
      </c>
      <c r="E54" s="49">
        <f t="shared" si="44"/>
        <v>7.6039653486401692E-9</v>
      </c>
      <c r="F54" s="49">
        <f t="shared" si="44"/>
        <v>6.3931324278328678E-10</v>
      </c>
      <c r="G54" s="49">
        <f t="shared" si="44"/>
        <v>1.5207930697280338E-8</v>
      </c>
      <c r="H54" s="49">
        <f t="shared" si="48"/>
        <v>3.0914020272694263E-3</v>
      </c>
      <c r="I54" s="49">
        <f t="shared" si="45"/>
        <v>1.5982831069582171E-3</v>
      </c>
      <c r="J54" s="49">
        <f t="shared" si="45"/>
        <v>1.9009913371600424E-2</v>
      </c>
      <c r="K54" s="49">
        <f t="shared" si="45"/>
        <v>1.5982831069582171E-3</v>
      </c>
      <c r="L54" s="49">
        <f t="shared" si="45"/>
        <v>3.8019826743200848E-2</v>
      </c>
      <c r="M54" s="59">
        <f t="shared" si="49"/>
        <v>6.3317708355987129E-2</v>
      </c>
    </row>
    <row r="55" spans="1:14" x14ac:dyDescent="0.25">
      <c r="A55" s="53">
        <f t="shared" si="46"/>
        <v>25</v>
      </c>
      <c r="B55" s="48">
        <f t="shared" si="43"/>
        <v>1</v>
      </c>
      <c r="C55" s="49">
        <f t="shared" si="47"/>
        <v>1.4408539972235514E-9</v>
      </c>
      <c r="D55" s="49">
        <f t="shared" si="44"/>
        <v>7.41579711691425E-10</v>
      </c>
      <c r="E55" s="49">
        <f t="shared" si="44"/>
        <v>9.5049566858002115E-9</v>
      </c>
      <c r="F55" s="49">
        <f t="shared" si="44"/>
        <v>7.41579711691425E-10</v>
      </c>
      <c r="G55" s="49">
        <f t="shared" si="44"/>
        <v>1.9009913371600423E-8</v>
      </c>
      <c r="H55" s="49">
        <f t="shared" si="48"/>
        <v>3.6021349930588781E-3</v>
      </c>
      <c r="I55" s="49">
        <f t="shared" si="45"/>
        <v>1.8539492792285625E-3</v>
      </c>
      <c r="J55" s="49">
        <f t="shared" si="45"/>
        <v>2.3762391714500529E-2</v>
      </c>
      <c r="K55" s="49">
        <f t="shared" si="45"/>
        <v>1.8539492792285625E-3</v>
      </c>
      <c r="L55" s="49">
        <f t="shared" si="45"/>
        <v>4.7524783429001058E-2</v>
      </c>
      <c r="M55" s="59">
        <f t="shared" si="49"/>
        <v>7.8597208695017587E-2</v>
      </c>
    </row>
    <row r="56" spans="1:14" x14ac:dyDescent="0.25">
      <c r="A56" s="53">
        <f t="shared" si="46"/>
        <v>30</v>
      </c>
      <c r="B56" s="48">
        <f t="shared" si="43"/>
        <v>1</v>
      </c>
      <c r="C56" s="49">
        <f t="shared" si="47"/>
        <v>1.6257661772692051E-9</v>
      </c>
      <c r="D56" s="49">
        <f t="shared" si="44"/>
        <v>8.3387668799835233E-10</v>
      </c>
      <c r="E56" s="49">
        <f t="shared" si="44"/>
        <v>1.1405948022960252E-8</v>
      </c>
      <c r="F56" s="49">
        <f t="shared" si="44"/>
        <v>8.3387668799835233E-10</v>
      </c>
      <c r="G56" s="49">
        <f t="shared" si="44"/>
        <v>2.2811896045920504E-8</v>
      </c>
      <c r="H56" s="49">
        <f t="shared" si="48"/>
        <v>4.0644154431730122E-3</v>
      </c>
      <c r="I56" s="49">
        <f t="shared" si="45"/>
        <v>2.0846917199958807E-3</v>
      </c>
      <c r="J56" s="49">
        <f t="shared" si="45"/>
        <v>2.8514870057400631E-2</v>
      </c>
      <c r="K56" s="49">
        <f t="shared" si="45"/>
        <v>2.0846917199958807E-3</v>
      </c>
      <c r="L56" s="49">
        <f t="shared" si="45"/>
        <v>5.7029740114801261E-2</v>
      </c>
      <c r="M56" s="59">
        <f t="shared" si="49"/>
        <v>9.3778409055366663E-2</v>
      </c>
    </row>
    <row r="57" spans="1:14" x14ac:dyDescent="0.25">
      <c r="A57" s="53">
        <f t="shared" si="46"/>
        <v>35</v>
      </c>
      <c r="B57" s="48">
        <f t="shared" si="43"/>
        <v>1</v>
      </c>
      <c r="C57" s="49">
        <f t="shared" si="47"/>
        <v>1.7955484205163347E-9</v>
      </c>
      <c r="D57" s="49">
        <f t="shared" si="44"/>
        <v>9.1846860392856683E-10</v>
      </c>
      <c r="E57" s="49">
        <f t="shared" si="44"/>
        <v>1.3306939360120294E-8</v>
      </c>
      <c r="F57" s="49">
        <f t="shared" si="44"/>
        <v>9.1846860392856683E-10</v>
      </c>
      <c r="G57" s="49">
        <f t="shared" si="44"/>
        <v>2.6613878720240589E-8</v>
      </c>
      <c r="H57" s="49">
        <f t="shared" si="48"/>
        <v>4.4888710512908372E-3</v>
      </c>
      <c r="I57" s="49">
        <f t="shared" si="45"/>
        <v>2.2961715098214174E-3</v>
      </c>
      <c r="J57" s="49">
        <f t="shared" si="45"/>
        <v>3.3267348400300739E-2</v>
      </c>
      <c r="K57" s="49">
        <f t="shared" si="45"/>
        <v>2.2961715098214174E-3</v>
      </c>
      <c r="L57" s="49">
        <f t="shared" si="45"/>
        <v>6.6534696800601478E-2</v>
      </c>
      <c r="M57" s="59">
        <f t="shared" si="49"/>
        <v>0.10888325927183588</v>
      </c>
    </row>
    <row r="58" spans="1:14" x14ac:dyDescent="0.25">
      <c r="A58" s="53">
        <f t="shared" si="46"/>
        <v>40</v>
      </c>
      <c r="B58" s="48">
        <f t="shared" si="43"/>
        <v>1</v>
      </c>
      <c r="C58" s="49">
        <f t="shared" si="47"/>
        <v>1.9531498919560006E-9</v>
      </c>
      <c r="D58" s="49">
        <f t="shared" si="44"/>
        <v>9.9690148982467406E-10</v>
      </c>
      <c r="E58" s="49">
        <f t="shared" si="44"/>
        <v>1.5207930697280338E-8</v>
      </c>
      <c r="F58" s="49">
        <f t="shared" si="44"/>
        <v>9.9690148982467406E-10</v>
      </c>
      <c r="G58" s="49">
        <f t="shared" si="44"/>
        <v>3.0415861394560677E-8</v>
      </c>
      <c r="H58" s="49">
        <f t="shared" si="48"/>
        <v>4.8828747298900015E-3</v>
      </c>
      <c r="I58" s="49">
        <f t="shared" si="45"/>
        <v>2.4922537245616848E-3</v>
      </c>
      <c r="J58" s="49">
        <f t="shared" si="45"/>
        <v>3.8019826743200848E-2</v>
      </c>
      <c r="K58" s="49">
        <f t="shared" si="45"/>
        <v>2.4922537245616848E-3</v>
      </c>
      <c r="L58" s="49">
        <f t="shared" si="45"/>
        <v>7.6039653486401695E-2</v>
      </c>
      <c r="M58" s="59">
        <f t="shared" si="49"/>
        <v>0.12392686240861592</v>
      </c>
    </row>
    <row r="59" spans="1:14" x14ac:dyDescent="0.25">
      <c r="A59" s="53">
        <f t="shared" si="46"/>
        <v>45</v>
      </c>
      <c r="B59" s="48">
        <f t="shared" si="43"/>
        <v>1</v>
      </c>
      <c r="C59" s="49">
        <f t="shared" si="47"/>
        <v>2.1007040206651439E-9</v>
      </c>
      <c r="D59" s="49">
        <f t="shared" si="44"/>
        <v>1.0702804981871666E-9</v>
      </c>
      <c r="E59" s="49">
        <f t="shared" si="44"/>
        <v>1.7108922034440379E-8</v>
      </c>
      <c r="F59" s="49">
        <f t="shared" si="44"/>
        <v>1.0702804981871666E-9</v>
      </c>
      <c r="G59" s="49">
        <f t="shared" si="44"/>
        <v>3.4217844068880758E-8</v>
      </c>
      <c r="H59" s="49">
        <f t="shared" si="48"/>
        <v>5.2517600516628592E-3</v>
      </c>
      <c r="I59" s="49">
        <f t="shared" si="45"/>
        <v>2.6757012454679163E-3</v>
      </c>
      <c r="J59" s="49">
        <f t="shared" si="45"/>
        <v>4.2772305086100949E-2</v>
      </c>
      <c r="K59" s="49">
        <f t="shared" si="45"/>
        <v>2.6757012454679163E-3</v>
      </c>
      <c r="L59" s="49">
        <f t="shared" si="45"/>
        <v>8.5544610172201899E-2</v>
      </c>
      <c r="M59" s="59">
        <f t="shared" si="49"/>
        <v>0.13892007780090154</v>
      </c>
    </row>
    <row r="60" spans="1:14" x14ac:dyDescent="0.25">
      <c r="A60" s="53">
        <f t="shared" si="46"/>
        <v>50</v>
      </c>
      <c r="B60" s="48">
        <f t="shared" si="43"/>
        <v>1</v>
      </c>
      <c r="C60" s="49">
        <f t="shared" si="47"/>
        <v>2.2398066793441918E-9</v>
      </c>
      <c r="D60" s="49">
        <f t="shared" si="44"/>
        <v>1.1394248283625381E-9</v>
      </c>
      <c r="E60" s="49">
        <f t="shared" si="44"/>
        <v>1.9009913371600423E-8</v>
      </c>
      <c r="F60" s="49">
        <f t="shared" si="44"/>
        <v>1.1394248283625381E-9</v>
      </c>
      <c r="G60" s="49">
        <f t="shared" si="44"/>
        <v>3.8019826743200846E-8</v>
      </c>
      <c r="H60" s="49">
        <f t="shared" si="48"/>
        <v>5.5995166983604803E-3</v>
      </c>
      <c r="I60" s="49">
        <f t="shared" si="45"/>
        <v>2.8485620709063453E-3</v>
      </c>
      <c r="J60" s="49">
        <f t="shared" si="45"/>
        <v>4.7524783429001058E-2</v>
      </c>
      <c r="K60" s="49">
        <f t="shared" si="45"/>
        <v>2.8485620709063453E-3</v>
      </c>
      <c r="L60" s="49">
        <f t="shared" si="45"/>
        <v>9.5049566858002116E-2</v>
      </c>
      <c r="M60" s="59">
        <f t="shared" si="49"/>
        <v>0.15387099112717634</v>
      </c>
    </row>
    <row r="63" spans="1:14" ht="14.4" thickBot="1" x14ac:dyDescent="0.3"/>
    <row r="64" spans="1:14" ht="42" thickBot="1" x14ac:dyDescent="0.3">
      <c r="A64" s="73" t="s">
        <v>137</v>
      </c>
    </row>
    <row r="65" spans="1:16" ht="14.4" thickBot="1" x14ac:dyDescent="0.3"/>
    <row r="66" spans="1:16" ht="28.2" thickBot="1" x14ac:dyDescent="0.3">
      <c r="A66" s="66" t="s">
        <v>17</v>
      </c>
      <c r="B66" s="65" t="s">
        <v>93</v>
      </c>
      <c r="C66" s="60" t="s">
        <v>138</v>
      </c>
      <c r="D66" s="60" t="s">
        <v>139</v>
      </c>
      <c r="E66" s="60" t="s">
        <v>140</v>
      </c>
      <c r="F66" s="60" t="s">
        <v>141</v>
      </c>
      <c r="G66" s="60" t="s">
        <v>142</v>
      </c>
      <c r="H66" s="60" t="s">
        <v>143</v>
      </c>
      <c r="I66" s="60" t="s">
        <v>144</v>
      </c>
      <c r="J66" s="60" t="s">
        <v>145</v>
      </c>
      <c r="K66" s="60" t="s">
        <v>146</v>
      </c>
      <c r="L66" s="60" t="s">
        <v>147</v>
      </c>
    </row>
    <row r="67" spans="1:16" x14ac:dyDescent="0.25">
      <c r="A67" s="53">
        <f>A51</f>
        <v>5</v>
      </c>
      <c r="B67" s="48">
        <f t="shared" ref="B67:B75" si="50">B23</f>
        <v>1</v>
      </c>
      <c r="C67" s="49">
        <f>$D$2*I11*N11*$B67*S11</f>
        <v>9.3929577361821748E-10</v>
      </c>
      <c r="D67" s="49">
        <f t="shared" ref="D67:G76" si="51">$D$2*J11*O11*$B67*T11</f>
        <v>1.0002702345522302E-9</v>
      </c>
      <c r="E67" s="49">
        <f t="shared" si="51"/>
        <v>4.2738915308516184E-9</v>
      </c>
      <c r="F67" s="49">
        <f t="shared" si="51"/>
        <v>1.0002702345522302E-9</v>
      </c>
      <c r="G67" s="49">
        <f t="shared" si="51"/>
        <v>8.5477830617032369E-9</v>
      </c>
      <c r="H67" s="49">
        <f>C67*I11*$K$2*0.5</f>
        <v>3.7571830944728699E-3</v>
      </c>
      <c r="I67" s="49">
        <f t="shared" ref="I67:L76" si="52">D67*J11*$K$2*0.5</f>
        <v>8.0021618764178418E-3</v>
      </c>
      <c r="J67" s="49">
        <f t="shared" si="52"/>
        <v>1.7095566123406472E-2</v>
      </c>
      <c r="K67" s="49">
        <f t="shared" si="52"/>
        <v>8.0021618764178418E-3</v>
      </c>
      <c r="L67" s="49">
        <f t="shared" si="52"/>
        <v>3.4191132246812944E-2</v>
      </c>
      <c r="M67" s="49">
        <f>SUM(H67:L67)</f>
        <v>7.1048205217527971E-2</v>
      </c>
      <c r="P67" s="59"/>
    </row>
    <row r="68" spans="1:16" x14ac:dyDescent="0.25">
      <c r="A68" s="53">
        <f t="shared" ref="A68:A76" si="53">A52</f>
        <v>10</v>
      </c>
      <c r="B68" s="48">
        <f t="shared" si="50"/>
        <v>1</v>
      </c>
      <c r="C68" s="49">
        <f t="shared" ref="C68:C76" si="54">$D$2*I12*N12*$B68*S12</f>
        <v>1.6633940625393068E-9</v>
      </c>
      <c r="D68" s="49">
        <f t="shared" si="51"/>
        <v>1.7462753692622516E-9</v>
      </c>
      <c r="E68" s="49">
        <f t="shared" si="51"/>
        <v>8.5477830617032369E-9</v>
      </c>
      <c r="F68" s="49">
        <f t="shared" si="51"/>
        <v>1.7462753692622516E-9</v>
      </c>
      <c r="G68" s="49">
        <f t="shared" si="51"/>
        <v>1.7095566123406474E-8</v>
      </c>
      <c r="H68" s="49">
        <f t="shared" ref="H68:H76" si="55">C68*I12*$K$2*0.5</f>
        <v>6.653576250157227E-3</v>
      </c>
      <c r="I68" s="49">
        <f t="shared" si="52"/>
        <v>1.3970202954098013E-2</v>
      </c>
      <c r="J68" s="49">
        <f t="shared" si="52"/>
        <v>3.4191132246812944E-2</v>
      </c>
      <c r="K68" s="49">
        <f t="shared" si="52"/>
        <v>1.3970202954098013E-2</v>
      </c>
      <c r="L68" s="49">
        <f t="shared" si="52"/>
        <v>6.8382264493625888E-2</v>
      </c>
      <c r="M68" s="49">
        <f t="shared" ref="M68:M73" si="56">SUM(H68:L68)</f>
        <v>0.1371673788987921</v>
      </c>
    </row>
    <row r="69" spans="1:16" x14ac:dyDescent="0.25">
      <c r="A69" s="53">
        <f t="shared" si="53"/>
        <v>15</v>
      </c>
      <c r="B69" s="48">
        <f t="shared" si="50"/>
        <v>1</v>
      </c>
      <c r="C69" s="49">
        <f t="shared" si="54"/>
        <v>2.2626776246569553E-9</v>
      </c>
      <c r="D69" s="49">
        <f t="shared" si="51"/>
        <v>2.3541613148664453E-9</v>
      </c>
      <c r="E69" s="49">
        <f t="shared" si="51"/>
        <v>1.2821674592554853E-8</v>
      </c>
      <c r="F69" s="49">
        <f t="shared" si="51"/>
        <v>2.3541613148664453E-9</v>
      </c>
      <c r="G69" s="49">
        <f t="shared" si="51"/>
        <v>2.5643349185109706E-8</v>
      </c>
      <c r="H69" s="49">
        <f t="shared" si="55"/>
        <v>9.0507104986278213E-3</v>
      </c>
      <c r="I69" s="49">
        <f t="shared" si="52"/>
        <v>1.8833290518931563E-2</v>
      </c>
      <c r="J69" s="49">
        <f t="shared" si="52"/>
        <v>5.1286698370219409E-2</v>
      </c>
      <c r="K69" s="49">
        <f t="shared" si="52"/>
        <v>1.8833290518931563E-2</v>
      </c>
      <c r="L69" s="49">
        <f t="shared" si="52"/>
        <v>0.10257339674043882</v>
      </c>
      <c r="M69" s="49">
        <f t="shared" si="56"/>
        <v>0.20057738664714919</v>
      </c>
    </row>
    <row r="70" spans="1:16" x14ac:dyDescent="0.25">
      <c r="A70" s="53">
        <f t="shared" si="53"/>
        <v>20</v>
      </c>
      <c r="B70" s="48">
        <f t="shared" si="50"/>
        <v>1</v>
      </c>
      <c r="C70" s="49">
        <f t="shared" si="54"/>
        <v>2.780089879324262E-9</v>
      </c>
      <c r="D70" s="49">
        <f t="shared" si="51"/>
        <v>2.8746637614611491E-9</v>
      </c>
      <c r="E70" s="49">
        <f t="shared" si="51"/>
        <v>1.7095566123406474E-8</v>
      </c>
      <c r="F70" s="49">
        <f t="shared" si="51"/>
        <v>2.8746637614611491E-9</v>
      </c>
      <c r="G70" s="49">
        <f t="shared" si="51"/>
        <v>3.4191132246812947E-8</v>
      </c>
      <c r="H70" s="49">
        <f t="shared" si="55"/>
        <v>1.1120359517297049E-2</v>
      </c>
      <c r="I70" s="49">
        <f t="shared" si="52"/>
        <v>2.2997310091689191E-2</v>
      </c>
      <c r="J70" s="49">
        <f t="shared" si="52"/>
        <v>6.8382264493625888E-2</v>
      </c>
      <c r="K70" s="49">
        <f t="shared" si="52"/>
        <v>2.2997310091689191E-2</v>
      </c>
      <c r="L70" s="49">
        <f t="shared" si="52"/>
        <v>0.13676452898725178</v>
      </c>
      <c r="M70" s="49">
        <f t="shared" si="56"/>
        <v>0.26226177318155308</v>
      </c>
    </row>
    <row r="71" spans="1:16" x14ac:dyDescent="0.25">
      <c r="A71" s="53">
        <f t="shared" si="53"/>
        <v>25</v>
      </c>
      <c r="B71" s="48">
        <f t="shared" si="50"/>
        <v>1</v>
      </c>
      <c r="C71" s="49">
        <f t="shared" si="54"/>
        <v>3.239390719753184E-9</v>
      </c>
      <c r="D71" s="49">
        <f t="shared" si="51"/>
        <v>3.3345036216569942E-9</v>
      </c>
      <c r="E71" s="49">
        <f t="shared" si="51"/>
        <v>2.136945765425809E-8</v>
      </c>
      <c r="F71" s="49">
        <f t="shared" si="51"/>
        <v>3.3345036216569942E-9</v>
      </c>
      <c r="G71" s="49">
        <f t="shared" si="51"/>
        <v>4.2738915308516179E-8</v>
      </c>
      <c r="H71" s="49">
        <f t="shared" si="55"/>
        <v>1.2957562879012736E-2</v>
      </c>
      <c r="I71" s="49">
        <f t="shared" si="52"/>
        <v>2.6676028973255952E-2</v>
      </c>
      <c r="J71" s="49">
        <f t="shared" si="52"/>
        <v>8.547783061703236E-2</v>
      </c>
      <c r="K71" s="49">
        <f t="shared" si="52"/>
        <v>2.6676028973255952E-2</v>
      </c>
      <c r="L71" s="49">
        <f t="shared" si="52"/>
        <v>0.17095566123406472</v>
      </c>
      <c r="M71" s="49">
        <f t="shared" si="56"/>
        <v>0.3227431126766217</v>
      </c>
    </row>
    <row r="72" spans="1:16" x14ac:dyDescent="0.25">
      <c r="A72" s="53">
        <f t="shared" si="53"/>
        <v>30</v>
      </c>
      <c r="B72" s="48">
        <f t="shared" si="50"/>
        <v>1</v>
      </c>
      <c r="C72" s="49">
        <f t="shared" si="54"/>
        <v>3.6551183376544195E-9</v>
      </c>
      <c r="D72" s="49">
        <f t="shared" si="51"/>
        <v>3.7495157867841602E-9</v>
      </c>
      <c r="E72" s="49">
        <f t="shared" si="51"/>
        <v>2.5643349185109706E-8</v>
      </c>
      <c r="F72" s="49">
        <f t="shared" si="51"/>
        <v>3.7495157867841602E-9</v>
      </c>
      <c r="G72" s="49">
        <f t="shared" si="51"/>
        <v>5.1286698370219411E-8</v>
      </c>
      <c r="H72" s="49">
        <f t="shared" si="55"/>
        <v>1.4620473350617677E-2</v>
      </c>
      <c r="I72" s="49">
        <f t="shared" si="52"/>
        <v>2.9996126294273281E-2</v>
      </c>
      <c r="J72" s="49">
        <f t="shared" si="52"/>
        <v>0.10257339674043882</v>
      </c>
      <c r="K72" s="49">
        <f t="shared" si="52"/>
        <v>2.9996126294273281E-2</v>
      </c>
      <c r="L72" s="49">
        <f t="shared" si="52"/>
        <v>0.20514679348087764</v>
      </c>
      <c r="M72" s="49">
        <f t="shared" si="56"/>
        <v>0.38233291616048071</v>
      </c>
    </row>
    <row r="73" spans="1:16" x14ac:dyDescent="0.25">
      <c r="A73" s="53">
        <f t="shared" si="53"/>
        <v>35</v>
      </c>
      <c r="B73" s="48">
        <f t="shared" si="50"/>
        <v>1</v>
      </c>
      <c r="C73" s="49">
        <f t="shared" si="54"/>
        <v>4.0368301725894187E-9</v>
      </c>
      <c r="D73" s="49">
        <f t="shared" si="51"/>
        <v>4.1298822471729482E-9</v>
      </c>
      <c r="E73" s="49">
        <f t="shared" si="51"/>
        <v>2.9917240715961328E-8</v>
      </c>
      <c r="F73" s="49">
        <f t="shared" si="51"/>
        <v>4.1298822471729482E-9</v>
      </c>
      <c r="G73" s="49">
        <f t="shared" si="51"/>
        <v>5.9834481431922656E-8</v>
      </c>
      <c r="H73" s="49">
        <f t="shared" si="55"/>
        <v>1.6147320690357674E-2</v>
      </c>
      <c r="I73" s="49">
        <f t="shared" si="52"/>
        <v>3.3039057977383587E-2</v>
      </c>
      <c r="J73" s="49">
        <f t="shared" si="52"/>
        <v>0.11966896286384532</v>
      </c>
      <c r="K73" s="49">
        <f t="shared" si="52"/>
        <v>3.3039057977383587E-2</v>
      </c>
      <c r="L73" s="49">
        <f t="shared" si="52"/>
        <v>0.23933792572769064</v>
      </c>
      <c r="M73" s="49">
        <f t="shared" si="56"/>
        <v>0.44123232523666078</v>
      </c>
    </row>
    <row r="74" spans="1:16" x14ac:dyDescent="0.25">
      <c r="A74" s="53">
        <f t="shared" si="53"/>
        <v>40</v>
      </c>
      <c r="B74" s="48">
        <f t="shared" si="50"/>
        <v>1</v>
      </c>
      <c r="C74" s="49">
        <f t="shared" si="54"/>
        <v>4.3911566657558804E-9</v>
      </c>
      <c r="D74" s="49">
        <f t="shared" si="51"/>
        <v>4.4825547083451397E-9</v>
      </c>
      <c r="E74" s="49">
        <f t="shared" si="51"/>
        <v>3.4191132246812947E-8</v>
      </c>
      <c r="F74" s="49">
        <f t="shared" si="51"/>
        <v>4.4825547083451397E-9</v>
      </c>
      <c r="G74" s="49">
        <f t="shared" si="51"/>
        <v>6.8382264493625895E-8</v>
      </c>
      <c r="H74" s="49">
        <f t="shared" si="55"/>
        <v>1.7564626663023521E-2</v>
      </c>
      <c r="I74" s="49">
        <f t="shared" si="52"/>
        <v>3.586043766676112E-2</v>
      </c>
      <c r="J74" s="49">
        <f t="shared" si="52"/>
        <v>0.13676452898725178</v>
      </c>
      <c r="K74" s="49">
        <f t="shared" si="52"/>
        <v>3.586043766676112E-2</v>
      </c>
      <c r="L74" s="49">
        <f t="shared" si="52"/>
        <v>0.27352905797450355</v>
      </c>
      <c r="M74" s="49">
        <f>SUM(H74:L74)</f>
        <v>0.49957908895830105</v>
      </c>
    </row>
    <row r="75" spans="1:16" x14ac:dyDescent="0.25">
      <c r="A75" s="53">
        <f t="shared" si="53"/>
        <v>45</v>
      </c>
      <c r="B75" s="48">
        <f t="shared" si="50"/>
        <v>1</v>
      </c>
      <c r="C75" s="49">
        <f t="shared" si="54"/>
        <v>4.7228942853361562E-9</v>
      </c>
      <c r="D75" s="49">
        <f t="shared" si="51"/>
        <v>4.8125024742842154E-9</v>
      </c>
      <c r="E75" s="49">
        <f t="shared" si="51"/>
        <v>3.846502377766456E-8</v>
      </c>
      <c r="F75" s="49">
        <f t="shared" si="51"/>
        <v>4.8125024742842154E-9</v>
      </c>
      <c r="G75" s="49">
        <f t="shared" si="51"/>
        <v>7.693004755532912E-8</v>
      </c>
      <c r="H75" s="49">
        <f t="shared" si="55"/>
        <v>1.8891577141344627E-2</v>
      </c>
      <c r="I75" s="49">
        <f t="shared" si="52"/>
        <v>3.8500019794273727E-2</v>
      </c>
      <c r="J75" s="49">
        <f t="shared" si="52"/>
        <v>0.15386009511065823</v>
      </c>
      <c r="K75" s="49">
        <f t="shared" si="52"/>
        <v>3.8500019794273727E-2</v>
      </c>
      <c r="L75" s="49">
        <f t="shared" si="52"/>
        <v>0.30772019022131647</v>
      </c>
      <c r="M75" s="49">
        <f>SUM(H75:L75)</f>
        <v>0.55747190206186681</v>
      </c>
    </row>
    <row r="76" spans="1:16" x14ac:dyDescent="0.25">
      <c r="A76" s="53">
        <f t="shared" si="53"/>
        <v>50</v>
      </c>
      <c r="B76" s="48">
        <v>1</v>
      </c>
      <c r="C76" s="49">
        <f t="shared" si="54"/>
        <v>5.0356309418511115E-9</v>
      </c>
      <c r="D76" s="49">
        <f t="shared" si="51"/>
        <v>5.1234090642999381E-9</v>
      </c>
      <c r="E76" s="49">
        <f t="shared" si="51"/>
        <v>4.2738915308516179E-8</v>
      </c>
      <c r="F76" s="49">
        <f t="shared" si="51"/>
        <v>5.1234090642999381E-9</v>
      </c>
      <c r="G76" s="49">
        <f t="shared" si="51"/>
        <v>8.5477830617032359E-8</v>
      </c>
      <c r="H76" s="49">
        <f t="shared" si="55"/>
        <v>2.0142523767404445E-2</v>
      </c>
      <c r="I76" s="49">
        <f t="shared" si="52"/>
        <v>4.0987272514399507E-2</v>
      </c>
      <c r="J76" s="49">
        <f t="shared" si="52"/>
        <v>0.17095566123406472</v>
      </c>
      <c r="K76" s="49">
        <f t="shared" si="52"/>
        <v>4.0987272514399507E-2</v>
      </c>
      <c r="L76" s="49">
        <f>G76*M20*$K$2*0.5</f>
        <v>0.34191132246812944</v>
      </c>
      <c r="M76" s="49">
        <f>SUM(H76:L76)</f>
        <v>0.6149840524983976</v>
      </c>
    </row>
    <row r="77" spans="1:16" ht="14.4" thickBot="1" x14ac:dyDescent="0.3"/>
    <row r="78" spans="1:16" ht="28.2" thickBot="1" x14ac:dyDescent="0.3">
      <c r="A78" s="66" t="s">
        <v>17</v>
      </c>
      <c r="B78" s="65" t="s">
        <v>93</v>
      </c>
      <c r="C78" s="60" t="s">
        <v>153</v>
      </c>
      <c r="D78" s="60" t="s">
        <v>154</v>
      </c>
      <c r="E78" s="55" t="s">
        <v>155</v>
      </c>
      <c r="F78" s="57" t="s">
        <v>160</v>
      </c>
      <c r="G78" s="57" t="s">
        <v>159</v>
      </c>
    </row>
    <row r="79" spans="1:16" x14ac:dyDescent="0.25">
      <c r="A79" s="48">
        <f>A67</f>
        <v>5</v>
      </c>
      <c r="B79" s="48">
        <f t="shared" ref="B79:B87" si="57">B23</f>
        <v>1</v>
      </c>
      <c r="C79" s="49">
        <f t="shared" ref="C79:C88" si="58">M23</f>
        <v>9.7065107529550873E-2</v>
      </c>
      <c r="D79" s="49">
        <f>SUM(M37,M51,M67)</f>
        <v>9.7065107529550887E-2</v>
      </c>
      <c r="E79" s="49">
        <f>SUM(M23,M37,M51,M67)</f>
        <v>0.19413021505910175</v>
      </c>
      <c r="F79" s="50">
        <f>((E79)/(A79*$M$2+E79))*100</f>
        <v>3.7374922657169622</v>
      </c>
      <c r="G79" s="50">
        <f>SUM(N11*S11+O11*T11+P11*U11+Q11*V11+R11*W11)/0.000001</f>
        <v>6.1505169169688756</v>
      </c>
      <c r="H79" s="59">
        <f>A79/G79</f>
        <v>0.81293980123936016</v>
      </c>
      <c r="I79" s="72">
        <f>G79*(1000/A79)</f>
        <v>1230.1033833937752</v>
      </c>
      <c r="J79" s="59"/>
    </row>
    <row r="80" spans="1:16" x14ac:dyDescent="0.25">
      <c r="A80" s="48">
        <f t="shared" ref="A80:A88" si="59">A68</f>
        <v>10</v>
      </c>
      <c r="B80" s="48">
        <f t="shared" si="57"/>
        <v>1</v>
      </c>
      <c r="C80" s="49">
        <f t="shared" si="58"/>
        <v>0.20309424226787232</v>
      </c>
      <c r="D80" s="49">
        <f t="shared" ref="D80:D88" si="60">SUM(M38,M52,M68)</f>
        <v>0.20309424226787237</v>
      </c>
      <c r="E80" s="49">
        <f t="shared" ref="E80:E88" si="61">SUM(M24,M38,M52,M68)</f>
        <v>0.40618848453574469</v>
      </c>
      <c r="F80" s="50">
        <f t="shared" ref="F80:F88" si="62">((E80)/(A80*$M$2+E80))*100</f>
        <v>3.9033358384711803</v>
      </c>
      <c r="G80" s="50">
        <f t="shared" ref="G80:G88" si="63">SUM(N12*S12+O12*T12+P12*U12+Q12*V12+R12*W12)/0.000001</f>
        <v>12.105424423713027</v>
      </c>
      <c r="H80" s="59">
        <f t="shared" ref="H80:H88" si="64">A80/G80</f>
        <v>0.8260759515718622</v>
      </c>
      <c r="I80" s="72">
        <f t="shared" ref="I80:I88" si="65">G80*(1000/A80)</f>
        <v>1210.5424423713027</v>
      </c>
      <c r="J80" s="59"/>
    </row>
    <row r="81" spans="1:10" x14ac:dyDescent="0.25">
      <c r="A81" s="48">
        <f t="shared" si="59"/>
        <v>15</v>
      </c>
      <c r="B81" s="48">
        <f t="shared" si="57"/>
        <v>1</v>
      </c>
      <c r="C81" s="49">
        <f t="shared" si="58"/>
        <v>0.31658752986850791</v>
      </c>
      <c r="D81" s="49">
        <f t="shared" si="60"/>
        <v>0.31658752986850797</v>
      </c>
      <c r="E81" s="49">
        <f>SUM(M25,M39,M53,M69)</f>
        <v>0.63317505973701582</v>
      </c>
      <c r="F81" s="50">
        <f t="shared" si="62"/>
        <v>4.0502013015113461</v>
      </c>
      <c r="G81" s="50">
        <f t="shared" si="63"/>
        <v>17.95077613216165</v>
      </c>
      <c r="H81" s="59">
        <f t="shared" si="64"/>
        <v>0.83561846516068639</v>
      </c>
      <c r="I81" s="72">
        <f t="shared" si="65"/>
        <v>1196.7184088107767</v>
      </c>
      <c r="J81" s="59"/>
    </row>
    <row r="82" spans="1:10" x14ac:dyDescent="0.25">
      <c r="A82" s="48">
        <f t="shared" si="59"/>
        <v>20</v>
      </c>
      <c r="B82" s="48">
        <f t="shared" si="57"/>
        <v>1</v>
      </c>
      <c r="C82" s="49">
        <f t="shared" si="58"/>
        <v>0.4365950245352942</v>
      </c>
      <c r="D82" s="49">
        <f t="shared" si="60"/>
        <v>0.4365950245352942</v>
      </c>
      <c r="E82" s="49">
        <f t="shared" si="61"/>
        <v>0.87319004907058839</v>
      </c>
      <c r="F82" s="50">
        <f t="shared" si="62"/>
        <v>4.1833090534691353</v>
      </c>
      <c r="G82" s="50">
        <f t="shared" si="63"/>
        <v>23.725605004585343</v>
      </c>
      <c r="H82" s="59">
        <f t="shared" si="64"/>
        <v>0.84297112744373381</v>
      </c>
      <c r="I82" s="72">
        <f t="shared" si="65"/>
        <v>1186.2802502292673</v>
      </c>
      <c r="J82" s="59"/>
    </row>
    <row r="83" spans="1:10" x14ac:dyDescent="0.25">
      <c r="A83" s="48">
        <f t="shared" si="59"/>
        <v>25</v>
      </c>
      <c r="B83" s="48">
        <f t="shared" si="57"/>
        <v>1</v>
      </c>
      <c r="C83" s="49">
        <f t="shared" si="58"/>
        <v>0.56244951287665135</v>
      </c>
      <c r="D83" s="49">
        <f t="shared" si="60"/>
        <v>0.56244951287665135</v>
      </c>
      <c r="E83" s="49">
        <f t="shared" si="61"/>
        <v>1.1248990257533027</v>
      </c>
      <c r="F83" s="50">
        <f t="shared" si="62"/>
        <v>4.3058502336962308</v>
      </c>
      <c r="G83" s="50">
        <f t="shared" si="63"/>
        <v>29.45094471007685</v>
      </c>
      <c r="H83" s="59">
        <f t="shared" si="64"/>
        <v>0.84886920423459533</v>
      </c>
      <c r="I83" s="72">
        <f t="shared" si="65"/>
        <v>1178.037788403074</v>
      </c>
      <c r="J83" s="59"/>
    </row>
    <row r="84" spans="1:10" x14ac:dyDescent="0.25">
      <c r="A84" s="48">
        <f t="shared" si="59"/>
        <v>30</v>
      </c>
      <c r="B84" s="48">
        <f t="shared" si="57"/>
        <v>1</v>
      </c>
      <c r="C84" s="49">
        <f t="shared" si="58"/>
        <v>0.69365072542457129</v>
      </c>
      <c r="D84" s="49">
        <f t="shared" si="60"/>
        <v>0.6936507254245714</v>
      </c>
      <c r="E84" s="49">
        <f t="shared" si="61"/>
        <v>1.3873014508491426</v>
      </c>
      <c r="F84" s="50">
        <f t="shared" si="62"/>
        <v>4.4199449673033646</v>
      </c>
      <c r="G84" s="50">
        <f t="shared" si="63"/>
        <v>35.139450699903207</v>
      </c>
      <c r="H84" s="59">
        <f t="shared" si="64"/>
        <v>0.85374129084159633</v>
      </c>
      <c r="I84" s="72">
        <f t="shared" si="65"/>
        <v>1171.3150233301069</v>
      </c>
      <c r="J84" s="59"/>
    </row>
    <row r="85" spans="1:10" x14ac:dyDescent="0.25">
      <c r="A85" s="48">
        <f t="shared" si="59"/>
        <v>35</v>
      </c>
      <c r="B85" s="48">
        <f t="shared" si="57"/>
        <v>1</v>
      </c>
      <c r="C85" s="49">
        <f t="shared" si="58"/>
        <v>0.82980626643018685</v>
      </c>
      <c r="D85" s="49">
        <f t="shared" si="60"/>
        <v>0.82980626643018707</v>
      </c>
      <c r="E85" s="49">
        <f t="shared" si="61"/>
        <v>1.6596125328603737</v>
      </c>
      <c r="F85" s="50">
        <f t="shared" si="62"/>
        <v>4.5270869444480795</v>
      </c>
      <c r="G85" s="50">
        <f t="shared" si="63"/>
        <v>40.799347736519309</v>
      </c>
      <c r="H85" s="59">
        <f t="shared" si="64"/>
        <v>0.85785685168372583</v>
      </c>
      <c r="I85" s="72">
        <f t="shared" si="65"/>
        <v>1165.6956496148375</v>
      </c>
      <c r="J85" s="59"/>
    </row>
    <row r="86" spans="1:10" x14ac:dyDescent="0.25">
      <c r="A86" s="48">
        <f t="shared" si="59"/>
        <v>40</v>
      </c>
      <c r="B86" s="48">
        <f t="shared" si="57"/>
        <v>1</v>
      </c>
      <c r="C86" s="49">
        <f t="shared" si="58"/>
        <v>0.97059802906422743</v>
      </c>
      <c r="D86" s="49">
        <f t="shared" si="60"/>
        <v>0.97059802906422743</v>
      </c>
      <c r="E86" s="49">
        <f t="shared" si="61"/>
        <v>1.9411960581284546</v>
      </c>
      <c r="F86" s="50">
        <f t="shared" si="62"/>
        <v>4.6283755366395649</v>
      </c>
      <c r="G86" s="50">
        <f t="shared" si="63"/>
        <v>46.436295047724933</v>
      </c>
      <c r="H86" s="59">
        <f t="shared" si="64"/>
        <v>0.86139516425438278</v>
      </c>
      <c r="I86" s="72">
        <f t="shared" si="65"/>
        <v>1160.9073761931234</v>
      </c>
      <c r="J86" s="59"/>
    </row>
    <row r="87" spans="1:10" x14ac:dyDescent="0.25">
      <c r="A87" s="48">
        <f t="shared" si="59"/>
        <v>45</v>
      </c>
      <c r="B87" s="48">
        <f t="shared" si="57"/>
        <v>1</v>
      </c>
      <c r="C87" s="49">
        <f t="shared" si="58"/>
        <v>1.1157615550772031</v>
      </c>
      <c r="D87" s="49">
        <f t="shared" si="60"/>
        <v>1.1157615550772033</v>
      </c>
      <c r="E87" s="49">
        <f t="shared" si="61"/>
        <v>2.2315231101544066</v>
      </c>
      <c r="F87" s="50">
        <f t="shared" si="62"/>
        <v>4.724647784383321</v>
      </c>
      <c r="G87" s="50">
        <f t="shared" si="63"/>
        <v>52.05436170525585</v>
      </c>
      <c r="H87" s="59">
        <f t="shared" si="64"/>
        <v>0.86448087203144819</v>
      </c>
      <c r="I87" s="72">
        <f t="shared" si="65"/>
        <v>1156.76359345013</v>
      </c>
      <c r="J87" s="59"/>
    </row>
    <row r="88" spans="1:10" x14ac:dyDescent="0.25">
      <c r="A88" s="48">
        <f t="shared" si="59"/>
        <v>50</v>
      </c>
      <c r="B88" s="48">
        <v>1</v>
      </c>
      <c r="C88" s="49">
        <f t="shared" si="58"/>
        <v>1.2650725815272579</v>
      </c>
      <c r="D88" s="49">
        <f t="shared" si="60"/>
        <v>1.2650725815272579</v>
      </c>
      <c r="E88" s="49">
        <f t="shared" si="61"/>
        <v>2.5301451630545158</v>
      </c>
      <c r="F88" s="50">
        <f t="shared" si="62"/>
        <v>4.8165584831355401</v>
      </c>
      <c r="G88" s="50">
        <f t="shared" si="63"/>
        <v>57.656577471541496</v>
      </c>
      <c r="H88" s="59">
        <f t="shared" si="64"/>
        <v>0.86720374660947086</v>
      </c>
      <c r="I88" s="72">
        <f t="shared" si="65"/>
        <v>1153.1315494308299</v>
      </c>
      <c r="J88" s="5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12C-EA78-420B-8701-C9898462A1A3}">
  <dimension ref="A1:AJ124"/>
  <sheetViews>
    <sheetView zoomScale="79" workbookViewId="0">
      <selection activeCell="I114" sqref="I114"/>
    </sheetView>
  </sheetViews>
  <sheetFormatPr defaultRowHeight="13.8" x14ac:dyDescent="0.25"/>
  <cols>
    <col min="1" max="1" width="13.21875" style="53" customWidth="1"/>
    <col min="2" max="2" width="13" style="53" customWidth="1"/>
    <col min="3" max="3" width="12.109375" style="53" customWidth="1"/>
    <col min="4" max="4" width="10.5546875" style="53" customWidth="1"/>
    <col min="5" max="5" width="10.77734375" style="53" customWidth="1"/>
    <col min="6" max="6" width="9.33203125" style="53" customWidth="1"/>
    <col min="7" max="11" width="10.77734375" style="53" customWidth="1"/>
    <col min="12" max="12" width="10.6640625" style="53" customWidth="1"/>
    <col min="13" max="13" width="10.88671875" style="53" customWidth="1"/>
    <col min="14" max="14" width="12.6640625" style="53" bestFit="1" customWidth="1"/>
    <col min="15" max="15" width="14.6640625" style="53" bestFit="1" customWidth="1"/>
    <col min="16" max="16" width="10.21875" style="53" customWidth="1"/>
    <col min="17" max="17" width="13.44140625" style="53" bestFit="1" customWidth="1"/>
    <col min="18" max="19" width="12.6640625" style="53" customWidth="1"/>
    <col min="20" max="20" width="12.5546875" style="53" bestFit="1" customWidth="1"/>
    <col min="21" max="21" width="12.6640625" style="53" bestFit="1" customWidth="1"/>
    <col min="22" max="22" width="11.21875" style="53" customWidth="1"/>
    <col min="23" max="23" width="9.6640625" style="53" bestFit="1" customWidth="1"/>
    <col min="24" max="24" width="11.88671875" style="53" bestFit="1" customWidth="1"/>
    <col min="25" max="25" width="10.33203125" style="53" customWidth="1"/>
    <col min="26" max="26" width="9.77734375" style="53" customWidth="1"/>
    <col min="27" max="27" width="9.6640625" style="53" bestFit="1" customWidth="1"/>
    <col min="28" max="28" width="10.21875" style="53" customWidth="1"/>
    <col min="29" max="29" width="9.33203125" style="53" bestFit="1" customWidth="1"/>
    <col min="30" max="30" width="39.5546875" style="53" customWidth="1"/>
    <col min="31" max="31" width="9.33203125" style="53" bestFit="1" customWidth="1"/>
    <col min="32" max="32" width="9.6640625" style="53" bestFit="1" customWidth="1"/>
    <col min="33" max="34" width="9.33203125" style="53" bestFit="1" customWidth="1"/>
    <col min="35" max="35" width="9.6640625" style="53" bestFit="1" customWidth="1"/>
    <col min="36" max="36" width="10.44140625" style="53" bestFit="1" customWidth="1"/>
    <col min="37" max="38" width="9.6640625" style="53" bestFit="1" customWidth="1"/>
    <col min="39" max="39" width="10.109375" style="53" customWidth="1"/>
    <col min="40" max="41" width="9.44140625" style="53" bestFit="1" customWidth="1"/>
    <col min="42" max="42" width="12.109375" style="53" bestFit="1" customWidth="1"/>
    <col min="43" max="43" width="9.44140625" style="53" bestFit="1" customWidth="1"/>
    <col min="44" max="44" width="12.44140625" style="53" bestFit="1" customWidth="1"/>
    <col min="45" max="45" width="10.77734375" style="53" customWidth="1"/>
    <col min="46" max="16384" width="8.88671875" style="53"/>
  </cols>
  <sheetData>
    <row r="1" spans="1:36" s="57" customFormat="1" ht="61.2" customHeight="1" thickBot="1" x14ac:dyDescent="0.35">
      <c r="A1" s="60" t="str">
        <f>Sheet1!A1</f>
        <v>Output Current (A)</v>
      </c>
      <c r="B1" s="60" t="str">
        <f>Sheet1!B1</f>
        <v>Technology</v>
      </c>
      <c r="C1" s="60" t="str">
        <f>Sheet1!C1</f>
        <v>Cgs0</v>
      </c>
      <c r="D1" s="60" t="str">
        <f>Sheet1!D1</f>
        <v>Coss0</v>
      </c>
      <c r="E1" s="60" t="str">
        <f>Sheet1!E1</f>
        <v>u</v>
      </c>
      <c r="F1" s="60" t="str">
        <f>Sheet1!F1</f>
        <v>Vg</v>
      </c>
      <c r="G1" s="60" t="str">
        <f>Sheet1!G1</f>
        <v>Vth</v>
      </c>
      <c r="H1" s="60" t="str">
        <f>Sheet1!H1</f>
        <v>Vpl</v>
      </c>
      <c r="I1" s="60" t="str">
        <f>Sheet1!I1</f>
        <v>Rg</v>
      </c>
      <c r="J1" s="60" t="str">
        <f>Sheet1!J1</f>
        <v>Rdr</v>
      </c>
      <c r="K1" s="60" t="s">
        <v>176</v>
      </c>
      <c r="L1" s="75" t="s">
        <v>177</v>
      </c>
      <c r="M1" s="60" t="str">
        <f>Sheet1!K1</f>
        <v>Fsw</v>
      </c>
      <c r="N1" s="60" t="str">
        <f>Sheet1!L1</f>
        <v>Vin</v>
      </c>
      <c r="O1" s="60" t="str">
        <f>Sheet1!M1</f>
        <v>Vout</v>
      </c>
      <c r="P1" s="60" t="str">
        <f>Sheet1!N1</f>
        <v>D</v>
      </c>
      <c r="Q1" s="60" t="str">
        <f>Sheet1!O1</f>
        <v>Tox</v>
      </c>
      <c r="R1" s="60" t="str">
        <f>Sheet1!P1</f>
        <v>Cox</v>
      </c>
      <c r="S1" s="60" t="str">
        <f>Sheet1!Q1</f>
        <v>Kp</v>
      </c>
      <c r="T1" s="60" t="s">
        <v>48</v>
      </c>
      <c r="U1" s="60" t="s">
        <v>166</v>
      </c>
      <c r="V1" s="60" t="s">
        <v>167</v>
      </c>
      <c r="AD1" s="63"/>
      <c r="AJ1" s="64"/>
    </row>
    <row r="2" spans="1:36" ht="27.6" x14ac:dyDescent="0.25">
      <c r="A2" s="48">
        <v>10</v>
      </c>
      <c r="B2" s="57" t="str">
        <f>Sheet1!B2</f>
        <v>130nm-12V_LDMOS</v>
      </c>
      <c r="C2" s="49">
        <f>Sheet1!C2</f>
        <v>2.1349999999999999E-4</v>
      </c>
      <c r="D2" s="49">
        <f>Sheet1!D2</f>
        <v>1.5000000000000001E-4</v>
      </c>
      <c r="E2" s="49"/>
      <c r="F2" s="48">
        <v>5</v>
      </c>
      <c r="G2" s="48">
        <f>Sheet1!G2</f>
        <v>2.13</v>
      </c>
      <c r="H2" s="48">
        <f>Sheet1!H2</f>
        <v>2.5</v>
      </c>
      <c r="I2" s="48">
        <f>Sheet1!I2</f>
        <v>0.4</v>
      </c>
      <c r="J2" s="48">
        <f>Sheet1!J2</f>
        <v>0.7</v>
      </c>
      <c r="K2" s="63">
        <v>2.4999999999999999E-7</v>
      </c>
      <c r="L2" s="49">
        <v>2.4999999999999999E-7</v>
      </c>
      <c r="M2" s="49">
        <f>(((N2/3)-2*O2)*P2)/(0.1*A2*K2)</f>
        <v>3500000</v>
      </c>
      <c r="N2" s="48">
        <v>48</v>
      </c>
      <c r="O2" s="48">
        <f>Sheet1!M2</f>
        <v>1</v>
      </c>
      <c r="P2" s="48">
        <f>(O2/N2)*3</f>
        <v>6.25E-2</v>
      </c>
      <c r="Q2" s="48"/>
      <c r="R2" s="49"/>
      <c r="S2" s="49">
        <f>Sheet1!Q2</f>
        <v>67.400000000000006</v>
      </c>
      <c r="T2" s="50">
        <f>(F2-0.5*(G2+H2))/(I2+J2)</f>
        <v>2.4409090909090909</v>
      </c>
      <c r="U2" s="49">
        <v>2.0000000000000001E-9</v>
      </c>
      <c r="V2" s="49">
        <v>2.0000000000000001E-9</v>
      </c>
    </row>
    <row r="3" spans="1:36" x14ac:dyDescent="0.25">
      <c r="A3" s="48"/>
      <c r="B3" s="48"/>
      <c r="C3" s="49"/>
      <c r="D3" s="49"/>
      <c r="E3" s="49"/>
      <c r="F3" s="48"/>
      <c r="G3" s="50"/>
      <c r="H3" s="50"/>
      <c r="I3" s="50"/>
      <c r="J3" s="50"/>
      <c r="K3" s="49"/>
      <c r="L3" s="48"/>
      <c r="M3" s="48"/>
      <c r="N3" s="52"/>
      <c r="O3" s="50"/>
    </row>
    <row r="4" spans="1:36" x14ac:dyDescent="0.25">
      <c r="A4" s="54"/>
    </row>
    <row r="5" spans="1:36" x14ac:dyDescent="0.25">
      <c r="A5" s="54"/>
    </row>
    <row r="6" spans="1:36" x14ac:dyDescent="0.25">
      <c r="A6" s="54"/>
    </row>
    <row r="7" spans="1:36" x14ac:dyDescent="0.25">
      <c r="A7" s="54"/>
    </row>
    <row r="8" spans="1:36" x14ac:dyDescent="0.25">
      <c r="A8" s="54"/>
    </row>
    <row r="9" spans="1:36" ht="14.4" thickBot="1" x14ac:dyDescent="0.3">
      <c r="P9" s="59"/>
      <c r="AD9" s="77" t="s">
        <v>109</v>
      </c>
      <c r="AE9" s="78" t="s">
        <v>157</v>
      </c>
      <c r="AF9" s="78" t="s">
        <v>158</v>
      </c>
    </row>
    <row r="10" spans="1:36" ht="28.2" thickBot="1" x14ac:dyDescent="0.3">
      <c r="A10" s="55" t="s">
        <v>17</v>
      </c>
      <c r="B10" s="62" t="s">
        <v>53</v>
      </c>
      <c r="C10" s="62" t="s">
        <v>54</v>
      </c>
      <c r="D10" s="60" t="s">
        <v>55</v>
      </c>
      <c r="E10" s="60" t="s">
        <v>56</v>
      </c>
      <c r="F10" s="60" t="s">
        <v>57</v>
      </c>
      <c r="G10" s="60" t="s">
        <v>58</v>
      </c>
      <c r="H10" s="60" t="s">
        <v>59</v>
      </c>
      <c r="I10" s="60" t="s">
        <v>60</v>
      </c>
      <c r="J10" s="60" t="s">
        <v>61</v>
      </c>
      <c r="K10" s="60" t="s">
        <v>62</v>
      </c>
      <c r="L10" s="60" t="s">
        <v>63</v>
      </c>
      <c r="M10" s="71" t="s">
        <v>64</v>
      </c>
      <c r="N10" s="71" t="s">
        <v>69</v>
      </c>
      <c r="O10" s="74" t="s">
        <v>70</v>
      </c>
      <c r="P10" s="74" t="s">
        <v>71</v>
      </c>
      <c r="Q10" s="74" t="s">
        <v>72</v>
      </c>
      <c r="R10" s="75" t="s">
        <v>73</v>
      </c>
      <c r="S10" s="74" t="s">
        <v>74</v>
      </c>
      <c r="T10" s="74" t="s">
        <v>75</v>
      </c>
      <c r="U10" s="74" t="s">
        <v>77</v>
      </c>
      <c r="V10" s="74" t="s">
        <v>76</v>
      </c>
      <c r="W10" s="74" t="s">
        <v>78</v>
      </c>
      <c r="X10" s="71" t="s">
        <v>148</v>
      </c>
      <c r="Y10" s="74" t="s">
        <v>149</v>
      </c>
      <c r="Z10" s="74" t="s">
        <v>150</v>
      </c>
      <c r="AA10" s="74" t="s">
        <v>151</v>
      </c>
      <c r="AB10" s="75" t="s">
        <v>152</v>
      </c>
      <c r="AD10" s="78" t="s">
        <v>67</v>
      </c>
      <c r="AE10" s="79"/>
      <c r="AF10" s="79"/>
    </row>
    <row r="11" spans="1:36" x14ac:dyDescent="0.25">
      <c r="A11" s="48">
        <f>A2</f>
        <v>10</v>
      </c>
      <c r="B11" s="50">
        <f>A11/3</f>
        <v>3.3333333333333335</v>
      </c>
      <c r="C11" s="50">
        <f>(2*A11)/3</f>
        <v>6.666666666666667</v>
      </c>
      <c r="D11" s="50">
        <f t="shared" ref="D11:D22" si="0">SQRT($P$2)*(C11/2)</f>
        <v>0.83333333333333337</v>
      </c>
      <c r="E11" s="50">
        <f t="shared" ref="E11:E22" si="1">SQRT($P$2)*(B11)</f>
        <v>0.83333333333333337</v>
      </c>
      <c r="F11" s="50">
        <f t="shared" ref="F11:F22" si="2">SQRT(1-$P$2)*B11</f>
        <v>3.2274861218395143</v>
      </c>
      <c r="G11" s="50">
        <f t="shared" ref="G11:G22" si="3">SQRT($P$2)*(C11/2)</f>
        <v>0.83333333333333337</v>
      </c>
      <c r="H11" s="50">
        <f t="shared" ref="H11:H22" si="4">SQRT(1-$P$2)*C11</f>
        <v>6.4549722436790287</v>
      </c>
      <c r="I11" s="48">
        <f t="shared" ref="I11:I22" si="5">$N$2/3</f>
        <v>16</v>
      </c>
      <c r="J11" s="48">
        <f t="shared" ref="J11:J22" si="6">(2*$N$2)/3</f>
        <v>32</v>
      </c>
      <c r="K11" s="48">
        <f t="shared" ref="K11:K22" si="7">$N$2/3</f>
        <v>16</v>
      </c>
      <c r="L11" s="48">
        <f t="shared" ref="L11:L22" si="8">(2*$N$2)/3</f>
        <v>32</v>
      </c>
      <c r="M11" s="48">
        <f t="shared" ref="M11:M22" si="9">$N$2/3</f>
        <v>16</v>
      </c>
      <c r="N11" s="49">
        <f>(D11/(I11))*SQRT(1/($M$2*($F$2-$G$2)*$S$2*((D11/$T$2)*$C$2+($D$2/(2))+(($F$2^2)/(I11^2))*$C$2)))</f>
        <v>1.540940833956732E-4</v>
      </c>
      <c r="O11" s="49">
        <f>(E11/(J11))*SQRT(1/($M$2*($F$2-$G$2)*$S$2*((E11/$T$2)*$C$2+($D$2/(2))+(($F$2^2)/(J11^2))*$C$2)))</f>
        <v>8.0886035499044186E-5</v>
      </c>
      <c r="P11" s="49">
        <f>(F11/(K11))*SQRT((1)/($M$2*($F$2-$G$2)*$S$2*(($D$2/(2))+(($F$2^2)/(K11^2))*$C$2)))</f>
        <v>7.9185252948869183E-4</v>
      </c>
      <c r="Q11" s="49">
        <f>(G11/(L11))*SQRT(1/($M$2*($F$2-$G$2)*$S$2*((G11/$T$2)*$C$2+($D$2/(2))+(($F$2^2)/(L11^2))*$C$2)))</f>
        <v>8.0886035499044186E-5</v>
      </c>
      <c r="R11" s="49">
        <f>(H11/(M11))*SQRT((1)/($M$2*($F$2-$G$2)*$S$2*(($D$2/(2))+(($F$2^2)/(M11^2))*$C$2)))</f>
        <v>1.5837050589773837E-3</v>
      </c>
      <c r="S11" s="49">
        <v>1.6999999999999999E-3</v>
      </c>
      <c r="T11" s="49">
        <v>1.6999999999999999E-3</v>
      </c>
      <c r="U11" s="49">
        <v>1.6999999999999999E-3</v>
      </c>
      <c r="V11" s="49">
        <v>1.6999999999999999E-3</v>
      </c>
      <c r="W11" s="49">
        <v>1.6999999999999999E-3</v>
      </c>
      <c r="X11" s="59">
        <f>(2*D11*S11)/($S$2*($F$2-$G$2)^2)</f>
        <v>5.1035688848926532E-6</v>
      </c>
      <c r="Y11" s="59">
        <f>(2*E11*T11)/($S$2*($F$2-$G$2)^2)</f>
        <v>5.1035688848926532E-6</v>
      </c>
      <c r="Z11" s="59">
        <f>(2*F11*U11)/($S$2*($F$2-$G$2)^2)</f>
        <v>1.9766037297411602E-5</v>
      </c>
      <c r="AA11" s="59">
        <f>(2*G11*V11)/($S$2*($F$2-$G$2)^2)</f>
        <v>5.1035688848926532E-6</v>
      </c>
      <c r="AB11" s="59">
        <f>(2*H11*W11)/($S$2*($F$2-$G$2)^2)</f>
        <v>3.9532074594823205E-5</v>
      </c>
      <c r="AD11" s="77" t="str">
        <f>D1</f>
        <v>Coss0</v>
      </c>
      <c r="AE11" s="79"/>
      <c r="AF11" s="79"/>
    </row>
    <row r="12" spans="1:36" x14ac:dyDescent="0.25">
      <c r="A12" s="48">
        <v>5</v>
      </c>
      <c r="B12" s="50">
        <f t="shared" ref="B12:B22" si="10">A12/3</f>
        <v>1.6666666666666667</v>
      </c>
      <c r="C12" s="50">
        <f t="shared" ref="C12:C22" si="11">(2*A12)/3</f>
        <v>3.3333333333333335</v>
      </c>
      <c r="D12" s="50">
        <f t="shared" si="0"/>
        <v>0.41666666666666669</v>
      </c>
      <c r="E12" s="50">
        <f t="shared" si="1"/>
        <v>0.41666666666666669</v>
      </c>
      <c r="F12" s="50">
        <f t="shared" si="2"/>
        <v>1.6137430609197572</v>
      </c>
      <c r="G12" s="50">
        <f t="shared" si="3"/>
        <v>0.41666666666666669</v>
      </c>
      <c r="H12" s="50">
        <f t="shared" si="4"/>
        <v>3.2274861218395143</v>
      </c>
      <c r="I12" s="48">
        <f t="shared" si="5"/>
        <v>16</v>
      </c>
      <c r="J12" s="48">
        <f t="shared" si="6"/>
        <v>32</v>
      </c>
      <c r="K12" s="48">
        <f t="shared" si="7"/>
        <v>16</v>
      </c>
      <c r="L12" s="48">
        <f t="shared" si="8"/>
        <v>32</v>
      </c>
      <c r="M12" s="48">
        <f t="shared" si="9"/>
        <v>16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AD12" s="78"/>
      <c r="AE12" s="79"/>
      <c r="AF12" s="79"/>
    </row>
    <row r="13" spans="1:36" x14ac:dyDescent="0.25">
      <c r="A13" s="48">
        <v>10</v>
      </c>
      <c r="B13" s="50">
        <f t="shared" si="10"/>
        <v>3.3333333333333335</v>
      </c>
      <c r="C13" s="50">
        <f t="shared" si="11"/>
        <v>6.666666666666667</v>
      </c>
      <c r="D13" s="50">
        <f t="shared" si="0"/>
        <v>0.83333333333333337</v>
      </c>
      <c r="E13" s="50">
        <f t="shared" si="1"/>
        <v>0.83333333333333337</v>
      </c>
      <c r="F13" s="50">
        <f t="shared" si="2"/>
        <v>3.2274861218395143</v>
      </c>
      <c r="G13" s="50">
        <f t="shared" si="3"/>
        <v>0.83333333333333337</v>
      </c>
      <c r="H13" s="50">
        <f t="shared" si="4"/>
        <v>6.4549722436790287</v>
      </c>
      <c r="I13" s="48">
        <f t="shared" si="5"/>
        <v>16</v>
      </c>
      <c r="J13" s="48">
        <f t="shared" si="6"/>
        <v>32</v>
      </c>
      <c r="K13" s="48">
        <f t="shared" si="7"/>
        <v>16</v>
      </c>
      <c r="L13" s="48">
        <f t="shared" si="8"/>
        <v>32</v>
      </c>
      <c r="M13" s="48">
        <f t="shared" si="9"/>
        <v>16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AD13" s="78"/>
      <c r="AE13" s="79"/>
      <c r="AF13" s="79"/>
    </row>
    <row r="14" spans="1:36" x14ac:dyDescent="0.25">
      <c r="A14" s="48">
        <v>15</v>
      </c>
      <c r="B14" s="50">
        <f t="shared" si="10"/>
        <v>5</v>
      </c>
      <c r="C14" s="50">
        <f t="shared" si="11"/>
        <v>10</v>
      </c>
      <c r="D14" s="50">
        <f t="shared" si="0"/>
        <v>1.25</v>
      </c>
      <c r="E14" s="50">
        <f t="shared" si="1"/>
        <v>1.25</v>
      </c>
      <c r="F14" s="50">
        <f t="shared" si="2"/>
        <v>4.8412291827592711</v>
      </c>
      <c r="G14" s="50">
        <f t="shared" si="3"/>
        <v>1.25</v>
      </c>
      <c r="H14" s="50">
        <f t="shared" si="4"/>
        <v>9.6824583655185421</v>
      </c>
      <c r="I14" s="48">
        <f t="shared" si="5"/>
        <v>16</v>
      </c>
      <c r="J14" s="48">
        <f t="shared" si="6"/>
        <v>32</v>
      </c>
      <c r="K14" s="48">
        <f t="shared" si="7"/>
        <v>16</v>
      </c>
      <c r="L14" s="48">
        <f t="shared" si="8"/>
        <v>32</v>
      </c>
      <c r="M14" s="48">
        <f t="shared" si="9"/>
        <v>16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AD14" s="78"/>
      <c r="AE14" s="79"/>
      <c r="AF14" s="79"/>
    </row>
    <row r="15" spans="1:36" x14ac:dyDescent="0.25">
      <c r="A15" s="48">
        <v>20</v>
      </c>
      <c r="B15" s="50">
        <f t="shared" si="10"/>
        <v>6.666666666666667</v>
      </c>
      <c r="C15" s="50">
        <f t="shared" si="11"/>
        <v>13.333333333333334</v>
      </c>
      <c r="D15" s="50">
        <f t="shared" si="0"/>
        <v>1.6666666666666667</v>
      </c>
      <c r="E15" s="50">
        <f t="shared" si="1"/>
        <v>1.6666666666666667</v>
      </c>
      <c r="F15" s="50">
        <f t="shared" si="2"/>
        <v>6.4549722436790287</v>
      </c>
      <c r="G15" s="50">
        <f t="shared" si="3"/>
        <v>1.6666666666666667</v>
      </c>
      <c r="H15" s="50">
        <f t="shared" si="4"/>
        <v>12.909944487358057</v>
      </c>
      <c r="I15" s="48">
        <f t="shared" si="5"/>
        <v>16</v>
      </c>
      <c r="J15" s="48">
        <f t="shared" si="6"/>
        <v>32</v>
      </c>
      <c r="K15" s="48">
        <f t="shared" si="7"/>
        <v>16</v>
      </c>
      <c r="L15" s="48">
        <f t="shared" si="8"/>
        <v>32</v>
      </c>
      <c r="M15" s="48">
        <f t="shared" si="9"/>
        <v>16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AD15" s="78"/>
      <c r="AE15" s="79"/>
      <c r="AF15" s="79"/>
    </row>
    <row r="16" spans="1:36" x14ac:dyDescent="0.25">
      <c r="A16" s="48">
        <v>25</v>
      </c>
      <c r="B16" s="50">
        <f t="shared" si="10"/>
        <v>8.3333333333333339</v>
      </c>
      <c r="C16" s="50">
        <f t="shared" si="11"/>
        <v>16.666666666666668</v>
      </c>
      <c r="D16" s="50">
        <f t="shared" si="0"/>
        <v>2.0833333333333335</v>
      </c>
      <c r="E16" s="50">
        <f t="shared" si="1"/>
        <v>2.0833333333333335</v>
      </c>
      <c r="F16" s="50">
        <f t="shared" si="2"/>
        <v>8.0687153045987863</v>
      </c>
      <c r="G16" s="50">
        <f t="shared" si="3"/>
        <v>2.0833333333333335</v>
      </c>
      <c r="H16" s="50">
        <f t="shared" si="4"/>
        <v>16.137430609197573</v>
      </c>
      <c r="I16" s="48">
        <f t="shared" si="5"/>
        <v>16</v>
      </c>
      <c r="J16" s="48">
        <f t="shared" si="6"/>
        <v>32</v>
      </c>
      <c r="K16" s="48">
        <f t="shared" si="7"/>
        <v>16</v>
      </c>
      <c r="L16" s="48">
        <f t="shared" si="8"/>
        <v>32</v>
      </c>
      <c r="M16" s="48">
        <f t="shared" si="9"/>
        <v>16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AD16" s="78"/>
      <c r="AE16" s="79"/>
      <c r="AF16" s="79"/>
    </row>
    <row r="17" spans="1:34" x14ac:dyDescent="0.25">
      <c r="A17" s="48">
        <v>30</v>
      </c>
      <c r="B17" s="50">
        <f t="shared" si="10"/>
        <v>10</v>
      </c>
      <c r="C17" s="50">
        <f t="shared" si="11"/>
        <v>20</v>
      </c>
      <c r="D17" s="50">
        <f t="shared" si="0"/>
        <v>2.5</v>
      </c>
      <c r="E17" s="50">
        <f t="shared" si="1"/>
        <v>2.5</v>
      </c>
      <c r="F17" s="50">
        <f t="shared" si="2"/>
        <v>9.6824583655185421</v>
      </c>
      <c r="G17" s="50">
        <f t="shared" si="3"/>
        <v>2.5</v>
      </c>
      <c r="H17" s="50">
        <f t="shared" si="4"/>
        <v>19.364916731037084</v>
      </c>
      <c r="I17" s="48">
        <f t="shared" si="5"/>
        <v>16</v>
      </c>
      <c r="J17" s="48">
        <f t="shared" si="6"/>
        <v>32</v>
      </c>
      <c r="K17" s="48">
        <f t="shared" si="7"/>
        <v>16</v>
      </c>
      <c r="L17" s="48">
        <f t="shared" si="8"/>
        <v>32</v>
      </c>
      <c r="M17" s="48">
        <f t="shared" si="9"/>
        <v>16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AD17" s="78"/>
      <c r="AE17" s="79"/>
      <c r="AF17" s="79"/>
    </row>
    <row r="18" spans="1:34" x14ac:dyDescent="0.25">
      <c r="A18" s="48">
        <v>35</v>
      </c>
      <c r="B18" s="50">
        <f t="shared" si="10"/>
        <v>11.666666666666666</v>
      </c>
      <c r="C18" s="50">
        <f t="shared" si="11"/>
        <v>23.333333333333332</v>
      </c>
      <c r="D18" s="50">
        <f t="shared" si="0"/>
        <v>2.9166666666666665</v>
      </c>
      <c r="E18" s="50">
        <f t="shared" si="1"/>
        <v>2.9166666666666665</v>
      </c>
      <c r="F18" s="50">
        <f t="shared" si="2"/>
        <v>11.2962014264383</v>
      </c>
      <c r="G18" s="50">
        <f t="shared" si="3"/>
        <v>2.9166666666666665</v>
      </c>
      <c r="H18" s="50">
        <f t="shared" si="4"/>
        <v>22.592402852876599</v>
      </c>
      <c r="I18" s="48">
        <f t="shared" si="5"/>
        <v>16</v>
      </c>
      <c r="J18" s="48">
        <f t="shared" si="6"/>
        <v>32</v>
      </c>
      <c r="K18" s="48">
        <f t="shared" si="7"/>
        <v>16</v>
      </c>
      <c r="L18" s="48">
        <f t="shared" si="8"/>
        <v>32</v>
      </c>
      <c r="M18" s="48">
        <f t="shared" si="9"/>
        <v>16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AD18" s="78"/>
      <c r="AE18" s="79"/>
      <c r="AF18" s="79"/>
    </row>
    <row r="19" spans="1:34" x14ac:dyDescent="0.25">
      <c r="A19" s="48">
        <v>40</v>
      </c>
      <c r="B19" s="50">
        <f t="shared" si="10"/>
        <v>13.333333333333334</v>
      </c>
      <c r="C19" s="50">
        <f t="shared" si="11"/>
        <v>26.666666666666668</v>
      </c>
      <c r="D19" s="50">
        <f t="shared" si="0"/>
        <v>3.3333333333333335</v>
      </c>
      <c r="E19" s="50">
        <f t="shared" si="1"/>
        <v>3.3333333333333335</v>
      </c>
      <c r="F19" s="50">
        <f t="shared" si="2"/>
        <v>12.909944487358057</v>
      </c>
      <c r="G19" s="50">
        <f t="shared" si="3"/>
        <v>3.3333333333333335</v>
      </c>
      <c r="H19" s="50">
        <f t="shared" si="4"/>
        <v>25.819888974716115</v>
      </c>
      <c r="I19" s="48">
        <f t="shared" si="5"/>
        <v>16</v>
      </c>
      <c r="J19" s="48">
        <f t="shared" si="6"/>
        <v>32</v>
      </c>
      <c r="K19" s="48">
        <f t="shared" si="7"/>
        <v>16</v>
      </c>
      <c r="L19" s="48">
        <f t="shared" si="8"/>
        <v>32</v>
      </c>
      <c r="M19" s="48">
        <f t="shared" si="9"/>
        <v>16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AD19" s="78"/>
      <c r="AE19" s="79"/>
      <c r="AF19" s="79"/>
    </row>
    <row r="20" spans="1:34" x14ac:dyDescent="0.25">
      <c r="A20" s="48">
        <v>45</v>
      </c>
      <c r="B20" s="50">
        <f t="shared" si="10"/>
        <v>15</v>
      </c>
      <c r="C20" s="50">
        <f t="shared" si="11"/>
        <v>30</v>
      </c>
      <c r="D20" s="50">
        <f t="shared" si="0"/>
        <v>3.75</v>
      </c>
      <c r="E20" s="50">
        <f t="shared" si="1"/>
        <v>3.75</v>
      </c>
      <c r="F20" s="50">
        <f t="shared" si="2"/>
        <v>14.523687548277813</v>
      </c>
      <c r="G20" s="50">
        <f t="shared" si="3"/>
        <v>3.75</v>
      </c>
      <c r="H20" s="50">
        <f t="shared" si="4"/>
        <v>29.047375096555626</v>
      </c>
      <c r="I20" s="48">
        <f t="shared" si="5"/>
        <v>16</v>
      </c>
      <c r="J20" s="48">
        <f t="shared" si="6"/>
        <v>32</v>
      </c>
      <c r="K20" s="48">
        <f t="shared" si="7"/>
        <v>16</v>
      </c>
      <c r="L20" s="48">
        <f t="shared" si="8"/>
        <v>32</v>
      </c>
      <c r="M20" s="48">
        <f t="shared" si="9"/>
        <v>16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AD20" s="78"/>
      <c r="AE20" s="79"/>
      <c r="AF20" s="79"/>
    </row>
    <row r="21" spans="1:34" x14ac:dyDescent="0.25">
      <c r="A21" s="48">
        <v>50</v>
      </c>
      <c r="B21" s="50">
        <f t="shared" si="10"/>
        <v>16.666666666666668</v>
      </c>
      <c r="C21" s="50">
        <f t="shared" si="11"/>
        <v>33.333333333333336</v>
      </c>
      <c r="D21" s="50">
        <f t="shared" si="0"/>
        <v>4.166666666666667</v>
      </c>
      <c r="E21" s="50">
        <f t="shared" si="1"/>
        <v>4.166666666666667</v>
      </c>
      <c r="F21" s="50">
        <f t="shared" si="2"/>
        <v>16.137430609197573</v>
      </c>
      <c r="G21" s="50">
        <f t="shared" si="3"/>
        <v>4.166666666666667</v>
      </c>
      <c r="H21" s="50">
        <f t="shared" si="4"/>
        <v>32.274861218395145</v>
      </c>
      <c r="I21" s="48">
        <f t="shared" si="5"/>
        <v>16</v>
      </c>
      <c r="J21" s="48">
        <f t="shared" si="6"/>
        <v>32</v>
      </c>
      <c r="K21" s="48">
        <f t="shared" si="7"/>
        <v>16</v>
      </c>
      <c r="L21" s="48">
        <f t="shared" si="8"/>
        <v>32</v>
      </c>
      <c r="M21" s="48">
        <f t="shared" si="9"/>
        <v>16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AD21" s="78"/>
      <c r="AE21" s="79"/>
      <c r="AF21" s="79"/>
    </row>
    <row r="22" spans="1:34" ht="14.4" thickBot="1" x14ac:dyDescent="0.3">
      <c r="A22" s="48">
        <v>125</v>
      </c>
      <c r="B22" s="50">
        <f t="shared" si="10"/>
        <v>41.666666666666664</v>
      </c>
      <c r="C22" s="50">
        <f t="shared" si="11"/>
        <v>83.333333333333329</v>
      </c>
      <c r="D22" s="50">
        <f t="shared" si="0"/>
        <v>10.416666666666666</v>
      </c>
      <c r="E22" s="50">
        <f t="shared" si="1"/>
        <v>10.416666666666666</v>
      </c>
      <c r="F22" s="50">
        <f t="shared" si="2"/>
        <v>40.343576522993928</v>
      </c>
      <c r="G22" s="50">
        <f t="shared" si="3"/>
        <v>10.416666666666666</v>
      </c>
      <c r="H22" s="50">
        <f t="shared" si="4"/>
        <v>80.687153045987856</v>
      </c>
      <c r="I22" s="48">
        <f t="shared" si="5"/>
        <v>16</v>
      </c>
      <c r="J22" s="48">
        <f t="shared" si="6"/>
        <v>32</v>
      </c>
      <c r="K22" s="48">
        <f t="shared" si="7"/>
        <v>16</v>
      </c>
      <c r="L22" s="48">
        <f t="shared" si="8"/>
        <v>32</v>
      </c>
      <c r="M22" s="48">
        <f t="shared" si="9"/>
        <v>16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AD22" s="78"/>
      <c r="AE22" s="79"/>
      <c r="AF22" s="79"/>
    </row>
    <row r="23" spans="1:34" ht="42" thickBot="1" x14ac:dyDescent="0.3">
      <c r="A23" s="73" t="s">
        <v>170</v>
      </c>
      <c r="B23" s="50"/>
      <c r="C23" s="50"/>
      <c r="D23" s="50"/>
      <c r="E23" s="50"/>
      <c r="F23" s="50"/>
      <c r="G23" s="50"/>
      <c r="H23" s="50"/>
      <c r="I23" s="48"/>
      <c r="J23" s="48"/>
      <c r="K23" s="48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49"/>
      <c r="W23" s="49"/>
      <c r="AD23" s="78"/>
      <c r="AE23" s="79"/>
      <c r="AF23" s="79"/>
    </row>
    <row r="24" spans="1:34" ht="14.4" thickBot="1" x14ac:dyDescent="0.3">
      <c r="A24" s="82"/>
      <c r="B24" s="50"/>
      <c r="C24" s="50"/>
      <c r="D24" s="50"/>
      <c r="E24" s="50"/>
      <c r="F24" s="50"/>
      <c r="G24" s="50"/>
      <c r="H24" s="50"/>
      <c r="I24" s="48"/>
      <c r="J24" s="48"/>
      <c r="K24" s="48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49"/>
      <c r="W24" s="49"/>
      <c r="AD24" s="78"/>
      <c r="AE24" s="79"/>
      <c r="AF24" s="79"/>
    </row>
    <row r="25" spans="1:34" ht="28.2" thickBot="1" x14ac:dyDescent="0.3">
      <c r="A25" s="83" t="s">
        <v>17</v>
      </c>
      <c r="B25" s="84" t="s">
        <v>53</v>
      </c>
      <c r="C25" s="84" t="s">
        <v>54</v>
      </c>
      <c r="D25" s="84" t="s">
        <v>184</v>
      </c>
      <c r="E25" s="84" t="s">
        <v>185</v>
      </c>
      <c r="F25" s="84" t="s">
        <v>171</v>
      </c>
      <c r="G25" s="84" t="s">
        <v>172</v>
      </c>
      <c r="H25" s="84" t="s">
        <v>173</v>
      </c>
      <c r="I25" s="84" t="s">
        <v>174</v>
      </c>
      <c r="J25" s="50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AF25" s="78"/>
      <c r="AG25" s="79"/>
      <c r="AH25" s="79"/>
    </row>
    <row r="26" spans="1:34" ht="14.4" thickBot="1" x14ac:dyDescent="0.3">
      <c r="A26" s="87">
        <f t="shared" ref="A26:A37" si="12">A11</f>
        <v>10</v>
      </c>
      <c r="B26" s="88">
        <f>A26/3</f>
        <v>3.3333333333333335</v>
      </c>
      <c r="C26" s="88">
        <f>2*A26/3</f>
        <v>6.666666666666667</v>
      </c>
      <c r="D26" s="89">
        <f>IF(B26&gt;5, ROUNDUP(B26/5,0),1)</f>
        <v>1</v>
      </c>
      <c r="E26" s="89">
        <f>IF(C26&gt;5, ROUNDUP(C26/5,0),1)</f>
        <v>2</v>
      </c>
      <c r="F26" s="90">
        <f>0.01/D26</f>
        <v>0.01</v>
      </c>
      <c r="G26" s="90">
        <f>0.01/E26</f>
        <v>5.0000000000000001E-3</v>
      </c>
      <c r="H26" s="89"/>
      <c r="I26" s="85"/>
      <c r="J26" s="86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AF26" s="78"/>
      <c r="AG26" s="79"/>
      <c r="AH26" s="79"/>
    </row>
    <row r="27" spans="1:34" x14ac:dyDescent="0.25">
      <c r="A27" s="82">
        <f t="shared" si="12"/>
        <v>5</v>
      </c>
      <c r="B27" s="50">
        <f>A27/3</f>
        <v>1.6666666666666667</v>
      </c>
      <c r="C27" s="50">
        <f>(2*A27)/3</f>
        <v>3.3333333333333335</v>
      </c>
      <c r="D27" s="50">
        <f>$D$26</f>
        <v>1</v>
      </c>
      <c r="E27" s="50">
        <f>$E$26</f>
        <v>2</v>
      </c>
      <c r="F27" s="49">
        <f>$F$26</f>
        <v>0.01</v>
      </c>
      <c r="G27" s="49">
        <f>$G$26</f>
        <v>5.0000000000000001E-3</v>
      </c>
      <c r="H27" s="49">
        <f t="shared" ref="H27:I36" si="13">B27^2*F27</f>
        <v>2.7777777777777783E-2</v>
      </c>
      <c r="I27" s="49">
        <f t="shared" si="13"/>
        <v>5.5555555555555566E-2</v>
      </c>
      <c r="J27" s="50">
        <f>SUM(H27:I27)</f>
        <v>8.3333333333333343E-2</v>
      </c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AF27" s="78"/>
      <c r="AG27" s="79"/>
      <c r="AH27" s="79"/>
    </row>
    <row r="28" spans="1:34" x14ac:dyDescent="0.25">
      <c r="A28" s="82">
        <f t="shared" si="12"/>
        <v>10</v>
      </c>
      <c r="B28" s="50">
        <f t="shared" ref="B28:B36" si="14">A28/3</f>
        <v>3.3333333333333335</v>
      </c>
      <c r="C28" s="50">
        <f t="shared" ref="C28:C36" si="15">(2*A28)/3</f>
        <v>6.666666666666667</v>
      </c>
      <c r="D28" s="50">
        <f t="shared" ref="D28:D37" si="16">$D$26</f>
        <v>1</v>
      </c>
      <c r="E28" s="50">
        <f t="shared" ref="E28:E37" si="17">$E$26</f>
        <v>2</v>
      </c>
      <c r="F28" s="49">
        <f t="shared" ref="F28:F37" si="18">$F$26</f>
        <v>0.01</v>
      </c>
      <c r="G28" s="49">
        <f t="shared" ref="G28:G37" si="19">$G$26</f>
        <v>5.0000000000000001E-3</v>
      </c>
      <c r="H28" s="49">
        <f t="shared" si="13"/>
        <v>0.11111111111111113</v>
      </c>
      <c r="I28" s="49">
        <f t="shared" si="13"/>
        <v>0.22222222222222227</v>
      </c>
      <c r="J28" s="50">
        <f t="shared" ref="J28:J36" si="20">SUM(H28:I28)</f>
        <v>0.33333333333333337</v>
      </c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AF28" s="78"/>
      <c r="AG28" s="79"/>
      <c r="AH28" s="79"/>
    </row>
    <row r="29" spans="1:34" x14ac:dyDescent="0.25">
      <c r="A29" s="82">
        <f t="shared" si="12"/>
        <v>15</v>
      </c>
      <c r="B29" s="50">
        <f t="shared" si="14"/>
        <v>5</v>
      </c>
      <c r="C29" s="50">
        <f t="shared" si="15"/>
        <v>10</v>
      </c>
      <c r="D29" s="50">
        <f t="shared" si="16"/>
        <v>1</v>
      </c>
      <c r="E29" s="50">
        <f t="shared" si="17"/>
        <v>2</v>
      </c>
      <c r="F29" s="49">
        <f t="shared" si="18"/>
        <v>0.01</v>
      </c>
      <c r="G29" s="49">
        <f t="shared" si="19"/>
        <v>5.0000000000000001E-3</v>
      </c>
      <c r="H29" s="49">
        <f t="shared" si="13"/>
        <v>0.25</v>
      </c>
      <c r="I29" s="49">
        <f t="shared" si="13"/>
        <v>0.5</v>
      </c>
      <c r="J29" s="50">
        <f t="shared" si="20"/>
        <v>0.75</v>
      </c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AF29" s="78"/>
      <c r="AG29" s="79"/>
      <c r="AH29" s="79"/>
    </row>
    <row r="30" spans="1:34" x14ac:dyDescent="0.25">
      <c r="A30" s="82">
        <f t="shared" si="12"/>
        <v>20</v>
      </c>
      <c r="B30" s="50">
        <f t="shared" si="14"/>
        <v>6.666666666666667</v>
      </c>
      <c r="C30" s="50">
        <f t="shared" si="15"/>
        <v>13.333333333333334</v>
      </c>
      <c r="D30" s="50">
        <f t="shared" si="16"/>
        <v>1</v>
      </c>
      <c r="E30" s="50">
        <f t="shared" si="17"/>
        <v>2</v>
      </c>
      <c r="F30" s="49">
        <f t="shared" si="18"/>
        <v>0.01</v>
      </c>
      <c r="G30" s="49">
        <f t="shared" si="19"/>
        <v>5.0000000000000001E-3</v>
      </c>
      <c r="H30" s="49">
        <f t="shared" si="13"/>
        <v>0.44444444444444453</v>
      </c>
      <c r="I30" s="49">
        <f t="shared" si="13"/>
        <v>0.88888888888888906</v>
      </c>
      <c r="J30" s="50">
        <f t="shared" si="20"/>
        <v>1.3333333333333335</v>
      </c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AF30" s="78"/>
      <c r="AG30" s="79"/>
      <c r="AH30" s="79"/>
    </row>
    <row r="31" spans="1:34" x14ac:dyDescent="0.25">
      <c r="A31" s="82">
        <f t="shared" si="12"/>
        <v>25</v>
      </c>
      <c r="B31" s="50">
        <f t="shared" si="14"/>
        <v>8.3333333333333339</v>
      </c>
      <c r="C31" s="50">
        <f t="shared" si="15"/>
        <v>16.666666666666668</v>
      </c>
      <c r="D31" s="50">
        <f t="shared" si="16"/>
        <v>1</v>
      </c>
      <c r="E31" s="50">
        <f t="shared" si="17"/>
        <v>2</v>
      </c>
      <c r="F31" s="49">
        <f t="shared" si="18"/>
        <v>0.01</v>
      </c>
      <c r="G31" s="49">
        <f t="shared" si="19"/>
        <v>5.0000000000000001E-3</v>
      </c>
      <c r="H31" s="49">
        <f t="shared" si="13"/>
        <v>0.69444444444444453</v>
      </c>
      <c r="I31" s="49">
        <f t="shared" si="13"/>
        <v>1.3888888888888891</v>
      </c>
      <c r="J31" s="50">
        <f t="shared" si="20"/>
        <v>2.0833333333333335</v>
      </c>
      <c r="K31" s="50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AF31" s="78"/>
      <c r="AG31" s="79"/>
      <c r="AH31" s="79"/>
    </row>
    <row r="32" spans="1:34" x14ac:dyDescent="0.25">
      <c r="A32" s="82">
        <f t="shared" si="12"/>
        <v>30</v>
      </c>
      <c r="B32" s="50">
        <f t="shared" si="14"/>
        <v>10</v>
      </c>
      <c r="C32" s="50">
        <f t="shared" si="15"/>
        <v>20</v>
      </c>
      <c r="D32" s="50">
        <f t="shared" si="16"/>
        <v>1</v>
      </c>
      <c r="E32" s="50">
        <f t="shared" si="17"/>
        <v>2</v>
      </c>
      <c r="F32" s="49">
        <f t="shared" si="18"/>
        <v>0.01</v>
      </c>
      <c r="G32" s="49">
        <f t="shared" si="19"/>
        <v>5.0000000000000001E-3</v>
      </c>
      <c r="H32" s="49">
        <f t="shared" si="13"/>
        <v>1</v>
      </c>
      <c r="I32" s="49">
        <f t="shared" si="13"/>
        <v>2</v>
      </c>
      <c r="J32" s="50">
        <f t="shared" si="20"/>
        <v>3</v>
      </c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AF32" s="78"/>
      <c r="AG32" s="79"/>
      <c r="AH32" s="79"/>
    </row>
    <row r="33" spans="1:34" x14ac:dyDescent="0.25">
      <c r="A33" s="82">
        <f t="shared" si="12"/>
        <v>35</v>
      </c>
      <c r="B33" s="50">
        <f t="shared" si="14"/>
        <v>11.666666666666666</v>
      </c>
      <c r="C33" s="50">
        <f t="shared" si="15"/>
        <v>23.333333333333332</v>
      </c>
      <c r="D33" s="50">
        <f t="shared" si="16"/>
        <v>1</v>
      </c>
      <c r="E33" s="50">
        <f t="shared" si="17"/>
        <v>2</v>
      </c>
      <c r="F33" s="49">
        <f t="shared" si="18"/>
        <v>0.01</v>
      </c>
      <c r="G33" s="49">
        <f t="shared" si="19"/>
        <v>5.0000000000000001E-3</v>
      </c>
      <c r="H33" s="49">
        <f t="shared" si="13"/>
        <v>1.3611111111111109</v>
      </c>
      <c r="I33" s="49">
        <f t="shared" si="13"/>
        <v>2.7222222222222219</v>
      </c>
      <c r="J33" s="50">
        <f t="shared" si="20"/>
        <v>4.083333333333333</v>
      </c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AF33" s="78"/>
      <c r="AG33" s="79"/>
      <c r="AH33" s="79"/>
    </row>
    <row r="34" spans="1:34" x14ac:dyDescent="0.25">
      <c r="A34" s="82">
        <f t="shared" si="12"/>
        <v>40</v>
      </c>
      <c r="B34" s="50">
        <f t="shared" si="14"/>
        <v>13.333333333333334</v>
      </c>
      <c r="C34" s="50">
        <f t="shared" si="15"/>
        <v>26.666666666666668</v>
      </c>
      <c r="D34" s="50">
        <f t="shared" si="16"/>
        <v>1</v>
      </c>
      <c r="E34" s="50">
        <f t="shared" si="17"/>
        <v>2</v>
      </c>
      <c r="F34" s="49">
        <f t="shared" si="18"/>
        <v>0.01</v>
      </c>
      <c r="G34" s="49">
        <f t="shared" si="19"/>
        <v>5.0000000000000001E-3</v>
      </c>
      <c r="H34" s="49">
        <f t="shared" si="13"/>
        <v>1.7777777777777781</v>
      </c>
      <c r="I34" s="49">
        <f t="shared" si="13"/>
        <v>3.5555555555555562</v>
      </c>
      <c r="J34" s="50">
        <f t="shared" si="20"/>
        <v>5.3333333333333339</v>
      </c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AF34" s="78"/>
      <c r="AG34" s="79"/>
      <c r="AH34" s="79"/>
    </row>
    <row r="35" spans="1:34" x14ac:dyDescent="0.25">
      <c r="A35" s="82">
        <f t="shared" si="12"/>
        <v>45</v>
      </c>
      <c r="B35" s="50">
        <f t="shared" si="14"/>
        <v>15</v>
      </c>
      <c r="C35" s="50">
        <f t="shared" si="15"/>
        <v>30</v>
      </c>
      <c r="D35" s="50">
        <f t="shared" si="16"/>
        <v>1</v>
      </c>
      <c r="E35" s="50">
        <f t="shared" si="17"/>
        <v>2</v>
      </c>
      <c r="F35" s="49">
        <f t="shared" si="18"/>
        <v>0.01</v>
      </c>
      <c r="G35" s="49">
        <f t="shared" si="19"/>
        <v>5.0000000000000001E-3</v>
      </c>
      <c r="H35" s="49">
        <f t="shared" si="13"/>
        <v>2.25</v>
      </c>
      <c r="I35" s="49">
        <f t="shared" si="13"/>
        <v>4.5</v>
      </c>
      <c r="J35" s="50">
        <f t="shared" si="20"/>
        <v>6.75</v>
      </c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AF35" s="78"/>
      <c r="AG35" s="79"/>
      <c r="AH35" s="79"/>
    </row>
    <row r="36" spans="1:34" x14ac:dyDescent="0.25">
      <c r="A36" s="82">
        <f t="shared" si="12"/>
        <v>50</v>
      </c>
      <c r="B36" s="50">
        <f t="shared" si="14"/>
        <v>16.666666666666668</v>
      </c>
      <c r="C36" s="50">
        <f t="shared" si="15"/>
        <v>33.333333333333336</v>
      </c>
      <c r="D36" s="50">
        <f t="shared" si="16"/>
        <v>1</v>
      </c>
      <c r="E36" s="50">
        <f t="shared" si="17"/>
        <v>2</v>
      </c>
      <c r="F36" s="49">
        <f t="shared" si="18"/>
        <v>0.01</v>
      </c>
      <c r="G36" s="49">
        <f t="shared" si="19"/>
        <v>5.0000000000000001E-3</v>
      </c>
      <c r="H36" s="49">
        <f t="shared" si="13"/>
        <v>2.7777777777777781</v>
      </c>
      <c r="I36" s="49">
        <f t="shared" si="13"/>
        <v>5.5555555555555562</v>
      </c>
      <c r="J36" s="50">
        <f t="shared" si="20"/>
        <v>8.3333333333333339</v>
      </c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AF36" s="78"/>
      <c r="AG36" s="79"/>
      <c r="AH36" s="79"/>
    </row>
    <row r="37" spans="1:34" x14ac:dyDescent="0.25">
      <c r="A37" s="82">
        <f t="shared" si="12"/>
        <v>125</v>
      </c>
      <c r="B37" s="50">
        <f>A37/3</f>
        <v>41.666666666666664</v>
      </c>
      <c r="C37" s="50">
        <f>(2*A37)/3</f>
        <v>83.333333333333329</v>
      </c>
      <c r="D37" s="50">
        <f t="shared" si="16"/>
        <v>1</v>
      </c>
      <c r="E37" s="50">
        <f t="shared" si="17"/>
        <v>2</v>
      </c>
      <c r="F37" s="49">
        <f t="shared" si="18"/>
        <v>0.01</v>
      </c>
      <c r="G37" s="49">
        <f t="shared" si="19"/>
        <v>5.0000000000000001E-3</v>
      </c>
      <c r="H37" s="49">
        <f>B37^2*F37</f>
        <v>17.361111111111111</v>
      </c>
      <c r="I37" s="49">
        <f>C37^2*G37</f>
        <v>34.722222222222221</v>
      </c>
      <c r="J37" s="50">
        <f>SUM(H37:I37)</f>
        <v>52.083333333333329</v>
      </c>
      <c r="K37" s="48"/>
      <c r="L37" s="48"/>
      <c r="M37" s="48"/>
      <c r="N37" s="49"/>
      <c r="O37" s="49"/>
      <c r="P37" s="49"/>
      <c r="Q37" s="49"/>
      <c r="R37" s="49"/>
      <c r="S37" s="49"/>
      <c r="T37" s="49"/>
      <c r="U37" s="49"/>
      <c r="V37" s="49"/>
      <c r="W37" s="49"/>
      <c r="AD37" s="78"/>
      <c r="AE37" s="79"/>
      <c r="AF37" s="79"/>
    </row>
    <row r="38" spans="1:34" ht="14.4" thickBot="1" x14ac:dyDescent="0.3">
      <c r="AD38" s="78" t="str">
        <f>I1</f>
        <v>Rg</v>
      </c>
      <c r="AE38" s="79"/>
      <c r="AF38" s="79"/>
    </row>
    <row r="39" spans="1:34" ht="28.2" thickBot="1" x14ac:dyDescent="0.3">
      <c r="A39" s="73" t="s">
        <v>97</v>
      </c>
      <c r="AD39" s="78" t="s">
        <v>38</v>
      </c>
      <c r="AE39" s="79"/>
      <c r="AF39" s="79"/>
    </row>
    <row r="40" spans="1:34" ht="15" thickBot="1" x14ac:dyDescent="0.3">
      <c r="A40" s="56"/>
      <c r="B40" s="56"/>
      <c r="C40" s="56"/>
      <c r="D40" s="48"/>
      <c r="E40" s="57"/>
      <c r="F40" s="57"/>
      <c r="G40" s="57"/>
      <c r="H40" s="57"/>
      <c r="I40" s="57"/>
      <c r="J40" s="57"/>
      <c r="AD40" s="80" t="s">
        <v>40</v>
      </c>
      <c r="AE40" s="79"/>
      <c r="AF40" s="79"/>
    </row>
    <row r="41" spans="1:34" ht="28.2" thickBot="1" x14ac:dyDescent="0.3">
      <c r="A41" s="81" t="s">
        <v>162</v>
      </c>
      <c r="B41" s="65" t="s">
        <v>93</v>
      </c>
      <c r="C41" s="60" t="s">
        <v>80</v>
      </c>
      <c r="D41" s="60" t="s">
        <v>81</v>
      </c>
      <c r="E41" s="60" t="s">
        <v>82</v>
      </c>
      <c r="F41" s="60" t="s">
        <v>83</v>
      </c>
      <c r="G41" s="60" t="s">
        <v>84</v>
      </c>
      <c r="H41" s="60" t="s">
        <v>110</v>
      </c>
      <c r="I41" s="60" t="s">
        <v>111</v>
      </c>
      <c r="J41" s="60" t="s">
        <v>112</v>
      </c>
      <c r="K41" s="60" t="s">
        <v>113</v>
      </c>
      <c r="L41" s="60" t="s">
        <v>114</v>
      </c>
      <c r="AD41" s="80" t="s">
        <v>156</v>
      </c>
      <c r="AE41" s="79"/>
      <c r="AF41" s="79"/>
    </row>
    <row r="42" spans="1:34" x14ac:dyDescent="0.25">
      <c r="A42" s="53">
        <f t="shared" ref="A42:A52" si="21">A12</f>
        <v>5</v>
      </c>
      <c r="B42" s="48">
        <v>1</v>
      </c>
      <c r="C42" s="58">
        <f t="shared" ref="C42:G51" si="22">(1/($S$2*((N$11*$B42)/S$11)*($F$2-$G$2)))</f>
        <v>5.7032336518845962E-2</v>
      </c>
      <c r="D42" s="58">
        <f t="shared" si="22"/>
        <v>0.10865096262369044</v>
      </c>
      <c r="E42" s="58">
        <f t="shared" si="22"/>
        <v>1.1098462519858191E-2</v>
      </c>
      <c r="F42" s="58">
        <f t="shared" si="22"/>
        <v>0.10865096262369044</v>
      </c>
      <c r="G42" s="58">
        <f t="shared" si="22"/>
        <v>5.5492312599290956E-3</v>
      </c>
      <c r="H42" s="49">
        <f t="shared" ref="H42:L51" si="23">D12^2*C42</f>
        <v>9.9014473122996469E-3</v>
      </c>
      <c r="I42" s="49">
        <f t="shared" si="23"/>
        <v>1.8863014344390704E-2</v>
      </c>
      <c r="J42" s="49">
        <f t="shared" si="23"/>
        <v>2.8902246145464043E-2</v>
      </c>
      <c r="K42" s="49">
        <f t="shared" si="23"/>
        <v>1.8863014344390704E-2</v>
      </c>
      <c r="L42" s="49">
        <f t="shared" si="23"/>
        <v>5.7804492290928086E-2</v>
      </c>
      <c r="M42" s="59">
        <f>SUM(H42:L42)</f>
        <v>0.13433421443747318</v>
      </c>
      <c r="O42" s="58"/>
      <c r="P42" s="58"/>
      <c r="Q42" s="58"/>
      <c r="R42" s="58"/>
      <c r="S42" s="58"/>
      <c r="T42" s="49"/>
      <c r="U42" s="49"/>
      <c r="V42" s="49"/>
      <c r="W42" s="49"/>
      <c r="X42" s="49"/>
      <c r="Y42" s="59"/>
    </row>
    <row r="43" spans="1:34" x14ac:dyDescent="0.25">
      <c r="A43" s="53">
        <f t="shared" si="21"/>
        <v>10</v>
      </c>
      <c r="B43" s="48">
        <v>1</v>
      </c>
      <c r="C43" s="58">
        <f t="shared" si="22"/>
        <v>5.7032336518845962E-2</v>
      </c>
      <c r="D43" s="58">
        <f t="shared" si="22"/>
        <v>0.10865096262369044</v>
      </c>
      <c r="E43" s="58">
        <f t="shared" si="22"/>
        <v>1.1098462519858191E-2</v>
      </c>
      <c r="F43" s="58">
        <f t="shared" si="22"/>
        <v>0.10865096262369044</v>
      </c>
      <c r="G43" s="58">
        <f t="shared" si="22"/>
        <v>5.5492312599290956E-3</v>
      </c>
      <c r="H43" s="49">
        <f t="shared" si="23"/>
        <v>3.9605789249198588E-2</v>
      </c>
      <c r="I43" s="49">
        <f t="shared" si="23"/>
        <v>7.5452057377562817E-2</v>
      </c>
      <c r="J43" s="49">
        <f t="shared" si="23"/>
        <v>0.11560898458185617</v>
      </c>
      <c r="K43" s="49">
        <f t="shared" si="23"/>
        <v>7.5452057377562817E-2</v>
      </c>
      <c r="L43" s="49">
        <f t="shared" si="23"/>
        <v>0.23121796916371234</v>
      </c>
      <c r="M43" s="59">
        <f t="shared" ref="M43:M51" si="24">SUM(H43:L43)</f>
        <v>0.5373368577498927</v>
      </c>
    </row>
    <row r="44" spans="1:34" x14ac:dyDescent="0.25">
      <c r="A44" s="53">
        <f t="shared" si="21"/>
        <v>15</v>
      </c>
      <c r="B44" s="48">
        <v>1</v>
      </c>
      <c r="C44" s="58">
        <f t="shared" si="22"/>
        <v>5.7032336518845962E-2</v>
      </c>
      <c r="D44" s="58">
        <f t="shared" si="22"/>
        <v>0.10865096262369044</v>
      </c>
      <c r="E44" s="58">
        <f t="shared" si="22"/>
        <v>1.1098462519858191E-2</v>
      </c>
      <c r="F44" s="58">
        <f t="shared" si="22"/>
        <v>0.10865096262369044</v>
      </c>
      <c r="G44" s="58">
        <f t="shared" si="22"/>
        <v>5.5492312599290956E-3</v>
      </c>
      <c r="H44" s="49">
        <f t="shared" si="23"/>
        <v>8.9113025810696814E-2</v>
      </c>
      <c r="I44" s="49">
        <f t="shared" si="23"/>
        <v>0.1697671290995163</v>
      </c>
      <c r="J44" s="49">
        <f t="shared" si="23"/>
        <v>0.26012021530917634</v>
      </c>
      <c r="K44" s="49">
        <f t="shared" si="23"/>
        <v>0.1697671290995163</v>
      </c>
      <c r="L44" s="49">
        <f t="shared" si="23"/>
        <v>0.52024043061835268</v>
      </c>
      <c r="M44" s="59">
        <f t="shared" si="24"/>
        <v>1.2090079299372585</v>
      </c>
    </row>
    <row r="45" spans="1:34" x14ac:dyDescent="0.25">
      <c r="A45" s="53">
        <f t="shared" si="21"/>
        <v>20</v>
      </c>
      <c r="B45" s="48">
        <v>1</v>
      </c>
      <c r="C45" s="58">
        <f t="shared" si="22"/>
        <v>5.7032336518845962E-2</v>
      </c>
      <c r="D45" s="58">
        <f t="shared" si="22"/>
        <v>0.10865096262369044</v>
      </c>
      <c r="E45" s="58">
        <f t="shared" si="22"/>
        <v>1.1098462519858191E-2</v>
      </c>
      <c r="F45" s="58">
        <f t="shared" si="22"/>
        <v>0.10865096262369044</v>
      </c>
      <c r="G45" s="58">
        <f t="shared" si="22"/>
        <v>5.5492312599290956E-3</v>
      </c>
      <c r="H45" s="49">
        <f t="shared" si="23"/>
        <v>0.15842315699679435</v>
      </c>
      <c r="I45" s="49">
        <f t="shared" si="23"/>
        <v>0.30180822951025127</v>
      </c>
      <c r="J45" s="49">
        <f t="shared" si="23"/>
        <v>0.46243593832742469</v>
      </c>
      <c r="K45" s="49">
        <f t="shared" si="23"/>
        <v>0.30180822951025127</v>
      </c>
      <c r="L45" s="49">
        <f t="shared" si="23"/>
        <v>0.92487187665484938</v>
      </c>
      <c r="M45" s="59">
        <f t="shared" si="24"/>
        <v>2.1493474309995708</v>
      </c>
    </row>
    <row r="46" spans="1:34" x14ac:dyDescent="0.25">
      <c r="A46" s="53">
        <f t="shared" si="21"/>
        <v>25</v>
      </c>
      <c r="B46" s="48">
        <v>1</v>
      </c>
      <c r="C46" s="58">
        <f t="shared" si="22"/>
        <v>5.7032336518845962E-2</v>
      </c>
      <c r="D46" s="58">
        <f t="shared" si="22"/>
        <v>0.10865096262369044</v>
      </c>
      <c r="E46" s="58">
        <f t="shared" si="22"/>
        <v>1.1098462519858191E-2</v>
      </c>
      <c r="F46" s="58">
        <f t="shared" si="22"/>
        <v>0.10865096262369044</v>
      </c>
      <c r="G46" s="58">
        <f t="shared" si="22"/>
        <v>5.5492312599290956E-3</v>
      </c>
      <c r="H46" s="49">
        <f t="shared" si="23"/>
        <v>0.24753618280749121</v>
      </c>
      <c r="I46" s="49">
        <f t="shared" si="23"/>
        <v>0.47157535860976763</v>
      </c>
      <c r="J46" s="49">
        <f t="shared" si="23"/>
        <v>0.72255615363660119</v>
      </c>
      <c r="K46" s="49">
        <f t="shared" si="23"/>
        <v>0.47157535860976763</v>
      </c>
      <c r="L46" s="49">
        <f t="shared" si="23"/>
        <v>1.4451123072732024</v>
      </c>
      <c r="M46" s="59">
        <f t="shared" si="24"/>
        <v>3.3583553609368302</v>
      </c>
    </row>
    <row r="47" spans="1:34" x14ac:dyDescent="0.25">
      <c r="A47" s="53">
        <f t="shared" si="21"/>
        <v>30</v>
      </c>
      <c r="B47" s="48">
        <v>1</v>
      </c>
      <c r="C47" s="58">
        <f t="shared" si="22"/>
        <v>5.7032336518845962E-2</v>
      </c>
      <c r="D47" s="58">
        <f t="shared" si="22"/>
        <v>0.10865096262369044</v>
      </c>
      <c r="E47" s="58">
        <f t="shared" si="22"/>
        <v>1.1098462519858191E-2</v>
      </c>
      <c r="F47" s="58">
        <f t="shared" si="22"/>
        <v>0.10865096262369044</v>
      </c>
      <c r="G47" s="58">
        <f t="shared" si="22"/>
        <v>5.5492312599290956E-3</v>
      </c>
      <c r="H47" s="49">
        <f t="shared" si="23"/>
        <v>0.35645210324278725</v>
      </c>
      <c r="I47" s="49">
        <f t="shared" si="23"/>
        <v>0.6790685163980652</v>
      </c>
      <c r="J47" s="49">
        <f t="shared" si="23"/>
        <v>1.0404808612367054</v>
      </c>
      <c r="K47" s="49">
        <f t="shared" si="23"/>
        <v>0.6790685163980652</v>
      </c>
      <c r="L47" s="49">
        <f t="shared" si="23"/>
        <v>2.0809617224734107</v>
      </c>
      <c r="M47" s="59">
        <f t="shared" si="24"/>
        <v>4.8360317197490339</v>
      </c>
    </row>
    <row r="48" spans="1:34" x14ac:dyDescent="0.25">
      <c r="A48" s="53">
        <f t="shared" si="21"/>
        <v>35</v>
      </c>
      <c r="B48" s="48">
        <v>1</v>
      </c>
      <c r="C48" s="58">
        <f t="shared" si="22"/>
        <v>5.7032336518845962E-2</v>
      </c>
      <c r="D48" s="58">
        <f t="shared" si="22"/>
        <v>0.10865096262369044</v>
      </c>
      <c r="E48" s="58">
        <f t="shared" si="22"/>
        <v>1.1098462519858191E-2</v>
      </c>
      <c r="F48" s="58">
        <f t="shared" si="22"/>
        <v>0.10865096262369044</v>
      </c>
      <c r="G48" s="58">
        <f t="shared" si="22"/>
        <v>5.5492312599290956E-3</v>
      </c>
      <c r="H48" s="49">
        <f t="shared" si="23"/>
        <v>0.48517091830268255</v>
      </c>
      <c r="I48" s="49">
        <f t="shared" si="23"/>
        <v>0.92428770287514417</v>
      </c>
      <c r="J48" s="49">
        <f t="shared" si="23"/>
        <v>1.416210061127738</v>
      </c>
      <c r="K48" s="49">
        <f t="shared" si="23"/>
        <v>0.92428770287514417</v>
      </c>
      <c r="L48" s="49">
        <f t="shared" si="23"/>
        <v>2.8324201222554759</v>
      </c>
      <c r="M48" s="59">
        <f t="shared" si="24"/>
        <v>6.5823765074361846</v>
      </c>
    </row>
    <row r="49" spans="1:23" x14ac:dyDescent="0.25">
      <c r="A49" s="53">
        <f t="shared" si="21"/>
        <v>40</v>
      </c>
      <c r="B49" s="48">
        <v>1</v>
      </c>
      <c r="C49" s="58">
        <f t="shared" si="22"/>
        <v>5.7032336518845962E-2</v>
      </c>
      <c r="D49" s="58">
        <f t="shared" si="22"/>
        <v>0.10865096262369044</v>
      </c>
      <c r="E49" s="58">
        <f t="shared" si="22"/>
        <v>1.1098462519858191E-2</v>
      </c>
      <c r="F49" s="58">
        <f t="shared" si="22"/>
        <v>0.10865096262369044</v>
      </c>
      <c r="G49" s="58">
        <f t="shared" si="22"/>
        <v>5.5492312599290956E-3</v>
      </c>
      <c r="H49" s="49">
        <f t="shared" si="23"/>
        <v>0.6336926279871774</v>
      </c>
      <c r="I49" s="49">
        <f t="shared" si="23"/>
        <v>1.2072329180410051</v>
      </c>
      <c r="J49" s="49">
        <f t="shared" si="23"/>
        <v>1.8497437533096988</v>
      </c>
      <c r="K49" s="49">
        <f t="shared" si="23"/>
        <v>1.2072329180410051</v>
      </c>
      <c r="L49" s="49">
        <f t="shared" si="23"/>
        <v>3.6994875066193975</v>
      </c>
      <c r="M49" s="59">
        <f t="shared" si="24"/>
        <v>8.5973897239982833</v>
      </c>
    </row>
    <row r="50" spans="1:23" x14ac:dyDescent="0.25">
      <c r="A50" s="53">
        <f t="shared" si="21"/>
        <v>45</v>
      </c>
      <c r="B50" s="54">
        <v>1</v>
      </c>
      <c r="C50" s="49">
        <f t="shared" si="22"/>
        <v>5.7032336518845962E-2</v>
      </c>
      <c r="D50" s="49">
        <f t="shared" si="22"/>
        <v>0.10865096262369044</v>
      </c>
      <c r="E50" s="49">
        <f t="shared" si="22"/>
        <v>1.1098462519858191E-2</v>
      </c>
      <c r="F50" s="49">
        <f t="shared" si="22"/>
        <v>0.10865096262369044</v>
      </c>
      <c r="G50" s="49">
        <f t="shared" si="22"/>
        <v>5.5492312599290956E-3</v>
      </c>
      <c r="H50" s="49">
        <f t="shared" si="23"/>
        <v>0.80201723229627131</v>
      </c>
      <c r="I50" s="49">
        <f t="shared" si="23"/>
        <v>1.5279041618956468</v>
      </c>
      <c r="J50" s="49">
        <f t="shared" si="23"/>
        <v>2.3410819377825871</v>
      </c>
      <c r="K50" s="49">
        <f t="shared" si="23"/>
        <v>1.5279041618956468</v>
      </c>
      <c r="L50" s="49">
        <f t="shared" si="23"/>
        <v>4.6821638755651742</v>
      </c>
      <c r="M50" s="59">
        <f t="shared" si="24"/>
        <v>10.881071369435325</v>
      </c>
    </row>
    <row r="51" spans="1:23" x14ac:dyDescent="0.25">
      <c r="A51" s="53">
        <f t="shared" si="21"/>
        <v>50</v>
      </c>
      <c r="B51" s="48">
        <v>1</v>
      </c>
      <c r="C51" s="49">
        <f t="shared" si="22"/>
        <v>5.7032336518845962E-2</v>
      </c>
      <c r="D51" s="49">
        <f t="shared" si="22"/>
        <v>0.10865096262369044</v>
      </c>
      <c r="E51" s="49">
        <f t="shared" si="22"/>
        <v>1.1098462519858191E-2</v>
      </c>
      <c r="F51" s="49">
        <f t="shared" si="22"/>
        <v>0.10865096262369044</v>
      </c>
      <c r="G51" s="49">
        <f t="shared" si="22"/>
        <v>5.5492312599290956E-3</v>
      </c>
      <c r="H51" s="49">
        <f t="shared" si="23"/>
        <v>0.99014473122996483</v>
      </c>
      <c r="I51" s="49">
        <f t="shared" si="23"/>
        <v>1.8863014344390705</v>
      </c>
      <c r="J51" s="49">
        <f t="shared" si="23"/>
        <v>2.8902246145464048</v>
      </c>
      <c r="K51" s="49">
        <f t="shared" si="23"/>
        <v>1.8863014344390705</v>
      </c>
      <c r="L51" s="49">
        <f t="shared" si="23"/>
        <v>5.7804492290928096</v>
      </c>
      <c r="M51" s="59">
        <f t="shared" si="24"/>
        <v>13.433421443747321</v>
      </c>
    </row>
    <row r="52" spans="1:23" ht="14.4" thickBot="1" x14ac:dyDescent="0.3">
      <c r="A52" s="53">
        <f t="shared" si="21"/>
        <v>125</v>
      </c>
      <c r="B52" s="48">
        <v>1</v>
      </c>
      <c r="C52" s="49">
        <f>(1/($S$2*((N$11*$B52)/S$11)*($F$2-$G$2)))</f>
        <v>5.7032336518845962E-2</v>
      </c>
      <c r="D52" s="49">
        <f>(1/($S$2*((O$11*$B52)/T$11)*($F$2-$G$2)))</f>
        <v>0.10865096262369044</v>
      </c>
      <c r="E52" s="49">
        <f>(1/($S$2*((P$11*$B52)/U$11)*($F$2-$G$2)))</f>
        <v>1.1098462519858191E-2</v>
      </c>
      <c r="F52" s="49">
        <f>(1/($S$2*((Q$11*$B52)/V$11)*($F$2-$G$2)))</f>
        <v>0.10865096262369044</v>
      </c>
      <c r="G52" s="49">
        <f>(1/($S$2*((R$11*$B52)/W$11)*($F$2-$G$2)))</f>
        <v>5.5492312599290956E-3</v>
      </c>
      <c r="H52" s="49">
        <f>D22^2*C52</f>
        <v>6.1884045701872781</v>
      </c>
      <c r="I52" s="49">
        <f>E22^2*D52</f>
        <v>11.789383965244186</v>
      </c>
      <c r="J52" s="49">
        <f>F22^2*E52</f>
        <v>18.063903840915025</v>
      </c>
      <c r="K52" s="49">
        <f>G22^2*F52</f>
        <v>11.789383965244186</v>
      </c>
      <c r="L52" s="49">
        <f>H22^2*G52</f>
        <v>36.127807681830049</v>
      </c>
      <c r="M52" s="59">
        <f>SUM(H52:L52)</f>
        <v>83.958884023420723</v>
      </c>
    </row>
    <row r="53" spans="1:23" ht="28.2" thickBot="1" x14ac:dyDescent="0.3">
      <c r="A53" s="73" t="s">
        <v>115</v>
      </c>
      <c r="W53" s="72"/>
    </row>
    <row r="54" spans="1:23" ht="14.4" thickBot="1" x14ac:dyDescent="0.3"/>
    <row r="55" spans="1:23" ht="28.2" thickBot="1" x14ac:dyDescent="0.3">
      <c r="A55" s="66" t="s">
        <v>17</v>
      </c>
      <c r="B55" s="65" t="s">
        <v>93</v>
      </c>
      <c r="C55" s="60" t="s">
        <v>121</v>
      </c>
      <c r="D55" s="60" t="s">
        <v>122</v>
      </c>
      <c r="E55" s="60" t="s">
        <v>123</v>
      </c>
      <c r="F55" s="60" t="s">
        <v>124</v>
      </c>
      <c r="G55" s="60" t="s">
        <v>125</v>
      </c>
      <c r="H55" s="60" t="s">
        <v>116</v>
      </c>
      <c r="I55" s="60" t="s">
        <v>117</v>
      </c>
      <c r="J55" s="60" t="s">
        <v>118</v>
      </c>
      <c r="K55" s="60" t="s">
        <v>119</v>
      </c>
      <c r="L55" s="60" t="s">
        <v>120</v>
      </c>
    </row>
    <row r="56" spans="1:23" x14ac:dyDescent="0.25">
      <c r="A56" s="53">
        <f>A42</f>
        <v>5</v>
      </c>
      <c r="B56" s="48">
        <f>B42</f>
        <v>1</v>
      </c>
      <c r="C56" s="49">
        <f t="shared" ref="C56:G65" si="25">$C$2*N$11*$B56*S$11*I12</f>
        <v>8.9485516109535318E-10</v>
      </c>
      <c r="D56" s="49">
        <f t="shared" si="25"/>
        <v>9.3944277070009853E-10</v>
      </c>
      <c r="E56" s="49">
        <f t="shared" si="25"/>
        <v>4.5984460092467311E-9</v>
      </c>
      <c r="F56" s="49">
        <f t="shared" si="25"/>
        <v>9.3944277070009853E-10</v>
      </c>
      <c r="G56" s="49">
        <f t="shared" si="25"/>
        <v>9.1968920184934621E-9</v>
      </c>
      <c r="H56" s="49">
        <f t="shared" ref="H56:L65" si="26">(D12*I12*$M$2*C56)/$T$2</f>
        <v>8.5541709999183372E-3</v>
      </c>
      <c r="I56" s="49">
        <f t="shared" si="26"/>
        <v>1.7960792884893259E-2</v>
      </c>
      <c r="J56" s="49">
        <f t="shared" si="26"/>
        <v>0.17024795413320723</v>
      </c>
      <c r="K56" s="49">
        <f t="shared" si="26"/>
        <v>1.7960792884893259E-2</v>
      </c>
      <c r="L56" s="49">
        <f t="shared" si="26"/>
        <v>0.68099181653282892</v>
      </c>
      <c r="M56" s="59">
        <f>SUM(H56,I56,K56)</f>
        <v>4.4475756769704854E-2</v>
      </c>
    </row>
    <row r="57" spans="1:23" x14ac:dyDescent="0.25">
      <c r="A57" s="53">
        <f t="shared" ref="A57:B66" si="27">A43</f>
        <v>10</v>
      </c>
      <c r="B57" s="48">
        <f t="shared" si="27"/>
        <v>1</v>
      </c>
      <c r="C57" s="49">
        <f t="shared" si="25"/>
        <v>8.9485516109535318E-10</v>
      </c>
      <c r="D57" s="49">
        <f t="shared" si="25"/>
        <v>9.3944277070009853E-10</v>
      </c>
      <c r="E57" s="49">
        <f t="shared" si="25"/>
        <v>4.5984460092467311E-9</v>
      </c>
      <c r="F57" s="49">
        <f t="shared" si="25"/>
        <v>9.3944277070009853E-10</v>
      </c>
      <c r="G57" s="49">
        <f t="shared" si="25"/>
        <v>9.1968920184934621E-9</v>
      </c>
      <c r="H57" s="49">
        <f t="shared" si="26"/>
        <v>1.7108341999836674E-2</v>
      </c>
      <c r="I57" s="49">
        <f t="shared" si="26"/>
        <v>3.5921585769786518E-2</v>
      </c>
      <c r="J57" s="49">
        <f t="shared" si="26"/>
        <v>0.34049590826641446</v>
      </c>
      <c r="K57" s="49">
        <f t="shared" si="26"/>
        <v>3.5921585769786518E-2</v>
      </c>
      <c r="L57" s="49">
        <f t="shared" si="26"/>
        <v>1.3619836330656578</v>
      </c>
      <c r="M57" s="59">
        <f t="shared" ref="M57:M65" si="28">SUM(H57,I57,K57)</f>
        <v>8.8951513539409707E-2</v>
      </c>
    </row>
    <row r="58" spans="1:23" x14ac:dyDescent="0.25">
      <c r="A58" s="53">
        <f t="shared" si="27"/>
        <v>15</v>
      </c>
      <c r="B58" s="48">
        <f t="shared" si="27"/>
        <v>1</v>
      </c>
      <c r="C58" s="49">
        <f t="shared" si="25"/>
        <v>8.9485516109535318E-10</v>
      </c>
      <c r="D58" s="49">
        <f t="shared" si="25"/>
        <v>9.3944277070009853E-10</v>
      </c>
      <c r="E58" s="49">
        <f t="shared" si="25"/>
        <v>4.5984460092467311E-9</v>
      </c>
      <c r="F58" s="49">
        <f t="shared" si="25"/>
        <v>9.3944277070009853E-10</v>
      </c>
      <c r="G58" s="49">
        <f t="shared" si="25"/>
        <v>9.1968920184934621E-9</v>
      </c>
      <c r="H58" s="49">
        <f t="shared" si="26"/>
        <v>2.566251299975501E-2</v>
      </c>
      <c r="I58" s="49">
        <f t="shared" si="26"/>
        <v>5.3882378654679763E-2</v>
      </c>
      <c r="J58" s="49">
        <f t="shared" si="26"/>
        <v>0.51074386239962155</v>
      </c>
      <c r="K58" s="49">
        <f t="shared" si="26"/>
        <v>5.3882378654679763E-2</v>
      </c>
      <c r="L58" s="49">
        <f t="shared" si="26"/>
        <v>2.0429754495984862</v>
      </c>
      <c r="M58" s="59">
        <f t="shared" si="28"/>
        <v>0.13342727030911455</v>
      </c>
    </row>
    <row r="59" spans="1:23" x14ac:dyDescent="0.25">
      <c r="A59" s="53">
        <f t="shared" si="27"/>
        <v>20</v>
      </c>
      <c r="B59" s="48">
        <f t="shared" si="27"/>
        <v>1</v>
      </c>
      <c r="C59" s="49">
        <f t="shared" si="25"/>
        <v>8.9485516109535318E-10</v>
      </c>
      <c r="D59" s="49">
        <f t="shared" si="25"/>
        <v>9.3944277070009853E-10</v>
      </c>
      <c r="E59" s="49">
        <f t="shared" si="25"/>
        <v>4.5984460092467311E-9</v>
      </c>
      <c r="F59" s="49">
        <f t="shared" si="25"/>
        <v>9.3944277070009853E-10</v>
      </c>
      <c r="G59" s="49">
        <f t="shared" si="25"/>
        <v>9.1968920184934621E-9</v>
      </c>
      <c r="H59" s="49">
        <f t="shared" si="26"/>
        <v>3.4216683999673349E-2</v>
      </c>
      <c r="I59" s="49">
        <f t="shared" si="26"/>
        <v>7.1843171539573036E-2</v>
      </c>
      <c r="J59" s="49">
        <f t="shared" si="26"/>
        <v>0.68099181653282892</v>
      </c>
      <c r="K59" s="49">
        <f t="shared" si="26"/>
        <v>7.1843171539573036E-2</v>
      </c>
      <c r="L59" s="49">
        <f t="shared" si="26"/>
        <v>2.7239672661313157</v>
      </c>
      <c r="M59" s="59">
        <f t="shared" si="28"/>
        <v>0.17790302707881941</v>
      </c>
    </row>
    <row r="60" spans="1:23" x14ac:dyDescent="0.25">
      <c r="A60" s="53">
        <f t="shared" si="27"/>
        <v>25</v>
      </c>
      <c r="B60" s="48">
        <f t="shared" si="27"/>
        <v>1</v>
      </c>
      <c r="C60" s="49">
        <f t="shared" si="25"/>
        <v>8.9485516109535318E-10</v>
      </c>
      <c r="D60" s="49">
        <f t="shared" si="25"/>
        <v>9.3944277070009853E-10</v>
      </c>
      <c r="E60" s="49">
        <f t="shared" si="25"/>
        <v>4.5984460092467311E-9</v>
      </c>
      <c r="F60" s="49">
        <f t="shared" si="25"/>
        <v>9.3944277070009853E-10</v>
      </c>
      <c r="G60" s="49">
        <f t="shared" si="25"/>
        <v>9.1968920184934621E-9</v>
      </c>
      <c r="H60" s="49">
        <f t="shared" si="26"/>
        <v>4.2770854999591684E-2</v>
      </c>
      <c r="I60" s="49">
        <f t="shared" si="26"/>
        <v>8.9803964424466282E-2</v>
      </c>
      <c r="J60" s="49">
        <f t="shared" si="26"/>
        <v>0.85123977066603618</v>
      </c>
      <c r="K60" s="49">
        <f t="shared" si="26"/>
        <v>8.9803964424466282E-2</v>
      </c>
      <c r="L60" s="49">
        <f t="shared" si="26"/>
        <v>3.4049590826641447</v>
      </c>
      <c r="M60" s="59">
        <f t="shared" si="28"/>
        <v>0.22237878384852425</v>
      </c>
    </row>
    <row r="61" spans="1:23" x14ac:dyDescent="0.25">
      <c r="A61" s="53">
        <f t="shared" si="27"/>
        <v>30</v>
      </c>
      <c r="B61" s="48">
        <f t="shared" si="27"/>
        <v>1</v>
      </c>
      <c r="C61" s="49">
        <f t="shared" si="25"/>
        <v>8.9485516109535318E-10</v>
      </c>
      <c r="D61" s="49">
        <f t="shared" si="25"/>
        <v>9.3944277070009853E-10</v>
      </c>
      <c r="E61" s="49">
        <f t="shared" si="25"/>
        <v>4.5984460092467311E-9</v>
      </c>
      <c r="F61" s="49">
        <f t="shared" si="25"/>
        <v>9.3944277070009853E-10</v>
      </c>
      <c r="G61" s="49">
        <f t="shared" si="25"/>
        <v>9.1968920184934621E-9</v>
      </c>
      <c r="H61" s="49">
        <f t="shared" si="26"/>
        <v>5.132502599951002E-2</v>
      </c>
      <c r="I61" s="49">
        <f t="shared" si="26"/>
        <v>0.10776475730935953</v>
      </c>
      <c r="J61" s="49">
        <f t="shared" si="26"/>
        <v>1.0214877247992431</v>
      </c>
      <c r="K61" s="49">
        <f t="shared" si="26"/>
        <v>0.10776475730935953</v>
      </c>
      <c r="L61" s="49">
        <f t="shared" si="26"/>
        <v>4.0859508991969724</v>
      </c>
      <c r="M61" s="59">
        <f t="shared" si="28"/>
        <v>0.26685454061822911</v>
      </c>
    </row>
    <row r="62" spans="1:23" x14ac:dyDescent="0.25">
      <c r="A62" s="53">
        <f t="shared" si="27"/>
        <v>35</v>
      </c>
      <c r="B62" s="48">
        <f t="shared" si="27"/>
        <v>1</v>
      </c>
      <c r="C62" s="49">
        <f t="shared" si="25"/>
        <v>8.9485516109535318E-10</v>
      </c>
      <c r="D62" s="49">
        <f t="shared" si="25"/>
        <v>9.3944277070009853E-10</v>
      </c>
      <c r="E62" s="49">
        <f t="shared" si="25"/>
        <v>4.5984460092467311E-9</v>
      </c>
      <c r="F62" s="49">
        <f t="shared" si="25"/>
        <v>9.3944277070009853E-10</v>
      </c>
      <c r="G62" s="49">
        <f t="shared" si="25"/>
        <v>9.1968920184934621E-9</v>
      </c>
      <c r="H62" s="49">
        <f t="shared" si="26"/>
        <v>5.9879196999428341E-2</v>
      </c>
      <c r="I62" s="49">
        <f t="shared" si="26"/>
        <v>0.12572555019425277</v>
      </c>
      <c r="J62" s="49">
        <f t="shared" si="26"/>
        <v>1.1917356789324507</v>
      </c>
      <c r="K62" s="49">
        <f t="shared" si="26"/>
        <v>0.12572555019425277</v>
      </c>
      <c r="L62" s="49">
        <f t="shared" si="26"/>
        <v>4.7669427157298028</v>
      </c>
      <c r="M62" s="59">
        <f t="shared" si="28"/>
        <v>0.31133029738793389</v>
      </c>
    </row>
    <row r="63" spans="1:23" x14ac:dyDescent="0.25">
      <c r="A63" s="53">
        <f t="shared" si="27"/>
        <v>40</v>
      </c>
      <c r="B63" s="48">
        <f t="shared" si="27"/>
        <v>1</v>
      </c>
      <c r="C63" s="49">
        <f t="shared" si="25"/>
        <v>8.9485516109535318E-10</v>
      </c>
      <c r="D63" s="49">
        <f t="shared" si="25"/>
        <v>9.3944277070009853E-10</v>
      </c>
      <c r="E63" s="49">
        <f t="shared" si="25"/>
        <v>4.5984460092467311E-9</v>
      </c>
      <c r="F63" s="49">
        <f t="shared" si="25"/>
        <v>9.3944277070009853E-10</v>
      </c>
      <c r="G63" s="49">
        <f t="shared" si="25"/>
        <v>9.1968920184934621E-9</v>
      </c>
      <c r="H63" s="49">
        <f t="shared" si="26"/>
        <v>6.8433367999346698E-2</v>
      </c>
      <c r="I63" s="49">
        <f t="shared" si="26"/>
        <v>0.14368634307914607</v>
      </c>
      <c r="J63" s="49">
        <f t="shared" si="26"/>
        <v>1.3619836330656578</v>
      </c>
      <c r="K63" s="49">
        <f t="shared" si="26"/>
        <v>0.14368634307914607</v>
      </c>
      <c r="L63" s="49">
        <f t="shared" si="26"/>
        <v>5.4479345322626314</v>
      </c>
      <c r="M63" s="59">
        <f t="shared" si="28"/>
        <v>0.35580605415763883</v>
      </c>
    </row>
    <row r="64" spans="1:23" x14ac:dyDescent="0.25">
      <c r="A64" s="53">
        <f t="shared" si="27"/>
        <v>45</v>
      </c>
      <c r="B64" s="48">
        <f t="shared" si="27"/>
        <v>1</v>
      </c>
      <c r="C64" s="49">
        <f t="shared" si="25"/>
        <v>8.9485516109535318E-10</v>
      </c>
      <c r="D64" s="49">
        <f t="shared" si="25"/>
        <v>9.3944277070009853E-10</v>
      </c>
      <c r="E64" s="49">
        <f t="shared" si="25"/>
        <v>4.5984460092467311E-9</v>
      </c>
      <c r="F64" s="49">
        <f t="shared" si="25"/>
        <v>9.3944277070009853E-10</v>
      </c>
      <c r="G64" s="49">
        <f t="shared" si="25"/>
        <v>9.1968920184934621E-9</v>
      </c>
      <c r="H64" s="49">
        <f t="shared" si="26"/>
        <v>7.6987538999265026E-2</v>
      </c>
      <c r="I64" s="49">
        <f t="shared" si="26"/>
        <v>0.16164713596403932</v>
      </c>
      <c r="J64" s="49">
        <f t="shared" si="26"/>
        <v>1.532231587198865</v>
      </c>
      <c r="K64" s="49">
        <f t="shared" si="26"/>
        <v>0.16164713596403932</v>
      </c>
      <c r="L64" s="49">
        <f t="shared" si="26"/>
        <v>6.1289263487954599</v>
      </c>
      <c r="M64" s="59">
        <f t="shared" si="28"/>
        <v>0.40028181092734366</v>
      </c>
    </row>
    <row r="65" spans="1:14" x14ac:dyDescent="0.25">
      <c r="A65" s="53">
        <f t="shared" si="27"/>
        <v>50</v>
      </c>
      <c r="B65" s="48">
        <f t="shared" si="27"/>
        <v>1</v>
      </c>
      <c r="C65" s="49">
        <f t="shared" si="25"/>
        <v>8.9485516109535318E-10</v>
      </c>
      <c r="D65" s="49">
        <f t="shared" si="25"/>
        <v>9.3944277070009853E-10</v>
      </c>
      <c r="E65" s="49">
        <f t="shared" si="25"/>
        <v>4.5984460092467311E-9</v>
      </c>
      <c r="F65" s="49">
        <f t="shared" si="25"/>
        <v>9.3944277070009853E-10</v>
      </c>
      <c r="G65" s="49">
        <f t="shared" si="25"/>
        <v>9.1968920184934621E-9</v>
      </c>
      <c r="H65" s="49">
        <f t="shared" si="26"/>
        <v>8.5541709999183368E-2</v>
      </c>
      <c r="I65" s="49">
        <f t="shared" si="26"/>
        <v>0.17960792884893256</v>
      </c>
      <c r="J65" s="49">
        <f t="shared" si="26"/>
        <v>1.7024795413320724</v>
      </c>
      <c r="K65" s="49">
        <f t="shared" si="26"/>
        <v>0.17960792884893256</v>
      </c>
      <c r="L65" s="49">
        <f t="shared" si="26"/>
        <v>6.8099181653282894</v>
      </c>
      <c r="M65" s="59">
        <f t="shared" si="28"/>
        <v>0.44475756769704849</v>
      </c>
    </row>
    <row r="66" spans="1:14" ht="14.4" thickBot="1" x14ac:dyDescent="0.3">
      <c r="A66" s="53">
        <f t="shared" si="27"/>
        <v>125</v>
      </c>
      <c r="B66" s="48">
        <f t="shared" si="27"/>
        <v>1</v>
      </c>
      <c r="C66" s="49">
        <f>$C$2*N$11*$B66*S$11*I22</f>
        <v>8.9485516109535318E-10</v>
      </c>
      <c r="D66" s="49">
        <f>$C$2*O$11*$B66*T$11*J22</f>
        <v>9.3944277070009853E-10</v>
      </c>
      <c r="E66" s="49">
        <f>$C$2*P$11*$B66*U$11*K22</f>
        <v>4.5984460092467311E-9</v>
      </c>
      <c r="F66" s="49">
        <f>$C$2*Q$11*$B66*V$11*L22</f>
        <v>9.3944277070009853E-10</v>
      </c>
      <c r="G66" s="49">
        <f>$C$2*R$11*$B66*W$11*M22</f>
        <v>9.1968920184934621E-9</v>
      </c>
      <c r="H66" s="49">
        <f>(D22*I22*$M$2*C66)/$T$2</f>
        <v>0.21385427499795834</v>
      </c>
      <c r="I66" s="49">
        <f>(E22*J22*$M$2*D66)/$T$2</f>
        <v>0.44901982212233132</v>
      </c>
      <c r="J66" s="49">
        <f>(F22*K22*$M$2*E66)/$T$2</f>
        <v>4.2561988533301802</v>
      </c>
      <c r="K66" s="49">
        <f>(G22*L22*$M$2*F66)/$T$2</f>
        <v>0.44901982212233132</v>
      </c>
      <c r="L66" s="49">
        <f>(H22*M22*$M$2*G66)/$T$2</f>
        <v>17.024795413320721</v>
      </c>
      <c r="M66" s="59">
        <f>SUM(H66,I66,K66)</f>
        <v>1.1118939192426209</v>
      </c>
    </row>
    <row r="67" spans="1:14" ht="42" thickBot="1" x14ac:dyDescent="0.3">
      <c r="A67" s="73" t="s">
        <v>126</v>
      </c>
    </row>
    <row r="68" spans="1:14" ht="14.4" thickBot="1" x14ac:dyDescent="0.3"/>
    <row r="69" spans="1:14" ht="28.2" thickBot="1" x14ac:dyDescent="0.3">
      <c r="A69" s="66" t="s">
        <v>17</v>
      </c>
      <c r="B69" s="65" t="s">
        <v>93</v>
      </c>
      <c r="C69" s="60" t="s">
        <v>127</v>
      </c>
      <c r="D69" s="60" t="s">
        <v>128</v>
      </c>
      <c r="E69" s="60" t="s">
        <v>129</v>
      </c>
      <c r="F69" s="60" t="s">
        <v>130</v>
      </c>
      <c r="G69" s="60" t="s">
        <v>131</v>
      </c>
      <c r="H69" s="60" t="s">
        <v>132</v>
      </c>
      <c r="I69" s="60" t="s">
        <v>133</v>
      </c>
      <c r="J69" s="60" t="s">
        <v>134</v>
      </c>
      <c r="K69" s="60" t="s">
        <v>135</v>
      </c>
      <c r="L69" s="60" t="s">
        <v>136</v>
      </c>
    </row>
    <row r="70" spans="1:14" x14ac:dyDescent="0.25">
      <c r="A70" s="53">
        <f>A56</f>
        <v>5</v>
      </c>
      <c r="B70" s="48">
        <f t="shared" ref="B70:B80" si="29">B42</f>
        <v>1</v>
      </c>
      <c r="C70" s="49">
        <f>$C$2*N$11*$B70*S$11*$F$2</f>
        <v>2.7964223784229785E-10</v>
      </c>
      <c r="D70" s="49">
        <f t="shared" ref="D70:G79" si="30">$C$2*O$11*$B70*T$11*$F$2</f>
        <v>1.467879329218904E-10</v>
      </c>
      <c r="E70" s="49">
        <f t="shared" si="30"/>
        <v>1.4370143778896034E-9</v>
      </c>
      <c r="F70" s="49">
        <f t="shared" si="30"/>
        <v>1.467879329218904E-10</v>
      </c>
      <c r="G70" s="49">
        <f t="shared" si="30"/>
        <v>2.8740287557792068E-9</v>
      </c>
      <c r="H70" s="49">
        <f t="shared" ref="H70:L79" si="31">C70*$M$2*$F$2</f>
        <v>4.893739162240212E-3</v>
      </c>
      <c r="I70" s="49">
        <f t="shared" si="31"/>
        <v>2.5687888261330823E-3</v>
      </c>
      <c r="J70" s="49">
        <f t="shared" si="31"/>
        <v>2.5147751613068058E-2</v>
      </c>
      <c r="K70" s="49">
        <f t="shared" si="31"/>
        <v>2.5687888261330823E-3</v>
      </c>
      <c r="L70" s="49">
        <f t="shared" si="31"/>
        <v>5.0295503226136115E-2</v>
      </c>
      <c r="M70" s="59">
        <f>SUM(H70:L70)</f>
        <v>8.5474571653710557E-2</v>
      </c>
      <c r="N70" s="59"/>
    </row>
    <row r="71" spans="1:14" x14ac:dyDescent="0.25">
      <c r="A71" s="53">
        <f t="shared" ref="A71:A80" si="32">A57</f>
        <v>10</v>
      </c>
      <c r="B71" s="48">
        <f t="shared" si="29"/>
        <v>1</v>
      </c>
      <c r="C71" s="49">
        <f t="shared" ref="C71:C79" si="33">$C$2*N$11*$B71*S$11*$F$2</f>
        <v>2.7964223784229785E-10</v>
      </c>
      <c r="D71" s="49">
        <f t="shared" si="30"/>
        <v>1.467879329218904E-10</v>
      </c>
      <c r="E71" s="49">
        <f t="shared" si="30"/>
        <v>1.4370143778896034E-9</v>
      </c>
      <c r="F71" s="49">
        <f t="shared" si="30"/>
        <v>1.467879329218904E-10</v>
      </c>
      <c r="G71" s="49">
        <f t="shared" si="30"/>
        <v>2.8740287557792068E-9</v>
      </c>
      <c r="H71" s="49">
        <f t="shared" si="31"/>
        <v>4.893739162240212E-3</v>
      </c>
      <c r="I71" s="49">
        <f t="shared" si="31"/>
        <v>2.5687888261330823E-3</v>
      </c>
      <c r="J71" s="49">
        <f t="shared" si="31"/>
        <v>2.5147751613068058E-2</v>
      </c>
      <c r="K71" s="49">
        <f t="shared" si="31"/>
        <v>2.5687888261330823E-3</v>
      </c>
      <c r="L71" s="49">
        <f t="shared" si="31"/>
        <v>5.0295503226136115E-2</v>
      </c>
      <c r="M71" s="59">
        <f t="shared" ref="M71:M79" si="34">SUM(H71:L71)</f>
        <v>8.5474571653710557E-2</v>
      </c>
    </row>
    <row r="72" spans="1:14" x14ac:dyDescent="0.25">
      <c r="A72" s="53">
        <f t="shared" si="32"/>
        <v>15</v>
      </c>
      <c r="B72" s="48">
        <f t="shared" si="29"/>
        <v>1</v>
      </c>
      <c r="C72" s="49">
        <f t="shared" si="33"/>
        <v>2.7964223784229785E-10</v>
      </c>
      <c r="D72" s="49">
        <f t="shared" si="30"/>
        <v>1.467879329218904E-10</v>
      </c>
      <c r="E72" s="49">
        <f t="shared" si="30"/>
        <v>1.4370143778896034E-9</v>
      </c>
      <c r="F72" s="49">
        <f t="shared" si="30"/>
        <v>1.467879329218904E-10</v>
      </c>
      <c r="G72" s="49">
        <f t="shared" si="30"/>
        <v>2.8740287557792068E-9</v>
      </c>
      <c r="H72" s="49">
        <f t="shared" si="31"/>
        <v>4.893739162240212E-3</v>
      </c>
      <c r="I72" s="49">
        <f t="shared" si="31"/>
        <v>2.5687888261330823E-3</v>
      </c>
      <c r="J72" s="49">
        <f t="shared" si="31"/>
        <v>2.5147751613068058E-2</v>
      </c>
      <c r="K72" s="49">
        <f t="shared" si="31"/>
        <v>2.5687888261330823E-3</v>
      </c>
      <c r="L72" s="49">
        <f t="shared" si="31"/>
        <v>5.0295503226136115E-2</v>
      </c>
      <c r="M72" s="59">
        <f t="shared" si="34"/>
        <v>8.5474571653710557E-2</v>
      </c>
    </row>
    <row r="73" spans="1:14" x14ac:dyDescent="0.25">
      <c r="A73" s="53">
        <f t="shared" si="32"/>
        <v>20</v>
      </c>
      <c r="B73" s="48">
        <f t="shared" si="29"/>
        <v>1</v>
      </c>
      <c r="C73" s="49">
        <f t="shared" si="33"/>
        <v>2.7964223784229785E-10</v>
      </c>
      <c r="D73" s="49">
        <f t="shared" si="30"/>
        <v>1.467879329218904E-10</v>
      </c>
      <c r="E73" s="49">
        <f t="shared" si="30"/>
        <v>1.4370143778896034E-9</v>
      </c>
      <c r="F73" s="49">
        <f t="shared" si="30"/>
        <v>1.467879329218904E-10</v>
      </c>
      <c r="G73" s="49">
        <f t="shared" si="30"/>
        <v>2.8740287557792068E-9</v>
      </c>
      <c r="H73" s="49">
        <f t="shared" si="31"/>
        <v>4.893739162240212E-3</v>
      </c>
      <c r="I73" s="49">
        <f t="shared" si="31"/>
        <v>2.5687888261330823E-3</v>
      </c>
      <c r="J73" s="49">
        <f t="shared" si="31"/>
        <v>2.5147751613068058E-2</v>
      </c>
      <c r="K73" s="49">
        <f t="shared" si="31"/>
        <v>2.5687888261330823E-3</v>
      </c>
      <c r="L73" s="49">
        <f t="shared" si="31"/>
        <v>5.0295503226136115E-2</v>
      </c>
      <c r="M73" s="59">
        <f t="shared" si="34"/>
        <v>8.5474571653710557E-2</v>
      </c>
    </row>
    <row r="74" spans="1:14" x14ac:dyDescent="0.25">
      <c r="A74" s="53">
        <f t="shared" si="32"/>
        <v>25</v>
      </c>
      <c r="B74" s="48">
        <f t="shared" si="29"/>
        <v>1</v>
      </c>
      <c r="C74" s="49">
        <f t="shared" si="33"/>
        <v>2.7964223784229785E-10</v>
      </c>
      <c r="D74" s="49">
        <f t="shared" si="30"/>
        <v>1.467879329218904E-10</v>
      </c>
      <c r="E74" s="49">
        <f t="shared" si="30"/>
        <v>1.4370143778896034E-9</v>
      </c>
      <c r="F74" s="49">
        <f t="shared" si="30"/>
        <v>1.467879329218904E-10</v>
      </c>
      <c r="G74" s="49">
        <f t="shared" si="30"/>
        <v>2.8740287557792068E-9</v>
      </c>
      <c r="H74" s="49">
        <f t="shared" si="31"/>
        <v>4.893739162240212E-3</v>
      </c>
      <c r="I74" s="49">
        <f t="shared" si="31"/>
        <v>2.5687888261330823E-3</v>
      </c>
      <c r="J74" s="49">
        <f t="shared" si="31"/>
        <v>2.5147751613068058E-2</v>
      </c>
      <c r="K74" s="49">
        <f t="shared" si="31"/>
        <v>2.5687888261330823E-3</v>
      </c>
      <c r="L74" s="49">
        <f t="shared" si="31"/>
        <v>5.0295503226136115E-2</v>
      </c>
      <c r="M74" s="59">
        <f t="shared" si="34"/>
        <v>8.5474571653710557E-2</v>
      </c>
    </row>
    <row r="75" spans="1:14" x14ac:dyDescent="0.25">
      <c r="A75" s="53">
        <f t="shared" si="32"/>
        <v>30</v>
      </c>
      <c r="B75" s="48">
        <f t="shared" si="29"/>
        <v>1</v>
      </c>
      <c r="C75" s="49">
        <f t="shared" si="33"/>
        <v>2.7964223784229785E-10</v>
      </c>
      <c r="D75" s="49">
        <f t="shared" si="30"/>
        <v>1.467879329218904E-10</v>
      </c>
      <c r="E75" s="49">
        <f t="shared" si="30"/>
        <v>1.4370143778896034E-9</v>
      </c>
      <c r="F75" s="49">
        <f t="shared" si="30"/>
        <v>1.467879329218904E-10</v>
      </c>
      <c r="G75" s="49">
        <f t="shared" si="30"/>
        <v>2.8740287557792068E-9</v>
      </c>
      <c r="H75" s="49">
        <f t="shared" si="31"/>
        <v>4.893739162240212E-3</v>
      </c>
      <c r="I75" s="49">
        <f t="shared" si="31"/>
        <v>2.5687888261330823E-3</v>
      </c>
      <c r="J75" s="49">
        <f t="shared" si="31"/>
        <v>2.5147751613068058E-2</v>
      </c>
      <c r="K75" s="49">
        <f t="shared" si="31"/>
        <v>2.5687888261330823E-3</v>
      </c>
      <c r="L75" s="49">
        <f t="shared" si="31"/>
        <v>5.0295503226136115E-2</v>
      </c>
      <c r="M75" s="59">
        <f t="shared" si="34"/>
        <v>8.5474571653710557E-2</v>
      </c>
    </row>
    <row r="76" spans="1:14" x14ac:dyDescent="0.25">
      <c r="A76" s="53">
        <f t="shared" si="32"/>
        <v>35</v>
      </c>
      <c r="B76" s="48">
        <f t="shared" si="29"/>
        <v>1</v>
      </c>
      <c r="C76" s="49">
        <f t="shared" si="33"/>
        <v>2.7964223784229785E-10</v>
      </c>
      <c r="D76" s="49">
        <f t="shared" si="30"/>
        <v>1.467879329218904E-10</v>
      </c>
      <c r="E76" s="49">
        <f t="shared" si="30"/>
        <v>1.4370143778896034E-9</v>
      </c>
      <c r="F76" s="49">
        <f t="shared" si="30"/>
        <v>1.467879329218904E-10</v>
      </c>
      <c r="G76" s="49">
        <f t="shared" si="30"/>
        <v>2.8740287557792068E-9</v>
      </c>
      <c r="H76" s="49">
        <f t="shared" si="31"/>
        <v>4.893739162240212E-3</v>
      </c>
      <c r="I76" s="49">
        <f t="shared" si="31"/>
        <v>2.5687888261330823E-3</v>
      </c>
      <c r="J76" s="49">
        <f t="shared" si="31"/>
        <v>2.5147751613068058E-2</v>
      </c>
      <c r="K76" s="49">
        <f t="shared" si="31"/>
        <v>2.5687888261330823E-3</v>
      </c>
      <c r="L76" s="49">
        <f t="shared" si="31"/>
        <v>5.0295503226136115E-2</v>
      </c>
      <c r="M76" s="59">
        <f t="shared" si="34"/>
        <v>8.5474571653710557E-2</v>
      </c>
    </row>
    <row r="77" spans="1:14" x14ac:dyDescent="0.25">
      <c r="A77" s="53">
        <f t="shared" si="32"/>
        <v>40</v>
      </c>
      <c r="B77" s="48">
        <f t="shared" si="29"/>
        <v>1</v>
      </c>
      <c r="C77" s="49">
        <f t="shared" si="33"/>
        <v>2.7964223784229785E-10</v>
      </c>
      <c r="D77" s="49">
        <f t="shared" si="30"/>
        <v>1.467879329218904E-10</v>
      </c>
      <c r="E77" s="49">
        <f t="shared" si="30"/>
        <v>1.4370143778896034E-9</v>
      </c>
      <c r="F77" s="49">
        <f t="shared" si="30"/>
        <v>1.467879329218904E-10</v>
      </c>
      <c r="G77" s="49">
        <f t="shared" si="30"/>
        <v>2.8740287557792068E-9</v>
      </c>
      <c r="H77" s="49">
        <f t="shared" si="31"/>
        <v>4.893739162240212E-3</v>
      </c>
      <c r="I77" s="49">
        <f t="shared" si="31"/>
        <v>2.5687888261330823E-3</v>
      </c>
      <c r="J77" s="49">
        <f t="shared" si="31"/>
        <v>2.5147751613068058E-2</v>
      </c>
      <c r="K77" s="49">
        <f t="shared" si="31"/>
        <v>2.5687888261330823E-3</v>
      </c>
      <c r="L77" s="49">
        <f t="shared" si="31"/>
        <v>5.0295503226136115E-2</v>
      </c>
      <c r="M77" s="59">
        <f t="shared" si="34"/>
        <v>8.5474571653710557E-2</v>
      </c>
    </row>
    <row r="78" spans="1:14" x14ac:dyDescent="0.25">
      <c r="A78" s="53">
        <f t="shared" si="32"/>
        <v>45</v>
      </c>
      <c r="B78" s="48">
        <f t="shared" si="29"/>
        <v>1</v>
      </c>
      <c r="C78" s="49">
        <f t="shared" si="33"/>
        <v>2.7964223784229785E-10</v>
      </c>
      <c r="D78" s="49">
        <f t="shared" si="30"/>
        <v>1.467879329218904E-10</v>
      </c>
      <c r="E78" s="49">
        <f t="shared" si="30"/>
        <v>1.4370143778896034E-9</v>
      </c>
      <c r="F78" s="49">
        <f t="shared" si="30"/>
        <v>1.467879329218904E-10</v>
      </c>
      <c r="G78" s="49">
        <f t="shared" si="30"/>
        <v>2.8740287557792068E-9</v>
      </c>
      <c r="H78" s="49">
        <f t="shared" si="31"/>
        <v>4.893739162240212E-3</v>
      </c>
      <c r="I78" s="49">
        <f t="shared" si="31"/>
        <v>2.5687888261330823E-3</v>
      </c>
      <c r="J78" s="49">
        <f t="shared" si="31"/>
        <v>2.5147751613068058E-2</v>
      </c>
      <c r="K78" s="49">
        <f t="shared" si="31"/>
        <v>2.5687888261330823E-3</v>
      </c>
      <c r="L78" s="49">
        <f t="shared" si="31"/>
        <v>5.0295503226136115E-2</v>
      </c>
      <c r="M78" s="59">
        <f t="shared" si="34"/>
        <v>8.5474571653710557E-2</v>
      </c>
    </row>
    <row r="79" spans="1:14" x14ac:dyDescent="0.25">
      <c r="A79" s="53">
        <f t="shared" si="32"/>
        <v>50</v>
      </c>
      <c r="B79" s="48">
        <f t="shared" si="29"/>
        <v>1</v>
      </c>
      <c r="C79" s="49">
        <f t="shared" si="33"/>
        <v>2.7964223784229785E-10</v>
      </c>
      <c r="D79" s="49">
        <f t="shared" si="30"/>
        <v>1.467879329218904E-10</v>
      </c>
      <c r="E79" s="49">
        <f t="shared" si="30"/>
        <v>1.4370143778896034E-9</v>
      </c>
      <c r="F79" s="49">
        <f t="shared" si="30"/>
        <v>1.467879329218904E-10</v>
      </c>
      <c r="G79" s="49">
        <f t="shared" si="30"/>
        <v>2.8740287557792068E-9</v>
      </c>
      <c r="H79" s="49">
        <f t="shared" si="31"/>
        <v>4.893739162240212E-3</v>
      </c>
      <c r="I79" s="49">
        <f t="shared" si="31"/>
        <v>2.5687888261330823E-3</v>
      </c>
      <c r="J79" s="49">
        <f t="shared" si="31"/>
        <v>2.5147751613068058E-2</v>
      </c>
      <c r="K79" s="49">
        <f t="shared" si="31"/>
        <v>2.5687888261330823E-3</v>
      </c>
      <c r="L79" s="49">
        <f t="shared" si="31"/>
        <v>5.0295503226136115E-2</v>
      </c>
      <c r="M79" s="59">
        <f t="shared" si="34"/>
        <v>8.5474571653710557E-2</v>
      </c>
    </row>
    <row r="80" spans="1:14" x14ac:dyDescent="0.25">
      <c r="A80" s="53">
        <f t="shared" si="32"/>
        <v>125</v>
      </c>
      <c r="B80" s="48">
        <f t="shared" si="29"/>
        <v>1</v>
      </c>
      <c r="C80" s="49">
        <f>$C$2*N$11*$B80*S$11*$F$2</f>
        <v>2.7964223784229785E-10</v>
      </c>
      <c r="D80" s="49">
        <f>$C$2*O$11*$B80*T$11*$F$2</f>
        <v>1.467879329218904E-10</v>
      </c>
      <c r="E80" s="49">
        <f>$C$2*P$11*$B80*U$11*$F$2</f>
        <v>1.4370143778896034E-9</v>
      </c>
      <c r="F80" s="49">
        <f>$C$2*Q$11*$B80*V$11*$F$2</f>
        <v>1.467879329218904E-10</v>
      </c>
      <c r="G80" s="49">
        <f>$C$2*R$11*$B80*W$11*$F$2</f>
        <v>2.8740287557792068E-9</v>
      </c>
      <c r="H80" s="49">
        <f>C80*$M$2*$F$2</f>
        <v>4.893739162240212E-3</v>
      </c>
      <c r="I80" s="49">
        <f>D80*$M$2*$F$2</f>
        <v>2.5687888261330823E-3</v>
      </c>
      <c r="J80" s="49">
        <f>E80*$M$2*$F$2</f>
        <v>2.5147751613068058E-2</v>
      </c>
      <c r="K80" s="49">
        <f>F80*$M$2*$F$2</f>
        <v>2.5687888261330823E-3</v>
      </c>
      <c r="L80" s="49">
        <f>G80*$M$2*$F$2</f>
        <v>5.0295503226136115E-2</v>
      </c>
      <c r="M80" s="59">
        <f>SUM(H80:L80)</f>
        <v>8.5474571653710557E-2</v>
      </c>
    </row>
    <row r="82" spans="1:16" ht="14.4" thickBot="1" x14ac:dyDescent="0.3"/>
    <row r="83" spans="1:16" ht="42" thickBot="1" x14ac:dyDescent="0.3">
      <c r="A83" s="73" t="s">
        <v>137</v>
      </c>
    </row>
    <row r="84" spans="1:16" ht="14.4" thickBot="1" x14ac:dyDescent="0.3"/>
    <row r="85" spans="1:16" ht="28.2" thickBot="1" x14ac:dyDescent="0.3">
      <c r="A85" s="66" t="s">
        <v>17</v>
      </c>
      <c r="B85" s="65" t="s">
        <v>93</v>
      </c>
      <c r="C85" s="60" t="s">
        <v>138</v>
      </c>
      <c r="D85" s="60" t="s">
        <v>139</v>
      </c>
      <c r="E85" s="60" t="s">
        <v>140</v>
      </c>
      <c r="F85" s="60" t="s">
        <v>141</v>
      </c>
      <c r="G85" s="60" t="s">
        <v>142</v>
      </c>
      <c r="H85" s="60" t="s">
        <v>143</v>
      </c>
      <c r="I85" s="60" t="s">
        <v>144</v>
      </c>
      <c r="J85" s="60" t="s">
        <v>145</v>
      </c>
      <c r="K85" s="60" t="s">
        <v>146</v>
      </c>
      <c r="L85" s="60" t="s">
        <v>147</v>
      </c>
    </row>
    <row r="86" spans="1:16" x14ac:dyDescent="0.25">
      <c r="A86" s="53">
        <f>A70</f>
        <v>5</v>
      </c>
      <c r="B86" s="48">
        <f t="shared" ref="B86:B94" si="35">B42</f>
        <v>1</v>
      </c>
      <c r="C86" s="49">
        <f t="shared" ref="C86:G95" si="36">$D$2*I11*N$11*$B86*S$11</f>
        <v>6.287038602543466E-10</v>
      </c>
      <c r="D86" s="49">
        <f t="shared" si="36"/>
        <v>6.6003004967220059E-10</v>
      </c>
      <c r="E86" s="49">
        <f t="shared" si="36"/>
        <v>3.2307583203138626E-9</v>
      </c>
      <c r="F86" s="49">
        <f t="shared" si="36"/>
        <v>6.6003004967220059E-10</v>
      </c>
      <c r="G86" s="49">
        <f t="shared" si="36"/>
        <v>6.4615166406277252E-9</v>
      </c>
      <c r="H86" s="49">
        <f t="shared" ref="H86:L95" si="37">C86*I$11*$M$2*0.5</f>
        <v>1.7603708087121705E-2</v>
      </c>
      <c r="I86" s="49">
        <f t="shared" si="37"/>
        <v>3.6961682781643232E-2</v>
      </c>
      <c r="J86" s="49">
        <f t="shared" si="37"/>
        <v>9.0461232968788149E-2</v>
      </c>
      <c r="K86" s="49">
        <f t="shared" si="37"/>
        <v>3.6961682781643232E-2</v>
      </c>
      <c r="L86" s="49">
        <f t="shared" si="37"/>
        <v>0.1809224659375763</v>
      </c>
      <c r="M86" s="49">
        <f t="shared" ref="M86:M95" si="38">SUM(H86:L86)</f>
        <v>0.36291077255677262</v>
      </c>
      <c r="P86" s="59"/>
    </row>
    <row r="87" spans="1:16" x14ac:dyDescent="0.25">
      <c r="A87" s="53">
        <f t="shared" ref="A87:A96" si="39">A71</f>
        <v>10</v>
      </c>
      <c r="B87" s="48">
        <f t="shared" si="35"/>
        <v>1</v>
      </c>
      <c r="C87" s="49">
        <f t="shared" si="36"/>
        <v>6.287038602543466E-10</v>
      </c>
      <c r="D87" s="49">
        <f t="shared" si="36"/>
        <v>6.6003004967220059E-10</v>
      </c>
      <c r="E87" s="49">
        <f t="shared" si="36"/>
        <v>3.2307583203138626E-9</v>
      </c>
      <c r="F87" s="49">
        <f t="shared" si="36"/>
        <v>6.6003004967220059E-10</v>
      </c>
      <c r="G87" s="49">
        <f t="shared" si="36"/>
        <v>6.4615166406277252E-9</v>
      </c>
      <c r="H87" s="49">
        <f t="shared" si="37"/>
        <v>1.7603708087121705E-2</v>
      </c>
      <c r="I87" s="49">
        <f t="shared" si="37"/>
        <v>3.6961682781643232E-2</v>
      </c>
      <c r="J87" s="49">
        <f t="shared" si="37"/>
        <v>9.0461232968788149E-2</v>
      </c>
      <c r="K87" s="49">
        <f t="shared" si="37"/>
        <v>3.6961682781643232E-2</v>
      </c>
      <c r="L87" s="49">
        <f t="shared" si="37"/>
        <v>0.1809224659375763</v>
      </c>
      <c r="M87" s="49">
        <f t="shared" si="38"/>
        <v>0.36291077255677262</v>
      </c>
    </row>
    <row r="88" spans="1:16" x14ac:dyDescent="0.25">
      <c r="A88" s="53">
        <f t="shared" si="39"/>
        <v>15</v>
      </c>
      <c r="B88" s="48">
        <f t="shared" si="35"/>
        <v>1</v>
      </c>
      <c r="C88" s="49">
        <f t="shared" si="36"/>
        <v>6.287038602543466E-10</v>
      </c>
      <c r="D88" s="49">
        <f t="shared" si="36"/>
        <v>6.6003004967220059E-10</v>
      </c>
      <c r="E88" s="49">
        <f t="shared" si="36"/>
        <v>3.2307583203138626E-9</v>
      </c>
      <c r="F88" s="49">
        <f t="shared" si="36"/>
        <v>6.6003004967220059E-10</v>
      </c>
      <c r="G88" s="49">
        <f t="shared" si="36"/>
        <v>6.4615166406277252E-9</v>
      </c>
      <c r="H88" s="49">
        <f t="shared" si="37"/>
        <v>1.7603708087121705E-2</v>
      </c>
      <c r="I88" s="49">
        <f t="shared" si="37"/>
        <v>3.6961682781643232E-2</v>
      </c>
      <c r="J88" s="49">
        <f t="shared" si="37"/>
        <v>9.0461232968788149E-2</v>
      </c>
      <c r="K88" s="49">
        <f t="shared" si="37"/>
        <v>3.6961682781643232E-2</v>
      </c>
      <c r="L88" s="49">
        <f t="shared" si="37"/>
        <v>0.1809224659375763</v>
      </c>
      <c r="M88" s="49">
        <f t="shared" si="38"/>
        <v>0.36291077255677262</v>
      </c>
    </row>
    <row r="89" spans="1:16" x14ac:dyDescent="0.25">
      <c r="A89" s="53">
        <f t="shared" si="39"/>
        <v>20</v>
      </c>
      <c r="B89" s="48">
        <f t="shared" si="35"/>
        <v>1</v>
      </c>
      <c r="C89" s="49">
        <f t="shared" si="36"/>
        <v>6.287038602543466E-10</v>
      </c>
      <c r="D89" s="49">
        <f t="shared" si="36"/>
        <v>6.6003004967220059E-10</v>
      </c>
      <c r="E89" s="49">
        <f t="shared" si="36"/>
        <v>3.2307583203138626E-9</v>
      </c>
      <c r="F89" s="49">
        <f t="shared" si="36"/>
        <v>6.6003004967220059E-10</v>
      </c>
      <c r="G89" s="49">
        <f t="shared" si="36"/>
        <v>6.4615166406277252E-9</v>
      </c>
      <c r="H89" s="49">
        <f t="shared" si="37"/>
        <v>1.7603708087121705E-2</v>
      </c>
      <c r="I89" s="49">
        <f t="shared" si="37"/>
        <v>3.6961682781643232E-2</v>
      </c>
      <c r="J89" s="49">
        <f t="shared" si="37"/>
        <v>9.0461232968788149E-2</v>
      </c>
      <c r="K89" s="49">
        <f t="shared" si="37"/>
        <v>3.6961682781643232E-2</v>
      </c>
      <c r="L89" s="49">
        <f t="shared" si="37"/>
        <v>0.1809224659375763</v>
      </c>
      <c r="M89" s="49">
        <f t="shared" si="38"/>
        <v>0.36291077255677262</v>
      </c>
    </row>
    <row r="90" spans="1:16" x14ac:dyDescent="0.25">
      <c r="A90" s="53">
        <f t="shared" si="39"/>
        <v>25</v>
      </c>
      <c r="B90" s="48">
        <f t="shared" si="35"/>
        <v>1</v>
      </c>
      <c r="C90" s="49">
        <f t="shared" si="36"/>
        <v>6.287038602543466E-10</v>
      </c>
      <c r="D90" s="49">
        <f t="shared" si="36"/>
        <v>6.6003004967220059E-10</v>
      </c>
      <c r="E90" s="49">
        <f t="shared" si="36"/>
        <v>3.2307583203138626E-9</v>
      </c>
      <c r="F90" s="49">
        <f t="shared" si="36"/>
        <v>6.6003004967220059E-10</v>
      </c>
      <c r="G90" s="49">
        <f t="shared" si="36"/>
        <v>6.4615166406277252E-9</v>
      </c>
      <c r="H90" s="49">
        <f t="shared" si="37"/>
        <v>1.7603708087121705E-2</v>
      </c>
      <c r="I90" s="49">
        <f t="shared" si="37"/>
        <v>3.6961682781643232E-2</v>
      </c>
      <c r="J90" s="49">
        <f t="shared" si="37"/>
        <v>9.0461232968788149E-2</v>
      </c>
      <c r="K90" s="49">
        <f t="shared" si="37"/>
        <v>3.6961682781643232E-2</v>
      </c>
      <c r="L90" s="49">
        <f t="shared" si="37"/>
        <v>0.1809224659375763</v>
      </c>
      <c r="M90" s="49">
        <f t="shared" si="38"/>
        <v>0.36291077255677262</v>
      </c>
    </row>
    <row r="91" spans="1:16" x14ac:dyDescent="0.25">
      <c r="A91" s="53">
        <f t="shared" si="39"/>
        <v>30</v>
      </c>
      <c r="B91" s="48">
        <f t="shared" si="35"/>
        <v>1</v>
      </c>
      <c r="C91" s="49">
        <f t="shared" si="36"/>
        <v>6.287038602543466E-10</v>
      </c>
      <c r="D91" s="49">
        <f t="shared" si="36"/>
        <v>6.6003004967220059E-10</v>
      </c>
      <c r="E91" s="49">
        <f t="shared" si="36"/>
        <v>3.2307583203138626E-9</v>
      </c>
      <c r="F91" s="49">
        <f t="shared" si="36"/>
        <v>6.6003004967220059E-10</v>
      </c>
      <c r="G91" s="49">
        <f t="shared" si="36"/>
        <v>6.4615166406277252E-9</v>
      </c>
      <c r="H91" s="49">
        <f t="shared" si="37"/>
        <v>1.7603708087121705E-2</v>
      </c>
      <c r="I91" s="49">
        <f t="shared" si="37"/>
        <v>3.6961682781643232E-2</v>
      </c>
      <c r="J91" s="49">
        <f t="shared" si="37"/>
        <v>9.0461232968788149E-2</v>
      </c>
      <c r="K91" s="49">
        <f t="shared" si="37"/>
        <v>3.6961682781643232E-2</v>
      </c>
      <c r="L91" s="49">
        <f t="shared" si="37"/>
        <v>0.1809224659375763</v>
      </c>
      <c r="M91" s="49">
        <f t="shared" si="38"/>
        <v>0.36291077255677262</v>
      </c>
    </row>
    <row r="92" spans="1:16" x14ac:dyDescent="0.25">
      <c r="A92" s="53">
        <f t="shared" si="39"/>
        <v>35</v>
      </c>
      <c r="B92" s="48">
        <f t="shared" si="35"/>
        <v>1</v>
      </c>
      <c r="C92" s="49">
        <f t="shared" si="36"/>
        <v>6.287038602543466E-10</v>
      </c>
      <c r="D92" s="49">
        <f t="shared" si="36"/>
        <v>6.6003004967220059E-10</v>
      </c>
      <c r="E92" s="49">
        <f t="shared" si="36"/>
        <v>3.2307583203138626E-9</v>
      </c>
      <c r="F92" s="49">
        <f t="shared" si="36"/>
        <v>6.6003004967220059E-10</v>
      </c>
      <c r="G92" s="49">
        <f t="shared" si="36"/>
        <v>6.4615166406277252E-9</v>
      </c>
      <c r="H92" s="49">
        <f t="shared" si="37"/>
        <v>1.7603708087121705E-2</v>
      </c>
      <c r="I92" s="49">
        <f t="shared" si="37"/>
        <v>3.6961682781643232E-2</v>
      </c>
      <c r="J92" s="49">
        <f t="shared" si="37"/>
        <v>9.0461232968788149E-2</v>
      </c>
      <c r="K92" s="49">
        <f t="shared" si="37"/>
        <v>3.6961682781643232E-2</v>
      </c>
      <c r="L92" s="49">
        <f t="shared" si="37"/>
        <v>0.1809224659375763</v>
      </c>
      <c r="M92" s="49">
        <f t="shared" si="38"/>
        <v>0.36291077255677262</v>
      </c>
    </row>
    <row r="93" spans="1:16" x14ac:dyDescent="0.25">
      <c r="A93" s="53">
        <f t="shared" si="39"/>
        <v>40</v>
      </c>
      <c r="B93" s="48">
        <f t="shared" si="35"/>
        <v>1</v>
      </c>
      <c r="C93" s="49">
        <f t="shared" si="36"/>
        <v>6.287038602543466E-10</v>
      </c>
      <c r="D93" s="49">
        <f t="shared" si="36"/>
        <v>6.6003004967220059E-10</v>
      </c>
      <c r="E93" s="49">
        <f t="shared" si="36"/>
        <v>3.2307583203138626E-9</v>
      </c>
      <c r="F93" s="49">
        <f t="shared" si="36"/>
        <v>6.6003004967220059E-10</v>
      </c>
      <c r="G93" s="49">
        <f t="shared" si="36"/>
        <v>6.4615166406277252E-9</v>
      </c>
      <c r="H93" s="49">
        <f t="shared" si="37"/>
        <v>1.7603708087121705E-2</v>
      </c>
      <c r="I93" s="49">
        <f t="shared" si="37"/>
        <v>3.6961682781643232E-2</v>
      </c>
      <c r="J93" s="49">
        <f t="shared" si="37"/>
        <v>9.0461232968788149E-2</v>
      </c>
      <c r="K93" s="49">
        <f t="shared" si="37"/>
        <v>3.6961682781643232E-2</v>
      </c>
      <c r="L93" s="49">
        <f t="shared" si="37"/>
        <v>0.1809224659375763</v>
      </c>
      <c r="M93" s="49">
        <f t="shared" si="38"/>
        <v>0.36291077255677262</v>
      </c>
    </row>
    <row r="94" spans="1:16" x14ac:dyDescent="0.25">
      <c r="A94" s="53">
        <f t="shared" si="39"/>
        <v>45</v>
      </c>
      <c r="B94" s="48">
        <f t="shared" si="35"/>
        <v>1</v>
      </c>
      <c r="C94" s="49">
        <f t="shared" si="36"/>
        <v>6.287038602543466E-10</v>
      </c>
      <c r="D94" s="49">
        <f t="shared" si="36"/>
        <v>6.6003004967220059E-10</v>
      </c>
      <c r="E94" s="49">
        <f t="shared" si="36"/>
        <v>3.2307583203138626E-9</v>
      </c>
      <c r="F94" s="49">
        <f t="shared" si="36"/>
        <v>6.6003004967220059E-10</v>
      </c>
      <c r="G94" s="49">
        <f t="shared" si="36"/>
        <v>6.4615166406277252E-9</v>
      </c>
      <c r="H94" s="49">
        <f t="shared" si="37"/>
        <v>1.7603708087121705E-2</v>
      </c>
      <c r="I94" s="49">
        <f t="shared" si="37"/>
        <v>3.6961682781643232E-2</v>
      </c>
      <c r="J94" s="49">
        <f t="shared" si="37"/>
        <v>9.0461232968788149E-2</v>
      </c>
      <c r="K94" s="49">
        <f t="shared" si="37"/>
        <v>3.6961682781643232E-2</v>
      </c>
      <c r="L94" s="49">
        <f t="shared" si="37"/>
        <v>0.1809224659375763</v>
      </c>
      <c r="M94" s="49">
        <f t="shared" si="38"/>
        <v>0.36291077255677262</v>
      </c>
    </row>
    <row r="95" spans="1:16" x14ac:dyDescent="0.25">
      <c r="A95" s="53">
        <f t="shared" si="39"/>
        <v>50</v>
      </c>
      <c r="B95" s="48">
        <v>1</v>
      </c>
      <c r="C95" s="49">
        <f t="shared" si="36"/>
        <v>6.287038602543466E-10</v>
      </c>
      <c r="D95" s="49">
        <f t="shared" si="36"/>
        <v>6.6003004967220059E-10</v>
      </c>
      <c r="E95" s="49">
        <f t="shared" si="36"/>
        <v>3.2307583203138626E-9</v>
      </c>
      <c r="F95" s="49">
        <f t="shared" si="36"/>
        <v>6.6003004967220059E-10</v>
      </c>
      <c r="G95" s="49">
        <f t="shared" si="36"/>
        <v>6.4615166406277252E-9</v>
      </c>
      <c r="H95" s="49">
        <f t="shared" si="37"/>
        <v>1.7603708087121705E-2</v>
      </c>
      <c r="I95" s="49">
        <f t="shared" si="37"/>
        <v>3.6961682781643232E-2</v>
      </c>
      <c r="J95" s="49">
        <f t="shared" si="37"/>
        <v>9.0461232968788149E-2</v>
      </c>
      <c r="K95" s="49">
        <f t="shared" si="37"/>
        <v>3.6961682781643232E-2</v>
      </c>
      <c r="L95" s="49">
        <f t="shared" si="37"/>
        <v>0.1809224659375763</v>
      </c>
      <c r="M95" s="49">
        <f t="shared" si="38"/>
        <v>0.36291077255677262</v>
      </c>
    </row>
    <row r="96" spans="1:16" ht="14.4" thickBot="1" x14ac:dyDescent="0.3">
      <c r="A96" s="53">
        <f t="shared" si="39"/>
        <v>125</v>
      </c>
      <c r="B96" s="48">
        <v>1</v>
      </c>
      <c r="C96" s="49">
        <f>$D$2*I21*N$11*$B96*S$11</f>
        <v>6.287038602543466E-10</v>
      </c>
      <c r="D96" s="49">
        <f>$D$2*J21*O$11*$B96*T$11</f>
        <v>6.6003004967220059E-10</v>
      </c>
      <c r="E96" s="49">
        <f>$D$2*K21*P$11*$B96*U$11</f>
        <v>3.2307583203138626E-9</v>
      </c>
      <c r="F96" s="49">
        <f>$D$2*L21*Q$11*$B96*V$11</f>
        <v>6.6003004967220059E-10</v>
      </c>
      <c r="G96" s="49">
        <f>$D$2*M21*R$11*$B96*W$11</f>
        <v>6.4615166406277252E-9</v>
      </c>
      <c r="H96" s="49">
        <f>C96*I$11*$M$2*0.5</f>
        <v>1.7603708087121705E-2</v>
      </c>
      <c r="I96" s="49">
        <f>D96*J$11*$M$2*0.5</f>
        <v>3.6961682781643232E-2</v>
      </c>
      <c r="J96" s="49">
        <f>E96*K$11*$M$2*0.5</f>
        <v>9.0461232968788149E-2</v>
      </c>
      <c r="K96" s="49">
        <f>F96*L$11*$M$2*0.5</f>
        <v>3.6961682781643232E-2</v>
      </c>
      <c r="L96" s="49">
        <f>G96*M$11*$M$2*0.5</f>
        <v>0.1809224659375763</v>
      </c>
      <c r="M96" s="49">
        <f>SUM(H96:L96)</f>
        <v>0.36291077255677262</v>
      </c>
    </row>
    <row r="97" spans="1:11" ht="28.2" thickBot="1" x14ac:dyDescent="0.3">
      <c r="A97" s="73" t="s">
        <v>163</v>
      </c>
    </row>
    <row r="98" spans="1:11" ht="14.4" thickBot="1" x14ac:dyDescent="0.3">
      <c r="A98" s="56"/>
      <c r="B98" s="56"/>
      <c r="C98" s="56"/>
      <c r="D98" s="48"/>
      <c r="E98" s="57"/>
      <c r="F98" s="57"/>
      <c r="G98" s="57"/>
      <c r="H98" s="57"/>
      <c r="I98" s="57"/>
      <c r="J98" s="57"/>
    </row>
    <row r="99" spans="1:11" ht="28.2" thickBot="1" x14ac:dyDescent="0.3">
      <c r="A99" s="60" t="s">
        <v>162</v>
      </c>
      <c r="B99" s="65" t="s">
        <v>93</v>
      </c>
      <c r="C99" s="60" t="s">
        <v>82</v>
      </c>
      <c r="D99" s="60" t="s">
        <v>84</v>
      </c>
      <c r="E99" s="60" t="s">
        <v>169</v>
      </c>
      <c r="F99" s="60" t="s">
        <v>168</v>
      </c>
      <c r="G99" s="60" t="s">
        <v>166</v>
      </c>
      <c r="H99" s="60" t="s">
        <v>167</v>
      </c>
      <c r="I99" s="60" t="s">
        <v>164</v>
      </c>
      <c r="J99" s="60" t="s">
        <v>165</v>
      </c>
    </row>
    <row r="100" spans="1:11" x14ac:dyDescent="0.25">
      <c r="A100" s="53">
        <f>A86</f>
        <v>5</v>
      </c>
      <c r="B100" s="48">
        <v>1</v>
      </c>
      <c r="C100" s="58">
        <f t="shared" ref="C100:C109" si="40">(1/($S$2*((P$11*$B100)/U$11)*($F$2-$G$2)))</f>
        <v>1.1098462519858191E-2</v>
      </c>
      <c r="D100" s="58">
        <f t="shared" ref="D100:D109" si="41">(1/($S$2*((R$11*$B100)/W$11)*($F$2-$G$2)))</f>
        <v>5.5492312599290956E-3</v>
      </c>
      <c r="E100" s="49">
        <f t="shared" ref="E100:E109" si="42">ABS($G$2+(F12*C100))</f>
        <v>2.1479100668782989</v>
      </c>
      <c r="F100" s="49">
        <f>ABS($G$2+H12*D100)</f>
        <v>2.1479100668782989</v>
      </c>
      <c r="G100" s="49">
        <v>2.0000000000000001E-9</v>
      </c>
      <c r="H100" s="49">
        <v>2.0000000000000001E-9</v>
      </c>
      <c r="I100" s="49">
        <f t="shared" ref="I100:I109" si="43">2*E100*F12*$M$2*G100</f>
        <v>4.8526449522663648E-2</v>
      </c>
      <c r="J100" s="59">
        <f t="shared" ref="J100:J109" si="44">2*F100*H12*$M$2*H100</f>
        <v>9.7052899045327296E-2</v>
      </c>
      <c r="K100" s="59">
        <f>SUM(I100:J100)</f>
        <v>0.14557934856799093</v>
      </c>
    </row>
    <row r="101" spans="1:11" x14ac:dyDescent="0.25">
      <c r="A101" s="53">
        <f t="shared" ref="A101:A110" si="45">A87</f>
        <v>10</v>
      </c>
      <c r="B101" s="48">
        <v>1</v>
      </c>
      <c r="C101" s="58">
        <f t="shared" si="40"/>
        <v>1.1098462519858191E-2</v>
      </c>
      <c r="D101" s="58">
        <f t="shared" si="41"/>
        <v>5.5492312599290956E-3</v>
      </c>
      <c r="E101" s="49">
        <f t="shared" si="42"/>
        <v>2.1658201337565983</v>
      </c>
      <c r="F101" s="49">
        <f t="shared" ref="F101:F109" si="46">ABS($G$2+H13*D101)</f>
        <v>2.1658201337565983</v>
      </c>
      <c r="G101" s="49">
        <v>2.0000000000000001E-9</v>
      </c>
      <c r="H101" s="49">
        <v>2.0000000000000001E-9</v>
      </c>
      <c r="I101" s="49">
        <f t="shared" si="43"/>
        <v>9.7862161937400299E-2</v>
      </c>
      <c r="J101" s="59">
        <f t="shared" si="44"/>
        <v>0.1957243238748006</v>
      </c>
      <c r="K101" s="59">
        <f t="shared" ref="K101:K109" si="47">SUM(I101:J101)</f>
        <v>0.29358648581220093</v>
      </c>
    </row>
    <row r="102" spans="1:11" x14ac:dyDescent="0.25">
      <c r="A102" s="53">
        <f t="shared" si="45"/>
        <v>15</v>
      </c>
      <c r="B102" s="48">
        <v>1</v>
      </c>
      <c r="C102" s="58">
        <f t="shared" si="40"/>
        <v>1.1098462519858191E-2</v>
      </c>
      <c r="D102" s="58">
        <f t="shared" si="41"/>
        <v>5.5492312599290956E-3</v>
      </c>
      <c r="E102" s="49">
        <f t="shared" si="42"/>
        <v>2.1837302006348973</v>
      </c>
      <c r="F102" s="49">
        <f t="shared" si="46"/>
        <v>2.1837302006348973</v>
      </c>
      <c r="G102" s="49">
        <v>2.0000000000000001E-9</v>
      </c>
      <c r="H102" s="49">
        <v>2.0000000000000001E-9</v>
      </c>
      <c r="I102" s="49">
        <f t="shared" si="43"/>
        <v>0.14800713724420991</v>
      </c>
      <c r="J102" s="59">
        <f t="shared" si="44"/>
        <v>0.29601427448841983</v>
      </c>
      <c r="K102" s="59">
        <f t="shared" si="47"/>
        <v>0.44402141173262977</v>
      </c>
    </row>
    <row r="103" spans="1:11" x14ac:dyDescent="0.25">
      <c r="A103" s="53">
        <f t="shared" si="45"/>
        <v>20</v>
      </c>
      <c r="B103" s="48">
        <v>1</v>
      </c>
      <c r="C103" s="58">
        <f t="shared" si="40"/>
        <v>1.1098462519858191E-2</v>
      </c>
      <c r="D103" s="58">
        <f t="shared" si="41"/>
        <v>5.5492312599290956E-3</v>
      </c>
      <c r="E103" s="49">
        <f t="shared" si="42"/>
        <v>2.2016402675131967</v>
      </c>
      <c r="F103" s="49">
        <f t="shared" si="46"/>
        <v>2.2016402675131967</v>
      </c>
      <c r="G103" s="49">
        <v>2.0000000000000001E-9</v>
      </c>
      <c r="H103" s="49">
        <v>2.0000000000000001E-9</v>
      </c>
      <c r="I103" s="49">
        <f t="shared" si="43"/>
        <v>0.19896137544309259</v>
      </c>
      <c r="J103" s="59">
        <f t="shared" si="44"/>
        <v>0.39792275088618517</v>
      </c>
      <c r="K103" s="59">
        <f t="shared" si="47"/>
        <v>0.59688412632927779</v>
      </c>
    </row>
    <row r="104" spans="1:11" x14ac:dyDescent="0.25">
      <c r="A104" s="53">
        <f t="shared" si="45"/>
        <v>25</v>
      </c>
      <c r="B104" s="48">
        <v>1</v>
      </c>
      <c r="C104" s="58">
        <f t="shared" si="40"/>
        <v>1.1098462519858191E-2</v>
      </c>
      <c r="D104" s="58">
        <f t="shared" si="41"/>
        <v>5.5492312599290956E-3</v>
      </c>
      <c r="E104" s="49">
        <f>ABS($G$2+(F16*C104))</f>
        <v>2.2195503343914957</v>
      </c>
      <c r="F104" s="49">
        <f t="shared" si="46"/>
        <v>2.2195503343914957</v>
      </c>
      <c r="G104" s="49">
        <v>2.0000000000000001E-9</v>
      </c>
      <c r="H104" s="49">
        <v>2.0000000000000001E-9</v>
      </c>
      <c r="I104" s="49">
        <f t="shared" si="43"/>
        <v>0.25072487653404824</v>
      </c>
      <c r="J104" s="59">
        <f t="shared" si="44"/>
        <v>0.50144975306809647</v>
      </c>
      <c r="K104" s="59">
        <f t="shared" si="47"/>
        <v>0.75217462960214476</v>
      </c>
    </row>
    <row r="105" spans="1:11" x14ac:dyDescent="0.25">
      <c r="A105" s="53">
        <f t="shared" si="45"/>
        <v>30</v>
      </c>
      <c r="B105" s="48">
        <v>1</v>
      </c>
      <c r="C105" s="58">
        <f t="shared" si="40"/>
        <v>1.1098462519858191E-2</v>
      </c>
      <c r="D105" s="58">
        <f t="shared" si="41"/>
        <v>5.5492312599290956E-3</v>
      </c>
      <c r="E105" s="49">
        <f t="shared" si="42"/>
        <v>2.2374604012697947</v>
      </c>
      <c r="F105" s="49">
        <f t="shared" si="46"/>
        <v>2.2374604012697947</v>
      </c>
      <c r="G105" s="49">
        <v>2.0000000000000001E-9</v>
      </c>
      <c r="H105" s="49">
        <v>2.0000000000000001E-9</v>
      </c>
      <c r="I105" s="49">
        <f t="shared" si="43"/>
        <v>0.30329764051707681</v>
      </c>
      <c r="J105" s="59">
        <f t="shared" si="44"/>
        <v>0.60659528103415361</v>
      </c>
      <c r="K105" s="59">
        <f t="shared" si="47"/>
        <v>0.90989292155123036</v>
      </c>
    </row>
    <row r="106" spans="1:11" x14ac:dyDescent="0.25">
      <c r="A106" s="53">
        <f t="shared" si="45"/>
        <v>35</v>
      </c>
      <c r="B106" s="48">
        <v>1</v>
      </c>
      <c r="C106" s="58">
        <f t="shared" si="40"/>
        <v>1.1098462519858191E-2</v>
      </c>
      <c r="D106" s="58">
        <f t="shared" si="41"/>
        <v>5.5492312599290956E-3</v>
      </c>
      <c r="E106" s="49">
        <f t="shared" si="42"/>
        <v>2.2553704681480942</v>
      </c>
      <c r="F106" s="49">
        <f t="shared" si="46"/>
        <v>2.2553704681480942</v>
      </c>
      <c r="G106" s="49">
        <v>2.0000000000000001E-9</v>
      </c>
      <c r="H106" s="49">
        <v>2.0000000000000001E-9</v>
      </c>
      <c r="I106" s="49">
        <f t="shared" si="43"/>
        <v>0.35667966739217843</v>
      </c>
      <c r="J106" s="59">
        <f t="shared" si="44"/>
        <v>0.71335933478435687</v>
      </c>
      <c r="K106" s="59">
        <f t="shared" si="47"/>
        <v>1.0700390021765354</v>
      </c>
    </row>
    <row r="107" spans="1:11" x14ac:dyDescent="0.25">
      <c r="A107" s="53">
        <f t="shared" si="45"/>
        <v>40</v>
      </c>
      <c r="B107" s="48">
        <v>1</v>
      </c>
      <c r="C107" s="58">
        <f t="shared" si="40"/>
        <v>1.1098462519858191E-2</v>
      </c>
      <c r="D107" s="58">
        <f t="shared" si="41"/>
        <v>5.5492312599290956E-3</v>
      </c>
      <c r="E107" s="49">
        <f t="shared" si="42"/>
        <v>2.2732805350263932</v>
      </c>
      <c r="F107" s="49">
        <f t="shared" si="46"/>
        <v>2.2732805350263932</v>
      </c>
      <c r="G107" s="49">
        <v>2.0000000000000001E-9</v>
      </c>
      <c r="H107" s="49">
        <v>2.0000000000000001E-9</v>
      </c>
      <c r="I107" s="49">
        <f t="shared" si="43"/>
        <v>0.41087095715935307</v>
      </c>
      <c r="J107" s="59">
        <f t="shared" si="44"/>
        <v>0.82174191431870613</v>
      </c>
      <c r="K107" s="59">
        <f t="shared" si="47"/>
        <v>1.2326128714780591</v>
      </c>
    </row>
    <row r="108" spans="1:11" x14ac:dyDescent="0.25">
      <c r="A108" s="53">
        <f t="shared" si="45"/>
        <v>45</v>
      </c>
      <c r="B108" s="54">
        <v>1</v>
      </c>
      <c r="C108" s="49">
        <f t="shared" si="40"/>
        <v>1.1098462519858191E-2</v>
      </c>
      <c r="D108" s="49">
        <f t="shared" si="41"/>
        <v>5.5492312599290956E-3</v>
      </c>
      <c r="E108" s="49">
        <f t="shared" si="42"/>
        <v>2.2911906019046921</v>
      </c>
      <c r="F108" s="49">
        <f t="shared" si="46"/>
        <v>2.2911906019046921</v>
      </c>
      <c r="G108" s="49">
        <v>2.0000000000000001E-9</v>
      </c>
      <c r="H108" s="49">
        <v>2.0000000000000001E-9</v>
      </c>
      <c r="I108" s="49">
        <f t="shared" si="43"/>
        <v>0.46587150981860054</v>
      </c>
      <c r="J108" s="59">
        <f t="shared" si="44"/>
        <v>0.93174301963720108</v>
      </c>
      <c r="K108" s="59">
        <f t="shared" si="47"/>
        <v>1.3976145294558016</v>
      </c>
    </row>
    <row r="109" spans="1:11" x14ac:dyDescent="0.25">
      <c r="A109" s="53">
        <f t="shared" si="45"/>
        <v>50</v>
      </c>
      <c r="B109" s="48">
        <v>1</v>
      </c>
      <c r="C109" s="49">
        <f t="shared" si="40"/>
        <v>1.1098462519858191E-2</v>
      </c>
      <c r="D109" s="49">
        <f t="shared" si="41"/>
        <v>5.5492312599290956E-3</v>
      </c>
      <c r="E109" s="49">
        <f t="shared" si="42"/>
        <v>2.3091006687829916</v>
      </c>
      <c r="F109" s="49">
        <f t="shared" si="46"/>
        <v>2.3091006687829916</v>
      </c>
      <c r="G109" s="49">
        <v>2.0000000000000001E-9</v>
      </c>
      <c r="H109" s="49">
        <v>2.0000000000000001E-9</v>
      </c>
      <c r="I109" s="49">
        <f t="shared" si="43"/>
        <v>0.52168132536992129</v>
      </c>
      <c r="J109" s="59">
        <f t="shared" si="44"/>
        <v>1.0433626507398426</v>
      </c>
      <c r="K109" s="59">
        <f t="shared" si="47"/>
        <v>1.5650439761097639</v>
      </c>
    </row>
    <row r="110" spans="1:11" x14ac:dyDescent="0.25">
      <c r="A110" s="53">
        <f t="shared" si="45"/>
        <v>125</v>
      </c>
      <c r="B110" s="48">
        <v>1</v>
      </c>
      <c r="C110" s="49">
        <f>(1/($S$2*((P$11*$B110)/U$11)*($F$2-$G$2)))</f>
        <v>1.1098462519858191E-2</v>
      </c>
      <c r="D110" s="49">
        <f>(1/($S$2*((R$11*$B110)/W$11)*($F$2-$G$2)))</f>
        <v>5.5492312599290956E-3</v>
      </c>
      <c r="E110" s="49">
        <f>ABS($G$2+(F22*C110))</f>
        <v>2.5777516719574787</v>
      </c>
      <c r="F110" s="49">
        <f>ABS($G$2+H22*D110)</f>
        <v>2.5777516719574787</v>
      </c>
      <c r="G110" s="49">
        <v>2.0000000000000001E-9</v>
      </c>
      <c r="H110" s="49">
        <v>2.0000000000000001E-9</v>
      </c>
      <c r="I110" s="49">
        <f>2*E110*F22*$M$2*G110</f>
        <v>1.4559401056884893</v>
      </c>
      <c r="J110" s="59">
        <f>2*F110*H22*$M$2*H110</f>
        <v>2.9118802113769786</v>
      </c>
      <c r="K110" s="59">
        <f>SUM(I110:J110)</f>
        <v>4.3678203170654681</v>
      </c>
    </row>
    <row r="112" spans="1:11" ht="14.4" thickBot="1" x14ac:dyDescent="0.3"/>
    <row r="113" spans="1:12" ht="42" thickBot="1" x14ac:dyDescent="0.3">
      <c r="B113" s="65" t="s">
        <v>93</v>
      </c>
      <c r="C113" s="60" t="s">
        <v>179</v>
      </c>
      <c r="D113" s="60" t="s">
        <v>180</v>
      </c>
      <c r="E113" s="60" t="s">
        <v>175</v>
      </c>
      <c r="F113" s="60" t="s">
        <v>178</v>
      </c>
      <c r="G113" s="60" t="s">
        <v>182</v>
      </c>
      <c r="H113" s="60" t="s">
        <v>183</v>
      </c>
      <c r="I113" s="55" t="s">
        <v>155</v>
      </c>
      <c r="J113" s="60" t="s">
        <v>181</v>
      </c>
    </row>
    <row r="114" spans="1:12" x14ac:dyDescent="0.25">
      <c r="A114" s="48">
        <f t="shared" ref="A114:A124" si="48">A86</f>
        <v>5</v>
      </c>
      <c r="B114" s="48">
        <f t="shared" ref="B114:B122" si="49">B42</f>
        <v>1</v>
      </c>
      <c r="C114" s="49">
        <f t="shared" ref="C114:C123" si="50">M42</f>
        <v>0.13433421443747318</v>
      </c>
      <c r="D114" s="49">
        <f>SUM(M56,M70,M86)</f>
        <v>0.49286110098018804</v>
      </c>
      <c r="E114" s="49">
        <f>J27</f>
        <v>8.3333333333333343E-2</v>
      </c>
      <c r="F114" s="50">
        <f>(A114*1)/(A114*1+SUM(M42,M56,M70,M86))*100</f>
        <v>88.854211018778017</v>
      </c>
      <c r="G114" s="50">
        <f t="shared" ref="G114:G123" si="51">(SUM($N$11*$S$11+$O$11*$T$11+$P$11*$U$11+$Q$11*$V$11+$R$11*$W$11)*B114)/0.000001</f>
        <v>4.5754203628617223</v>
      </c>
      <c r="H114" s="50">
        <f>5*SUM(D27:E27)</f>
        <v>15</v>
      </c>
      <c r="I114" s="50">
        <f>SUM(C114:E114)</f>
        <v>0.71052864875099464</v>
      </c>
      <c r="J114" s="59">
        <f t="shared" ref="J114:J123" si="52">((A114*1)/(A114*1+I114))*100</f>
        <v>87.557567916126274</v>
      </c>
      <c r="K114" s="72"/>
      <c r="L114" s="59"/>
    </row>
    <row r="115" spans="1:12" x14ac:dyDescent="0.25">
      <c r="A115" s="48">
        <f t="shared" si="48"/>
        <v>10</v>
      </c>
      <c r="B115" s="48">
        <f t="shared" si="49"/>
        <v>1</v>
      </c>
      <c r="C115" s="49">
        <f t="shared" si="50"/>
        <v>0.5373368577498927</v>
      </c>
      <c r="D115" s="49">
        <f t="shared" ref="D115:D124" si="53">SUM(M57,M71,M87)</f>
        <v>0.53733685774989293</v>
      </c>
      <c r="E115" s="49">
        <f t="shared" ref="E115:E123" si="54">J28</f>
        <v>0.33333333333333337</v>
      </c>
      <c r="F115" s="50">
        <f t="shared" ref="F115:F123" si="55">(A115*1)/(A115*1+SUM(M43,M57,M71,M87))*100</f>
        <v>90.296113970421516</v>
      </c>
      <c r="G115" s="50">
        <f t="shared" si="51"/>
        <v>4.5754203628617223</v>
      </c>
      <c r="H115" s="50">
        <f t="shared" ref="H115:H123" si="56">5*SUM(D28:E28)</f>
        <v>15</v>
      </c>
      <c r="I115" s="50">
        <f>SUM(C115:E115)</f>
        <v>1.4080070488331189</v>
      </c>
      <c r="J115" s="59">
        <f t="shared" si="52"/>
        <v>87.657729848815819</v>
      </c>
      <c r="K115" s="59"/>
      <c r="L115" s="59"/>
    </row>
    <row r="116" spans="1:12" x14ac:dyDescent="0.25">
      <c r="A116" s="48">
        <f t="shared" si="48"/>
        <v>15</v>
      </c>
      <c r="B116" s="48">
        <f t="shared" si="49"/>
        <v>1</v>
      </c>
      <c r="C116" s="49">
        <f t="shared" si="50"/>
        <v>1.2090079299372585</v>
      </c>
      <c r="D116" s="49">
        <f t="shared" si="53"/>
        <v>0.58181261451959776</v>
      </c>
      <c r="E116" s="49">
        <f t="shared" si="54"/>
        <v>0.75</v>
      </c>
      <c r="F116" s="50">
        <f t="shared" si="55"/>
        <v>89.334526328148627</v>
      </c>
      <c r="G116" s="50">
        <f t="shared" si="51"/>
        <v>4.5754203628617223</v>
      </c>
      <c r="H116" s="50">
        <f t="shared" si="56"/>
        <v>15</v>
      </c>
      <c r="I116" s="50">
        <f t="shared" ref="I116:I123" si="57">SUM(C116:E116)</f>
        <v>2.5408205444568561</v>
      </c>
      <c r="J116" s="59">
        <f t="shared" si="52"/>
        <v>85.51481364274153</v>
      </c>
      <c r="K116" s="59"/>
      <c r="L116" s="59"/>
    </row>
    <row r="117" spans="1:12" x14ac:dyDescent="0.25">
      <c r="A117" s="48">
        <f t="shared" si="48"/>
        <v>20</v>
      </c>
      <c r="B117" s="48">
        <f t="shared" si="49"/>
        <v>1</v>
      </c>
      <c r="C117" s="49">
        <f t="shared" si="50"/>
        <v>2.1493474309995708</v>
      </c>
      <c r="D117" s="49">
        <f t="shared" si="53"/>
        <v>0.62628837128930259</v>
      </c>
      <c r="E117" s="49">
        <f t="shared" si="54"/>
        <v>1.3333333333333335</v>
      </c>
      <c r="F117" s="50">
        <f t="shared" si="55"/>
        <v>87.813135815905824</v>
      </c>
      <c r="G117" s="50">
        <f t="shared" si="51"/>
        <v>4.5754203628617223</v>
      </c>
      <c r="H117" s="50">
        <f t="shared" si="56"/>
        <v>15</v>
      </c>
      <c r="I117" s="50">
        <f t="shared" si="57"/>
        <v>4.1089691356222069</v>
      </c>
      <c r="J117" s="59">
        <f t="shared" si="52"/>
        <v>82.956678435698862</v>
      </c>
      <c r="K117" s="59"/>
      <c r="L117" s="59"/>
    </row>
    <row r="118" spans="1:12" x14ac:dyDescent="0.25">
      <c r="A118" s="48">
        <f t="shared" si="48"/>
        <v>25</v>
      </c>
      <c r="B118" s="48">
        <f t="shared" si="49"/>
        <v>1</v>
      </c>
      <c r="C118" s="49">
        <f t="shared" si="50"/>
        <v>3.3583553609368302</v>
      </c>
      <c r="D118" s="49">
        <f t="shared" si="53"/>
        <v>0.67076412805900743</v>
      </c>
      <c r="E118" s="49">
        <f t="shared" si="54"/>
        <v>2.0833333333333335</v>
      </c>
      <c r="F118" s="50">
        <f t="shared" si="55"/>
        <v>86.120421287586183</v>
      </c>
      <c r="G118" s="50">
        <f t="shared" si="51"/>
        <v>4.5754203628617223</v>
      </c>
      <c r="H118" s="50">
        <f t="shared" si="56"/>
        <v>15</v>
      </c>
      <c r="I118" s="50">
        <f t="shared" si="57"/>
        <v>6.1124528223291712</v>
      </c>
      <c r="J118" s="59">
        <f t="shared" si="52"/>
        <v>80.353677489733926</v>
      </c>
      <c r="K118" s="59"/>
      <c r="L118" s="59"/>
    </row>
    <row r="119" spans="1:12" x14ac:dyDescent="0.25">
      <c r="A119" s="48">
        <f t="shared" si="48"/>
        <v>30</v>
      </c>
      <c r="B119" s="48">
        <f t="shared" si="49"/>
        <v>1</v>
      </c>
      <c r="C119" s="49">
        <f t="shared" si="50"/>
        <v>4.8360317197490339</v>
      </c>
      <c r="D119" s="49">
        <f t="shared" si="53"/>
        <v>0.71523988482871226</v>
      </c>
      <c r="E119" s="49">
        <f t="shared" si="54"/>
        <v>3</v>
      </c>
      <c r="F119" s="50">
        <f t="shared" si="55"/>
        <v>84.385167241492027</v>
      </c>
      <c r="G119" s="50">
        <f t="shared" si="51"/>
        <v>4.5754203628617223</v>
      </c>
      <c r="H119" s="50">
        <f t="shared" si="56"/>
        <v>15</v>
      </c>
      <c r="I119" s="50">
        <f t="shared" si="57"/>
        <v>8.5512716045777459</v>
      </c>
      <c r="J119" s="59">
        <f t="shared" si="52"/>
        <v>77.818444765483861</v>
      </c>
      <c r="K119" s="59"/>
      <c r="L119" s="59"/>
    </row>
    <row r="120" spans="1:12" x14ac:dyDescent="0.25">
      <c r="A120" s="48">
        <f t="shared" si="48"/>
        <v>35</v>
      </c>
      <c r="B120" s="48">
        <f t="shared" si="49"/>
        <v>1</v>
      </c>
      <c r="C120" s="49">
        <f t="shared" si="50"/>
        <v>6.5823765074361846</v>
      </c>
      <c r="D120" s="49">
        <f t="shared" si="53"/>
        <v>0.75971564159841709</v>
      </c>
      <c r="E120" s="49">
        <f t="shared" si="54"/>
        <v>4.083333333333333</v>
      </c>
      <c r="F120" s="50">
        <f t="shared" si="55"/>
        <v>82.660062891573489</v>
      </c>
      <c r="G120" s="50">
        <f t="shared" si="51"/>
        <v>4.5754203628617223</v>
      </c>
      <c r="H120" s="50">
        <f t="shared" si="56"/>
        <v>15</v>
      </c>
      <c r="I120" s="50">
        <f t="shared" si="57"/>
        <v>11.425425482367935</v>
      </c>
      <c r="J120" s="59">
        <f t="shared" si="52"/>
        <v>75.38972370494001</v>
      </c>
      <c r="K120" s="59"/>
      <c r="L120" s="59"/>
    </row>
    <row r="121" spans="1:12" x14ac:dyDescent="0.25">
      <c r="A121" s="48">
        <f t="shared" si="48"/>
        <v>40</v>
      </c>
      <c r="B121" s="48">
        <f t="shared" si="49"/>
        <v>1</v>
      </c>
      <c r="C121" s="49">
        <f t="shared" si="50"/>
        <v>8.5973897239982833</v>
      </c>
      <c r="D121" s="49">
        <f t="shared" si="53"/>
        <v>0.80419139836812203</v>
      </c>
      <c r="E121" s="49">
        <f t="shared" si="54"/>
        <v>5.3333333333333339</v>
      </c>
      <c r="F121" s="50">
        <f t="shared" si="55"/>
        <v>80.969068380465515</v>
      </c>
      <c r="G121" s="50">
        <f t="shared" si="51"/>
        <v>4.5754203628617223</v>
      </c>
      <c r="H121" s="50">
        <f t="shared" si="56"/>
        <v>15</v>
      </c>
      <c r="I121" s="50">
        <f t="shared" si="57"/>
        <v>14.734914455699739</v>
      </c>
      <c r="J121" s="59">
        <f t="shared" si="52"/>
        <v>73.079496693786567</v>
      </c>
      <c r="K121" s="59"/>
      <c r="L121" s="59"/>
    </row>
    <row r="122" spans="1:12" x14ac:dyDescent="0.25">
      <c r="A122" s="48">
        <f t="shared" si="48"/>
        <v>45</v>
      </c>
      <c r="B122" s="48">
        <f t="shared" si="49"/>
        <v>1</v>
      </c>
      <c r="C122" s="49">
        <f t="shared" si="50"/>
        <v>10.881071369435325</v>
      </c>
      <c r="D122" s="49">
        <f t="shared" si="53"/>
        <v>0.84866715513782687</v>
      </c>
      <c r="E122" s="49">
        <f t="shared" si="54"/>
        <v>6.75</v>
      </c>
      <c r="F122" s="50">
        <f t="shared" si="55"/>
        <v>79.323475077375377</v>
      </c>
      <c r="G122" s="50">
        <f t="shared" si="51"/>
        <v>4.5754203628617223</v>
      </c>
      <c r="H122" s="50">
        <f t="shared" si="56"/>
        <v>15</v>
      </c>
      <c r="I122" s="50">
        <f t="shared" si="57"/>
        <v>18.47973852457315</v>
      </c>
      <c r="J122" s="59">
        <f t="shared" si="52"/>
        <v>70.888760801338833</v>
      </c>
      <c r="K122" s="59"/>
      <c r="L122" s="59"/>
    </row>
    <row r="123" spans="1:12" x14ac:dyDescent="0.25">
      <c r="A123" s="48">
        <f t="shared" si="48"/>
        <v>50</v>
      </c>
      <c r="B123" s="48">
        <v>1</v>
      </c>
      <c r="C123" s="49">
        <f t="shared" si="50"/>
        <v>13.433421443747321</v>
      </c>
      <c r="D123" s="49">
        <f t="shared" si="53"/>
        <v>0.8931429119075317</v>
      </c>
      <c r="E123" s="49">
        <f t="shared" si="54"/>
        <v>8.3333333333333339</v>
      </c>
      <c r="F123" s="50">
        <f t="shared" si="55"/>
        <v>77.728385622392679</v>
      </c>
      <c r="G123" s="50">
        <f t="shared" si="51"/>
        <v>4.5754203628617223</v>
      </c>
      <c r="H123" s="50">
        <f t="shared" si="56"/>
        <v>15</v>
      </c>
      <c r="I123" s="50">
        <f t="shared" si="57"/>
        <v>22.659897688988188</v>
      </c>
      <c r="J123" s="59">
        <f t="shared" si="52"/>
        <v>68.813749523869248</v>
      </c>
      <c r="K123" s="59"/>
      <c r="L123" s="59"/>
    </row>
    <row r="124" spans="1:12" x14ac:dyDescent="0.25">
      <c r="A124" s="48">
        <f t="shared" si="48"/>
        <v>125</v>
      </c>
      <c r="B124" s="48">
        <v>1</v>
      </c>
      <c r="C124" s="49">
        <f>M52</f>
        <v>83.958884023420723</v>
      </c>
      <c r="D124" s="49">
        <f t="shared" si="53"/>
        <v>1.5602792634531042</v>
      </c>
      <c r="E124" s="49">
        <f>J37</f>
        <v>52.083333333333329</v>
      </c>
      <c r="F124" s="50">
        <f>(A124*1)/(A124*1+SUM(M52,M66,M80,M96))*100</f>
        <v>59.377017297785315</v>
      </c>
      <c r="G124" s="50">
        <f>(SUM($N$11*$S$11+$O$11*$T$11+$P$11*$U$11+$Q$11*$V$11+$R$11*$W$11)*B124)/0.000001</f>
        <v>4.5754203628617223</v>
      </c>
      <c r="H124" s="50">
        <f>5*SUM(D37:E37)</f>
        <v>15</v>
      </c>
      <c r="I124" s="50">
        <f>SUM(C124:E124)</f>
        <v>137.60249662020715</v>
      </c>
      <c r="J124" s="59">
        <f>((A124*1)/(A124*1+I124))*100</f>
        <v>47.600461385096104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908E-0230-4955-84B7-C49F62296866}">
  <dimension ref="A1:AK124"/>
  <sheetViews>
    <sheetView tabSelected="1" zoomScale="80" workbookViewId="0">
      <selection activeCell="D27" sqref="D27"/>
    </sheetView>
  </sheetViews>
  <sheetFormatPr defaultRowHeight="13.8" x14ac:dyDescent="0.25"/>
  <cols>
    <col min="1" max="1" width="13.21875" style="53" customWidth="1"/>
    <col min="2" max="2" width="13" style="53" customWidth="1"/>
    <col min="3" max="3" width="12.109375" style="53" customWidth="1"/>
    <col min="4" max="4" width="10.5546875" style="53" customWidth="1"/>
    <col min="5" max="5" width="10.77734375" style="53" customWidth="1"/>
    <col min="6" max="6" width="9.33203125" style="53" customWidth="1"/>
    <col min="7" max="11" width="10.77734375" style="53" customWidth="1"/>
    <col min="12" max="12" width="10.6640625" style="53" customWidth="1"/>
    <col min="13" max="13" width="10.88671875" style="53" customWidth="1"/>
    <col min="14" max="14" width="12.6640625" style="53" bestFit="1" customWidth="1"/>
    <col min="15" max="15" width="14.6640625" style="53" bestFit="1" customWidth="1"/>
    <col min="16" max="16" width="10.21875" style="53" customWidth="1"/>
    <col min="17" max="17" width="13.44140625" style="53" bestFit="1" customWidth="1"/>
    <col min="18" max="19" width="12.6640625" style="53" customWidth="1"/>
    <col min="20" max="20" width="12.5546875" style="53" bestFit="1" customWidth="1"/>
    <col min="21" max="21" width="12.6640625" style="53" bestFit="1" customWidth="1"/>
    <col min="22" max="22" width="11.21875" style="53" customWidth="1"/>
    <col min="23" max="23" width="9.6640625" style="53" bestFit="1" customWidth="1"/>
    <col min="24" max="24" width="11.88671875" style="53" bestFit="1" customWidth="1"/>
    <col min="25" max="25" width="10.33203125" style="53" customWidth="1"/>
    <col min="26" max="26" width="9.77734375" style="53" customWidth="1"/>
    <col min="27" max="27" width="9.6640625" style="53" bestFit="1" customWidth="1"/>
    <col min="28" max="28" width="10.21875" style="53" customWidth="1"/>
    <col min="29" max="29" width="9.33203125" style="53" bestFit="1" customWidth="1"/>
    <col min="30" max="30" width="39.5546875" style="53" customWidth="1"/>
    <col min="31" max="31" width="9.33203125" style="53" bestFit="1" customWidth="1"/>
    <col min="32" max="32" width="9.6640625" style="53" bestFit="1" customWidth="1"/>
    <col min="33" max="34" width="9.33203125" style="53" bestFit="1" customWidth="1"/>
    <col min="35" max="35" width="9.6640625" style="53" bestFit="1" customWidth="1"/>
    <col min="36" max="36" width="10.44140625" style="53" bestFit="1" customWidth="1"/>
    <col min="37" max="38" width="9.6640625" style="53" bestFit="1" customWidth="1"/>
    <col min="39" max="39" width="10.109375" style="53" customWidth="1"/>
    <col min="40" max="41" width="9.44140625" style="53" bestFit="1" customWidth="1"/>
    <col min="42" max="42" width="12.109375" style="53" bestFit="1" customWidth="1"/>
    <col min="43" max="43" width="9.44140625" style="53" bestFit="1" customWidth="1"/>
    <col min="44" max="44" width="12.44140625" style="53" bestFit="1" customWidth="1"/>
    <col min="45" max="45" width="10.77734375" style="53" customWidth="1"/>
    <col min="46" max="16384" width="8.88671875" style="53"/>
  </cols>
  <sheetData>
    <row r="1" spans="1:37" s="57" customFormat="1" ht="61.2" customHeight="1" thickBot="1" x14ac:dyDescent="0.35">
      <c r="A1" s="60" t="str">
        <f>Sheet1!A1</f>
        <v>Output Current (A)</v>
      </c>
      <c r="B1" s="60" t="str">
        <f>Sheet1!B1</f>
        <v>Technology</v>
      </c>
      <c r="C1" s="60" t="str">
        <f>Sheet1!C1</f>
        <v>Cgs0</v>
      </c>
      <c r="D1" s="60" t="str">
        <f>Sheet1!D1</f>
        <v>Coss0</v>
      </c>
      <c r="E1" s="60" t="str">
        <f>Sheet1!E1</f>
        <v>u</v>
      </c>
      <c r="F1" s="60" t="str">
        <f>Sheet1!F1</f>
        <v>Vg</v>
      </c>
      <c r="G1" s="60" t="str">
        <f>Sheet1!G1</f>
        <v>Vth</v>
      </c>
      <c r="H1" s="60" t="str">
        <f>Sheet1!H1</f>
        <v>Vpl</v>
      </c>
      <c r="I1" s="60" t="str">
        <f>Sheet1!I1</f>
        <v>Rg</v>
      </c>
      <c r="J1" s="60" t="str">
        <f>Sheet1!J1</f>
        <v>Rdr</v>
      </c>
      <c r="K1" s="60" t="s">
        <v>176</v>
      </c>
      <c r="L1" s="75" t="s">
        <v>177</v>
      </c>
      <c r="M1" s="75" t="s">
        <v>22</v>
      </c>
      <c r="N1" s="60" t="str">
        <f>Sheet1!K1</f>
        <v>Fsw</v>
      </c>
      <c r="O1" s="60" t="str">
        <f>Sheet1!L1</f>
        <v>Vin</v>
      </c>
      <c r="P1" s="60" t="str">
        <f>Sheet1!M1</f>
        <v>Vout</v>
      </c>
      <c r="Q1" s="60" t="str">
        <f>Sheet1!N1</f>
        <v>D</v>
      </c>
      <c r="R1" s="60" t="str">
        <f>Sheet1!O1</f>
        <v>Tox</v>
      </c>
      <c r="S1" s="60" t="str">
        <f>Sheet1!P1</f>
        <v>Cox</v>
      </c>
      <c r="T1" s="60" t="str">
        <f>Sheet1!Q1</f>
        <v>Kp</v>
      </c>
      <c r="U1" s="60" t="s">
        <v>48</v>
      </c>
      <c r="V1" s="60" t="s">
        <v>166</v>
      </c>
      <c r="W1" s="60" t="s">
        <v>167</v>
      </c>
      <c r="X1" s="60" t="s">
        <v>237</v>
      </c>
      <c r="AE1" s="63"/>
      <c r="AK1" s="64"/>
    </row>
    <row r="2" spans="1:37" ht="27.6" x14ac:dyDescent="0.25">
      <c r="A2" s="101">
        <v>25</v>
      </c>
      <c r="B2" s="57" t="str">
        <f>Sheet1!B2</f>
        <v>130nm-12V_LDMOS</v>
      </c>
      <c r="C2" s="102">
        <f>Sheet1!C2</f>
        <v>2.1349999999999999E-4</v>
      </c>
      <c r="D2" s="102">
        <f>Sheet1!D2</f>
        <v>1.5000000000000001E-4</v>
      </c>
      <c r="E2" s="49"/>
      <c r="F2" s="101">
        <v>5</v>
      </c>
      <c r="G2" s="101">
        <f>Sheet1!G2</f>
        <v>2.13</v>
      </c>
      <c r="H2" s="101">
        <f>Sheet1!H2</f>
        <v>2.5</v>
      </c>
      <c r="I2" s="101">
        <f>Sheet1!I2</f>
        <v>0.4</v>
      </c>
      <c r="J2" s="101">
        <f>Sheet1!J2</f>
        <v>0.7</v>
      </c>
      <c r="K2" s="103">
        <v>2.4999999999999999E-7</v>
      </c>
      <c r="L2" s="102">
        <v>2.4999999999999999E-7</v>
      </c>
      <c r="M2" s="102">
        <f>0.1*A2</f>
        <v>2.5</v>
      </c>
      <c r="N2" s="49">
        <f>(((O2/3)-2*P2)*Q2)/(M2*K2)</f>
        <v>1400000.0000000002</v>
      </c>
      <c r="O2" s="101">
        <v>48</v>
      </c>
      <c r="P2" s="101">
        <f>Sheet1!M2</f>
        <v>1</v>
      </c>
      <c r="Q2" s="48">
        <f>(P2/O2)*3</f>
        <v>6.25E-2</v>
      </c>
      <c r="R2" s="48"/>
      <c r="S2" s="49"/>
      <c r="T2" s="102">
        <f>Sheet1!Q2</f>
        <v>67.400000000000006</v>
      </c>
      <c r="U2" s="50">
        <f>(F2-0.5*(G2+H2))/(I2+J2)</f>
        <v>2.4409090909090909</v>
      </c>
      <c r="V2" s="102">
        <v>2.0000000000000001E-9</v>
      </c>
      <c r="W2" s="102">
        <v>2.0000000000000001E-9</v>
      </c>
      <c r="X2" s="101">
        <f>5</f>
        <v>5</v>
      </c>
    </row>
    <row r="3" spans="1:37" x14ac:dyDescent="0.25">
      <c r="A3" s="48"/>
      <c r="B3" s="48"/>
      <c r="C3" s="49"/>
      <c r="D3" s="49"/>
      <c r="E3" s="49"/>
      <c r="F3" s="48"/>
      <c r="G3" s="50"/>
      <c r="H3" s="50"/>
      <c r="I3" s="50"/>
      <c r="J3" s="50"/>
      <c r="K3" s="49"/>
      <c r="L3" s="48"/>
      <c r="M3" s="48"/>
      <c r="N3" s="52"/>
      <c r="O3" s="50"/>
    </row>
    <row r="4" spans="1:37" x14ac:dyDescent="0.25">
      <c r="A4" s="54"/>
    </row>
    <row r="5" spans="1:37" x14ac:dyDescent="0.25">
      <c r="A5" s="54"/>
    </row>
    <row r="6" spans="1:37" x14ac:dyDescent="0.25">
      <c r="A6" s="54"/>
    </row>
    <row r="7" spans="1:37" x14ac:dyDescent="0.25">
      <c r="A7" s="54"/>
    </row>
    <row r="8" spans="1:37" x14ac:dyDescent="0.25">
      <c r="A8" s="54"/>
    </row>
    <row r="9" spans="1:37" ht="14.4" thickBot="1" x14ac:dyDescent="0.3">
      <c r="AD9" s="77" t="s">
        <v>109</v>
      </c>
      <c r="AE9" s="78" t="s">
        <v>157</v>
      </c>
      <c r="AF9" s="78" t="s">
        <v>158</v>
      </c>
    </row>
    <row r="10" spans="1:37" ht="28.2" thickBot="1" x14ac:dyDescent="0.3">
      <c r="A10" s="55" t="s">
        <v>17</v>
      </c>
      <c r="B10" s="62" t="s">
        <v>53</v>
      </c>
      <c r="C10" s="62" t="s">
        <v>54</v>
      </c>
      <c r="D10" s="60" t="s">
        <v>55</v>
      </c>
      <c r="E10" s="60" t="s">
        <v>56</v>
      </c>
      <c r="F10" s="60" t="s">
        <v>57</v>
      </c>
      <c r="G10" s="60" t="s">
        <v>58</v>
      </c>
      <c r="H10" s="60" t="s">
        <v>59</v>
      </c>
      <c r="I10" s="60" t="s">
        <v>60</v>
      </c>
      <c r="J10" s="60" t="s">
        <v>61</v>
      </c>
      <c r="K10" s="60" t="s">
        <v>62</v>
      </c>
      <c r="L10" s="60" t="s">
        <v>63</v>
      </c>
      <c r="M10" s="71" t="s">
        <v>64</v>
      </c>
      <c r="N10" s="71" t="s">
        <v>69</v>
      </c>
      <c r="O10" s="74" t="s">
        <v>70</v>
      </c>
      <c r="P10" s="74" t="s">
        <v>71</v>
      </c>
      <c r="Q10" s="74" t="s">
        <v>72</v>
      </c>
      <c r="R10" s="75" t="s">
        <v>73</v>
      </c>
      <c r="S10" s="74" t="s">
        <v>74</v>
      </c>
      <c r="T10" s="74" t="s">
        <v>75</v>
      </c>
      <c r="U10" s="74" t="s">
        <v>77</v>
      </c>
      <c r="V10" s="74" t="s">
        <v>76</v>
      </c>
      <c r="W10" s="74" t="s">
        <v>78</v>
      </c>
      <c r="X10" s="71" t="s">
        <v>148</v>
      </c>
      <c r="Y10" s="74" t="s">
        <v>149</v>
      </c>
      <c r="Z10" s="74" t="s">
        <v>150</v>
      </c>
      <c r="AA10" s="74" t="s">
        <v>151</v>
      </c>
      <c r="AB10" s="75" t="s">
        <v>152</v>
      </c>
      <c r="AD10" s="78" t="s">
        <v>67</v>
      </c>
      <c r="AE10" s="79"/>
      <c r="AF10" s="79"/>
    </row>
    <row r="11" spans="1:37" x14ac:dyDescent="0.25">
      <c r="A11" s="48">
        <f>A2</f>
        <v>25</v>
      </c>
      <c r="B11" s="50">
        <f>A11/3</f>
        <v>8.3333333333333339</v>
      </c>
      <c r="C11" s="50">
        <f>(2*A11)/3</f>
        <v>16.666666666666668</v>
      </c>
      <c r="D11" s="50">
        <f>SQRT($Q$2)*(C11/2)</f>
        <v>2.0833333333333335</v>
      </c>
      <c r="E11" s="50">
        <f>SQRT($Q$2)*(B11)</f>
        <v>2.0833333333333335</v>
      </c>
      <c r="F11" s="50">
        <f>SQRT(1-$Q$2)*B11</f>
        <v>8.0687153045987863</v>
      </c>
      <c r="G11" s="50">
        <f>SQRT($Q$2)*(C11/2)</f>
        <v>2.0833333333333335</v>
      </c>
      <c r="H11" s="50">
        <f>SQRT(1-$Q$2)*C11</f>
        <v>16.137430609197573</v>
      </c>
      <c r="I11" s="48">
        <f>$O$2/3</f>
        <v>16</v>
      </c>
      <c r="J11" s="48">
        <f>(2*$O$2)/3</f>
        <v>32</v>
      </c>
      <c r="K11" s="48">
        <f>$O$2/3</f>
        <v>16</v>
      </c>
      <c r="L11" s="48">
        <f>(2*$O$2)/3</f>
        <v>32</v>
      </c>
      <c r="M11" s="48">
        <f>$O$2/3</f>
        <v>16</v>
      </c>
      <c r="N11" s="49">
        <f>(D11/(I11))*SQRT(1/($N$2*($F$2-$G$2)*$T$2*((D11/$U$2)*$C$2+($D$2/(2))+(($F$2^2)/(I11^2))*$C$2)))</f>
        <v>4.744868216986935E-4</v>
      </c>
      <c r="O11" s="49">
        <f>(E11/(J11))*SQRT(1/($N$2*($F$2-$G$2)*$T$2*((E11/$U$2)*$C$2+($D$2/(2))+(($F$2^2)/(J11^2))*$C$2)))</f>
        <v>2.4420919892975413E-4</v>
      </c>
      <c r="P11" s="49">
        <f>(F11/(K11))*SQRT((1)/($N$2*($F$2-$G$2)*$T$2*(($D$2/(2))+(($F$2^2)/(K11^2))*$C$2)))</f>
        <v>3.1300719551873909E-3</v>
      </c>
      <c r="Q11" s="49">
        <f>(G11/(L11))*SQRT(1/($N$2*($F$2-$G$2)*$T$2*((G11/$U$2)*$C$2+($D$2/(2))+(($F$2^2)/(L11^2))*$C$2)))</f>
        <v>2.4420919892975413E-4</v>
      </c>
      <c r="R11" s="49">
        <f>(H11/(M11))*SQRT((1)/($N$2*($F$2-$G$2)*$T$2*(($D$2/(2))+(($F$2^2)/(M11^2))*$C$2)))</f>
        <v>6.2601439103747818E-3</v>
      </c>
      <c r="S11" s="49">
        <v>1.6999999999999999E-3</v>
      </c>
      <c r="T11" s="49">
        <v>1.6999999999999999E-3</v>
      </c>
      <c r="U11" s="49">
        <v>1.6999999999999999E-3</v>
      </c>
      <c r="V11" s="49">
        <v>1.6999999999999999E-3</v>
      </c>
      <c r="W11" s="49">
        <v>1.6999999999999999E-3</v>
      </c>
      <c r="X11" s="59">
        <f>(2*D11*S11)/($T$2*($F$2-$G$2)^2)</f>
        <v>1.2758922212231634E-5</v>
      </c>
      <c r="Y11" s="59">
        <f>(2*E11*T11)/($T$2*($F$2-$G$2)^2)</f>
        <v>1.2758922212231634E-5</v>
      </c>
      <c r="Z11" s="59">
        <f>(2*F11*U11)/($T$2*($F$2-$G$2)^2)</f>
        <v>4.9415093243529014E-5</v>
      </c>
      <c r="AA11" s="59">
        <f>(2*G11*V11)/($T$2*($F$2-$G$2)^2)</f>
        <v>1.2758922212231634E-5</v>
      </c>
      <c r="AB11" s="59">
        <f>(2*H11*W11)/($T$2*($F$2-$G$2)^2)</f>
        <v>9.8830186487058029E-5</v>
      </c>
      <c r="AD11" s="77" t="str">
        <f>D1</f>
        <v>Coss0</v>
      </c>
      <c r="AE11" s="79"/>
      <c r="AF11" s="79"/>
    </row>
    <row r="12" spans="1:37" x14ac:dyDescent="0.25">
      <c r="A12" s="48">
        <v>5</v>
      </c>
      <c r="B12" s="50">
        <f t="shared" ref="B12:B22" si="0">A12/3</f>
        <v>1.6666666666666667</v>
      </c>
      <c r="C12" s="50">
        <f t="shared" ref="C12:C22" si="1">(2*A12)/3</f>
        <v>3.3333333333333335</v>
      </c>
      <c r="D12" s="50">
        <f>SQRT($Q$2)*(C12/2)</f>
        <v>0.41666666666666669</v>
      </c>
      <c r="E12" s="50">
        <f>SQRT($Q$2)*(B12)</f>
        <v>0.41666666666666669</v>
      </c>
      <c r="F12" s="50">
        <f>SQRT(1-$Q$2)*B12</f>
        <v>1.6137430609197572</v>
      </c>
      <c r="G12" s="50">
        <f>SQRT($Q$2)*(C12/2)</f>
        <v>0.41666666666666669</v>
      </c>
      <c r="H12" s="50">
        <f>SQRT(1-$Q$2)*C12</f>
        <v>3.2274861218395143</v>
      </c>
      <c r="I12" s="48">
        <f>$O$2/3</f>
        <v>16</v>
      </c>
      <c r="J12" s="48">
        <f>(2*$O$2)/3</f>
        <v>32</v>
      </c>
      <c r="K12" s="48">
        <f>$O$2/3</f>
        <v>16</v>
      </c>
      <c r="L12" s="48">
        <f>(2*$O$2)/3</f>
        <v>32</v>
      </c>
      <c r="M12" s="48">
        <f>$O$2/3</f>
        <v>16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AD12" s="78"/>
      <c r="AE12" s="79"/>
      <c r="AF12" s="79"/>
    </row>
    <row r="13" spans="1:37" x14ac:dyDescent="0.25">
      <c r="A13" s="48">
        <v>10</v>
      </c>
      <c r="B13" s="50">
        <f t="shared" si="0"/>
        <v>3.3333333333333335</v>
      </c>
      <c r="C13" s="50">
        <f t="shared" si="1"/>
        <v>6.666666666666667</v>
      </c>
      <c r="D13" s="50">
        <f>SQRT($Q$2)*(C13/2)</f>
        <v>0.83333333333333337</v>
      </c>
      <c r="E13" s="50">
        <f>SQRT($Q$2)*(B13)</f>
        <v>0.83333333333333337</v>
      </c>
      <c r="F13" s="50">
        <f>SQRT(1-$Q$2)*B13</f>
        <v>3.2274861218395143</v>
      </c>
      <c r="G13" s="50">
        <f>SQRT($Q$2)*(C13/2)</f>
        <v>0.83333333333333337</v>
      </c>
      <c r="H13" s="50">
        <f>SQRT(1-$Q$2)*C13</f>
        <v>6.4549722436790287</v>
      </c>
      <c r="I13" s="48">
        <f>$O$2/3</f>
        <v>16</v>
      </c>
      <c r="J13" s="48">
        <f>(2*$O$2)/3</f>
        <v>32</v>
      </c>
      <c r="K13" s="48">
        <f>$O$2/3</f>
        <v>16</v>
      </c>
      <c r="L13" s="48">
        <f>(2*$O$2)/3</f>
        <v>32</v>
      </c>
      <c r="M13" s="48">
        <f>$O$2/3</f>
        <v>16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AD13" s="78"/>
      <c r="AE13" s="79"/>
      <c r="AF13" s="79"/>
    </row>
    <row r="14" spans="1:37" x14ac:dyDescent="0.25">
      <c r="A14" s="48">
        <v>15</v>
      </c>
      <c r="B14" s="50">
        <f t="shared" si="0"/>
        <v>5</v>
      </c>
      <c r="C14" s="50">
        <f t="shared" si="1"/>
        <v>10</v>
      </c>
      <c r="D14" s="50">
        <f>SQRT($Q$2)*(C14/2)</f>
        <v>1.25</v>
      </c>
      <c r="E14" s="50">
        <f>SQRT($Q$2)*(B14)</f>
        <v>1.25</v>
      </c>
      <c r="F14" s="50">
        <f>SQRT(1-$Q$2)*B14</f>
        <v>4.8412291827592711</v>
      </c>
      <c r="G14" s="50">
        <f>SQRT($Q$2)*(C14/2)</f>
        <v>1.25</v>
      </c>
      <c r="H14" s="50">
        <f>SQRT(1-$Q$2)*C14</f>
        <v>9.6824583655185421</v>
      </c>
      <c r="I14" s="48">
        <f>$O$2/3</f>
        <v>16</v>
      </c>
      <c r="J14" s="48">
        <f>(2*$O$2)/3</f>
        <v>32</v>
      </c>
      <c r="K14" s="48">
        <f>$O$2/3</f>
        <v>16</v>
      </c>
      <c r="L14" s="48">
        <f>(2*$O$2)/3</f>
        <v>32</v>
      </c>
      <c r="M14" s="48">
        <f>$O$2/3</f>
        <v>16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AD14" s="78"/>
      <c r="AE14" s="79"/>
      <c r="AF14" s="79"/>
    </row>
    <row r="15" spans="1:37" x14ac:dyDescent="0.25">
      <c r="A15" s="48">
        <v>20</v>
      </c>
      <c r="B15" s="50">
        <f t="shared" si="0"/>
        <v>6.666666666666667</v>
      </c>
      <c r="C15" s="50">
        <f t="shared" si="1"/>
        <v>13.333333333333334</v>
      </c>
      <c r="D15" s="50">
        <f>SQRT($Q$2)*(C15/2)</f>
        <v>1.6666666666666667</v>
      </c>
      <c r="E15" s="50">
        <f>SQRT($Q$2)*(B15)</f>
        <v>1.6666666666666667</v>
      </c>
      <c r="F15" s="50">
        <f>SQRT(1-$Q$2)*B15</f>
        <v>6.4549722436790287</v>
      </c>
      <c r="G15" s="50">
        <f>SQRT($Q$2)*(C15/2)</f>
        <v>1.6666666666666667</v>
      </c>
      <c r="H15" s="50">
        <f>SQRT(1-$Q$2)*C15</f>
        <v>12.909944487358057</v>
      </c>
      <c r="I15" s="48">
        <f>$O$2/3</f>
        <v>16</v>
      </c>
      <c r="J15" s="48">
        <f>(2*$O$2)/3</f>
        <v>32</v>
      </c>
      <c r="K15" s="48">
        <f>$O$2/3</f>
        <v>16</v>
      </c>
      <c r="L15" s="48">
        <f>(2*$O$2)/3</f>
        <v>32</v>
      </c>
      <c r="M15" s="48">
        <f>$O$2/3</f>
        <v>16</v>
      </c>
      <c r="N15" s="49"/>
      <c r="O15" s="49"/>
      <c r="P15" s="49"/>
      <c r="Q15" s="49"/>
      <c r="R15" s="94"/>
      <c r="S15" s="49"/>
      <c r="T15" s="49"/>
      <c r="U15" s="49"/>
      <c r="V15" s="49"/>
      <c r="W15" s="49"/>
      <c r="AD15" s="78"/>
      <c r="AE15" s="79"/>
      <c r="AF15" s="79"/>
    </row>
    <row r="16" spans="1:37" x14ac:dyDescent="0.25">
      <c r="A16" s="48">
        <v>25</v>
      </c>
      <c r="B16" s="50">
        <f t="shared" si="0"/>
        <v>8.3333333333333339</v>
      </c>
      <c r="C16" s="50">
        <f t="shared" si="1"/>
        <v>16.666666666666668</v>
      </c>
      <c r="D16" s="50">
        <f>SQRT($Q$2)*(C16/2)</f>
        <v>2.0833333333333335</v>
      </c>
      <c r="E16" s="50">
        <f>SQRT($Q$2)*(B16)</f>
        <v>2.0833333333333335</v>
      </c>
      <c r="F16" s="50">
        <f>SQRT(1-$Q$2)*B16</f>
        <v>8.0687153045987863</v>
      </c>
      <c r="G16" s="50">
        <f>SQRT($Q$2)*(C16/2)</f>
        <v>2.0833333333333335</v>
      </c>
      <c r="H16" s="50">
        <f>SQRT(1-$Q$2)*C16</f>
        <v>16.137430609197573</v>
      </c>
      <c r="I16" s="48">
        <f>$O$2/3</f>
        <v>16</v>
      </c>
      <c r="J16" s="48">
        <f>(2*$O$2)/3</f>
        <v>32</v>
      </c>
      <c r="K16" s="48">
        <f>$O$2/3</f>
        <v>16</v>
      </c>
      <c r="L16" s="48">
        <f>(2*$O$2)/3</f>
        <v>32</v>
      </c>
      <c r="M16" s="48">
        <f>$O$2/3</f>
        <v>16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AD16" s="78"/>
      <c r="AE16" s="79"/>
      <c r="AF16" s="79"/>
    </row>
    <row r="17" spans="1:34" x14ac:dyDescent="0.25">
      <c r="A17" s="48">
        <v>30</v>
      </c>
      <c r="B17" s="50">
        <f t="shared" si="0"/>
        <v>10</v>
      </c>
      <c r="C17" s="50">
        <f t="shared" si="1"/>
        <v>20</v>
      </c>
      <c r="D17" s="50">
        <f>SQRT($Q$2)*(C17/2)</f>
        <v>2.5</v>
      </c>
      <c r="E17" s="50">
        <f>SQRT($Q$2)*(B17)</f>
        <v>2.5</v>
      </c>
      <c r="F17" s="50">
        <f>SQRT(1-$Q$2)*B17</f>
        <v>9.6824583655185421</v>
      </c>
      <c r="G17" s="50">
        <f>SQRT($Q$2)*(C17/2)</f>
        <v>2.5</v>
      </c>
      <c r="H17" s="50">
        <f>SQRT(1-$Q$2)*C17</f>
        <v>19.364916731037084</v>
      </c>
      <c r="I17" s="48">
        <f>$O$2/3</f>
        <v>16</v>
      </c>
      <c r="J17" s="48">
        <f>(2*$O$2)/3</f>
        <v>32</v>
      </c>
      <c r="K17" s="48">
        <f>$O$2/3</f>
        <v>16</v>
      </c>
      <c r="L17" s="48">
        <f>(2*$O$2)/3</f>
        <v>32</v>
      </c>
      <c r="M17" s="48">
        <f>$O$2/3</f>
        <v>16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AD17" s="78"/>
      <c r="AE17" s="79"/>
      <c r="AF17" s="79"/>
    </row>
    <row r="18" spans="1:34" x14ac:dyDescent="0.25">
      <c r="A18" s="48">
        <v>35</v>
      </c>
      <c r="B18" s="50">
        <f t="shared" si="0"/>
        <v>11.666666666666666</v>
      </c>
      <c r="C18" s="50">
        <f t="shared" si="1"/>
        <v>23.333333333333332</v>
      </c>
      <c r="D18" s="50">
        <f>SQRT($Q$2)*(C18/2)</f>
        <v>2.9166666666666665</v>
      </c>
      <c r="E18" s="50">
        <f>SQRT($Q$2)*(B18)</f>
        <v>2.9166666666666665</v>
      </c>
      <c r="F18" s="50">
        <f>SQRT(1-$Q$2)*B18</f>
        <v>11.2962014264383</v>
      </c>
      <c r="G18" s="50">
        <f>SQRT($Q$2)*(C18/2)</f>
        <v>2.9166666666666665</v>
      </c>
      <c r="H18" s="50">
        <f>SQRT(1-$Q$2)*C18</f>
        <v>22.592402852876599</v>
      </c>
      <c r="I18" s="48">
        <f>$O$2/3</f>
        <v>16</v>
      </c>
      <c r="J18" s="48">
        <f>(2*$O$2)/3</f>
        <v>32</v>
      </c>
      <c r="K18" s="48">
        <f>$O$2/3</f>
        <v>16</v>
      </c>
      <c r="L18" s="48">
        <f>(2*$O$2)/3</f>
        <v>32</v>
      </c>
      <c r="M18" s="48">
        <f>$O$2/3</f>
        <v>16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AD18" s="78"/>
      <c r="AE18" s="79"/>
      <c r="AF18" s="79"/>
    </row>
    <row r="19" spans="1:34" x14ac:dyDescent="0.25">
      <c r="A19" s="48">
        <v>40</v>
      </c>
      <c r="B19" s="50">
        <f t="shared" si="0"/>
        <v>13.333333333333334</v>
      </c>
      <c r="C19" s="50">
        <f t="shared" si="1"/>
        <v>26.666666666666668</v>
      </c>
      <c r="D19" s="50">
        <f>SQRT($Q$2)*(C19/2)</f>
        <v>3.3333333333333335</v>
      </c>
      <c r="E19" s="50">
        <f>SQRT($Q$2)*(B19)</f>
        <v>3.3333333333333335</v>
      </c>
      <c r="F19" s="50">
        <f>SQRT(1-$Q$2)*B19</f>
        <v>12.909944487358057</v>
      </c>
      <c r="G19" s="50">
        <f>SQRT($Q$2)*(C19/2)</f>
        <v>3.3333333333333335</v>
      </c>
      <c r="H19" s="50">
        <f>SQRT(1-$Q$2)*C19</f>
        <v>25.819888974716115</v>
      </c>
      <c r="I19" s="48">
        <f>$O$2/3</f>
        <v>16</v>
      </c>
      <c r="J19" s="48">
        <f>(2*$O$2)/3</f>
        <v>32</v>
      </c>
      <c r="K19" s="48">
        <f>$O$2/3</f>
        <v>16</v>
      </c>
      <c r="L19" s="48">
        <f>(2*$O$2)/3</f>
        <v>32</v>
      </c>
      <c r="M19" s="48">
        <f>$O$2/3</f>
        <v>16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AD19" s="78"/>
      <c r="AE19" s="79"/>
      <c r="AF19" s="79"/>
    </row>
    <row r="20" spans="1:34" x14ac:dyDescent="0.25">
      <c r="A20" s="48">
        <v>45</v>
      </c>
      <c r="B20" s="50">
        <f t="shared" si="0"/>
        <v>15</v>
      </c>
      <c r="C20" s="50">
        <f t="shared" si="1"/>
        <v>30</v>
      </c>
      <c r="D20" s="50">
        <f>SQRT($Q$2)*(C20/2)</f>
        <v>3.75</v>
      </c>
      <c r="E20" s="50">
        <f>SQRT($Q$2)*(B20)</f>
        <v>3.75</v>
      </c>
      <c r="F20" s="50">
        <f>SQRT(1-$Q$2)*B20</f>
        <v>14.523687548277813</v>
      </c>
      <c r="G20" s="50">
        <f>SQRT($Q$2)*(C20/2)</f>
        <v>3.75</v>
      </c>
      <c r="H20" s="50">
        <f>SQRT(1-$Q$2)*C20</f>
        <v>29.047375096555626</v>
      </c>
      <c r="I20" s="48">
        <f>$O$2/3</f>
        <v>16</v>
      </c>
      <c r="J20" s="48">
        <f>(2*$O$2)/3</f>
        <v>32</v>
      </c>
      <c r="K20" s="48">
        <f>$O$2/3</f>
        <v>16</v>
      </c>
      <c r="L20" s="48">
        <f>(2*$O$2)/3</f>
        <v>32</v>
      </c>
      <c r="M20" s="48">
        <f>$O$2/3</f>
        <v>16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AD20" s="78"/>
      <c r="AE20" s="79"/>
      <c r="AF20" s="79"/>
    </row>
    <row r="21" spans="1:34" x14ac:dyDescent="0.25">
      <c r="A21" s="48">
        <v>50</v>
      </c>
      <c r="B21" s="50">
        <f t="shared" si="0"/>
        <v>16.666666666666668</v>
      </c>
      <c r="C21" s="50">
        <f t="shared" si="1"/>
        <v>33.333333333333336</v>
      </c>
      <c r="D21" s="50">
        <f>SQRT($Q$2)*(C21/2)</f>
        <v>4.166666666666667</v>
      </c>
      <c r="E21" s="50">
        <f>SQRT($Q$2)*(B21)</f>
        <v>4.166666666666667</v>
      </c>
      <c r="F21" s="50">
        <f>SQRT(1-$Q$2)*B21</f>
        <v>16.137430609197573</v>
      </c>
      <c r="G21" s="50">
        <f>SQRT($Q$2)*(C21/2)</f>
        <v>4.166666666666667</v>
      </c>
      <c r="H21" s="50">
        <f>SQRT(1-$Q$2)*C21</f>
        <v>32.274861218395145</v>
      </c>
      <c r="I21" s="48">
        <f>$O$2/3</f>
        <v>16</v>
      </c>
      <c r="J21" s="48">
        <f>(2*$O$2)/3</f>
        <v>32</v>
      </c>
      <c r="K21" s="48">
        <f>$O$2/3</f>
        <v>16</v>
      </c>
      <c r="L21" s="48">
        <f>(2*$O$2)/3</f>
        <v>32</v>
      </c>
      <c r="M21" s="48">
        <f>$O$2/3</f>
        <v>16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AD21" s="78"/>
      <c r="AE21" s="79"/>
      <c r="AF21" s="79"/>
    </row>
    <row r="22" spans="1:34" ht="14.4" thickBot="1" x14ac:dyDescent="0.3">
      <c r="A22" s="48">
        <v>125</v>
      </c>
      <c r="B22" s="50">
        <f t="shared" si="0"/>
        <v>41.666666666666664</v>
      </c>
      <c r="C22" s="50">
        <f t="shared" si="1"/>
        <v>83.333333333333329</v>
      </c>
      <c r="D22" s="50">
        <f>SQRT($Q$2)*(C22/2)</f>
        <v>10.416666666666666</v>
      </c>
      <c r="E22" s="50">
        <f>SQRT($Q$2)*(B22)</f>
        <v>10.416666666666666</v>
      </c>
      <c r="F22" s="50">
        <f>SQRT(1-$Q$2)*B22</f>
        <v>40.343576522993928</v>
      </c>
      <c r="G22" s="50">
        <f>SQRT($Q$2)*(C22/2)</f>
        <v>10.416666666666666</v>
      </c>
      <c r="H22" s="50">
        <f>SQRT(1-$Q$2)*C22</f>
        <v>80.687153045987856</v>
      </c>
      <c r="I22" s="48">
        <f>$O$2/3</f>
        <v>16</v>
      </c>
      <c r="J22" s="48">
        <f>(2*$O$2)/3</f>
        <v>32</v>
      </c>
      <c r="K22" s="48">
        <f>$O$2/3</f>
        <v>16</v>
      </c>
      <c r="L22" s="48">
        <f>(2*$O$2)/3</f>
        <v>32</v>
      </c>
      <c r="M22" s="48">
        <f>$O$2/3</f>
        <v>16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AD22" s="78"/>
      <c r="AE22" s="79"/>
      <c r="AF22" s="79"/>
    </row>
    <row r="23" spans="1:34" ht="42" thickBot="1" x14ac:dyDescent="0.3">
      <c r="A23" s="73" t="s">
        <v>170</v>
      </c>
      <c r="B23" s="50"/>
      <c r="C23" s="50"/>
      <c r="D23" s="50"/>
      <c r="E23" s="50"/>
      <c r="F23" s="50"/>
      <c r="G23" s="50"/>
      <c r="H23" s="50"/>
      <c r="I23" s="48"/>
      <c r="J23" s="48"/>
      <c r="K23" s="48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49"/>
      <c r="W23" s="49"/>
      <c r="AD23" s="78"/>
      <c r="AE23" s="79"/>
      <c r="AF23" s="79"/>
    </row>
    <row r="24" spans="1:34" ht="14.4" thickBot="1" x14ac:dyDescent="0.3">
      <c r="A24" s="82"/>
      <c r="B24" s="50"/>
      <c r="C24" s="50"/>
      <c r="D24" s="50"/>
      <c r="E24" s="50"/>
      <c r="F24" s="50"/>
      <c r="G24" s="50"/>
      <c r="H24" s="50"/>
      <c r="I24" s="48"/>
      <c r="J24" s="48"/>
      <c r="K24" s="48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49"/>
      <c r="W24" s="49"/>
      <c r="AD24" s="78"/>
      <c r="AE24" s="79"/>
      <c r="AF24" s="79"/>
    </row>
    <row r="25" spans="1:34" ht="28.2" thickBot="1" x14ac:dyDescent="0.3">
      <c r="A25" s="83" t="s">
        <v>17</v>
      </c>
      <c r="B25" s="84" t="s">
        <v>53</v>
      </c>
      <c r="C25" s="84" t="s">
        <v>54</v>
      </c>
      <c r="D25" s="84" t="s">
        <v>184</v>
      </c>
      <c r="E25" s="84" t="s">
        <v>185</v>
      </c>
      <c r="F25" s="84" t="s">
        <v>171</v>
      </c>
      <c r="G25" s="84" t="s">
        <v>172</v>
      </c>
      <c r="H25" s="84" t="s">
        <v>173</v>
      </c>
      <c r="I25" s="84" t="s">
        <v>174</v>
      </c>
      <c r="J25" s="50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AF25" s="78"/>
      <c r="AG25" s="79"/>
      <c r="AH25" s="79"/>
    </row>
    <row r="26" spans="1:34" ht="14.4" thickBot="1" x14ac:dyDescent="0.3">
      <c r="A26" s="87">
        <f t="shared" ref="A26:A37" si="2">A11</f>
        <v>25</v>
      </c>
      <c r="B26" s="88">
        <f>A26/3</f>
        <v>8.3333333333333339</v>
      </c>
      <c r="C26" s="88">
        <f>2*A26/3</f>
        <v>16.666666666666668</v>
      </c>
      <c r="D26" s="89">
        <f>IF(B26&gt;$X$2, ROUNDUP(B26/$X$2,0),1)</f>
        <v>2</v>
      </c>
      <c r="E26" s="89">
        <f>IF(C26&gt;$X$2, ROUNDUP(C26/$X$2,0),1)</f>
        <v>4</v>
      </c>
      <c r="F26" s="90">
        <f>0.01/D26</f>
        <v>5.0000000000000001E-3</v>
      </c>
      <c r="G26" s="90">
        <f>0.01/E26</f>
        <v>2.5000000000000001E-3</v>
      </c>
      <c r="H26" s="89"/>
      <c r="I26" s="85"/>
      <c r="J26" s="86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AF26" s="78"/>
      <c r="AG26" s="79"/>
      <c r="AH26" s="79"/>
    </row>
    <row r="27" spans="1:34" x14ac:dyDescent="0.25">
      <c r="A27" s="82">
        <f t="shared" si="2"/>
        <v>5</v>
      </c>
      <c r="B27" s="50">
        <f>A27/3</f>
        <v>1.6666666666666667</v>
      </c>
      <c r="C27" s="50">
        <f>(2*A27)/3</f>
        <v>3.3333333333333335</v>
      </c>
      <c r="D27" s="50">
        <f>$D$26</f>
        <v>2</v>
      </c>
      <c r="E27" s="50">
        <f>$E$26</f>
        <v>4</v>
      </c>
      <c r="F27" s="49">
        <f>$F$26</f>
        <v>5.0000000000000001E-3</v>
      </c>
      <c r="G27" s="49">
        <f>$G$26</f>
        <v>2.5000000000000001E-3</v>
      </c>
      <c r="H27" s="49">
        <f t="shared" ref="H27:H36" si="3">B27^2*F27</f>
        <v>1.3888888888888892E-2</v>
      </c>
      <c r="I27" s="49">
        <f t="shared" ref="I27:I36" si="4">C27^2*G27</f>
        <v>2.7777777777777783E-2</v>
      </c>
      <c r="J27" s="50">
        <f>SUM(H27:I27)</f>
        <v>4.1666666666666671E-2</v>
      </c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AF27" s="78"/>
      <c r="AG27" s="79"/>
      <c r="AH27" s="79"/>
    </row>
    <row r="28" spans="1:34" x14ac:dyDescent="0.25">
      <c r="A28" s="82">
        <f t="shared" si="2"/>
        <v>10</v>
      </c>
      <c r="B28" s="50">
        <f t="shared" ref="B28:B36" si="5">A28/3</f>
        <v>3.3333333333333335</v>
      </c>
      <c r="C28" s="50">
        <f t="shared" ref="C28:C36" si="6">(2*A28)/3</f>
        <v>6.666666666666667</v>
      </c>
      <c r="D28" s="50">
        <f t="shared" ref="D28:D37" si="7">$D$26</f>
        <v>2</v>
      </c>
      <c r="E28" s="50">
        <f t="shared" ref="E28:E37" si="8">$E$26</f>
        <v>4</v>
      </c>
      <c r="F28" s="49">
        <f t="shared" ref="F28:F37" si="9">$F$26</f>
        <v>5.0000000000000001E-3</v>
      </c>
      <c r="G28" s="49">
        <f t="shared" ref="G28:G37" si="10">$G$26</f>
        <v>2.5000000000000001E-3</v>
      </c>
      <c r="H28" s="49">
        <f t="shared" si="3"/>
        <v>5.5555555555555566E-2</v>
      </c>
      <c r="I28" s="49">
        <f t="shared" si="4"/>
        <v>0.11111111111111113</v>
      </c>
      <c r="J28" s="50">
        <f t="shared" ref="J28:J36" si="11">SUM(H28:I28)</f>
        <v>0.16666666666666669</v>
      </c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AF28" s="78"/>
      <c r="AG28" s="79"/>
      <c r="AH28" s="79"/>
    </row>
    <row r="29" spans="1:34" x14ac:dyDescent="0.25">
      <c r="A29" s="82">
        <f t="shared" si="2"/>
        <v>15</v>
      </c>
      <c r="B29" s="50">
        <f t="shared" si="5"/>
        <v>5</v>
      </c>
      <c r="C29" s="50">
        <f t="shared" si="6"/>
        <v>10</v>
      </c>
      <c r="D29" s="50">
        <f t="shared" si="7"/>
        <v>2</v>
      </c>
      <c r="E29" s="50">
        <f t="shared" si="8"/>
        <v>4</v>
      </c>
      <c r="F29" s="49">
        <f t="shared" si="9"/>
        <v>5.0000000000000001E-3</v>
      </c>
      <c r="G29" s="49">
        <f t="shared" si="10"/>
        <v>2.5000000000000001E-3</v>
      </c>
      <c r="H29" s="49">
        <f t="shared" si="3"/>
        <v>0.125</v>
      </c>
      <c r="I29" s="49">
        <f t="shared" si="4"/>
        <v>0.25</v>
      </c>
      <c r="J29" s="50">
        <f t="shared" si="11"/>
        <v>0.375</v>
      </c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AF29" s="78"/>
      <c r="AG29" s="79"/>
      <c r="AH29" s="79"/>
    </row>
    <row r="30" spans="1:34" x14ac:dyDescent="0.25">
      <c r="A30" s="82">
        <f t="shared" si="2"/>
        <v>20</v>
      </c>
      <c r="B30" s="50">
        <f t="shared" si="5"/>
        <v>6.666666666666667</v>
      </c>
      <c r="C30" s="50">
        <f t="shared" si="6"/>
        <v>13.333333333333334</v>
      </c>
      <c r="D30" s="50">
        <f t="shared" si="7"/>
        <v>2</v>
      </c>
      <c r="E30" s="50">
        <f t="shared" si="8"/>
        <v>4</v>
      </c>
      <c r="F30" s="49">
        <f t="shared" si="9"/>
        <v>5.0000000000000001E-3</v>
      </c>
      <c r="G30" s="49">
        <f t="shared" si="10"/>
        <v>2.5000000000000001E-3</v>
      </c>
      <c r="H30" s="49">
        <f t="shared" si="3"/>
        <v>0.22222222222222227</v>
      </c>
      <c r="I30" s="49">
        <f t="shared" si="4"/>
        <v>0.44444444444444453</v>
      </c>
      <c r="J30" s="50">
        <f t="shared" si="11"/>
        <v>0.66666666666666674</v>
      </c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AF30" s="78"/>
      <c r="AG30" s="79"/>
      <c r="AH30" s="79"/>
    </row>
    <row r="31" spans="1:34" x14ac:dyDescent="0.25">
      <c r="A31" s="82">
        <f t="shared" si="2"/>
        <v>25</v>
      </c>
      <c r="B31" s="50">
        <f t="shared" si="5"/>
        <v>8.3333333333333339</v>
      </c>
      <c r="C31" s="50">
        <f t="shared" si="6"/>
        <v>16.666666666666668</v>
      </c>
      <c r="D31" s="50">
        <f t="shared" si="7"/>
        <v>2</v>
      </c>
      <c r="E31" s="50">
        <f t="shared" si="8"/>
        <v>4</v>
      </c>
      <c r="F31" s="49">
        <f t="shared" si="9"/>
        <v>5.0000000000000001E-3</v>
      </c>
      <c r="G31" s="49">
        <f t="shared" si="10"/>
        <v>2.5000000000000001E-3</v>
      </c>
      <c r="H31" s="49">
        <f t="shared" si="3"/>
        <v>0.34722222222222227</v>
      </c>
      <c r="I31" s="49">
        <f t="shared" si="4"/>
        <v>0.69444444444444453</v>
      </c>
      <c r="J31" s="50">
        <f t="shared" si="11"/>
        <v>1.0416666666666667</v>
      </c>
      <c r="K31" s="50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AF31" s="78"/>
      <c r="AG31" s="79"/>
      <c r="AH31" s="79"/>
    </row>
    <row r="32" spans="1:34" x14ac:dyDescent="0.25">
      <c r="A32" s="82">
        <f t="shared" si="2"/>
        <v>30</v>
      </c>
      <c r="B32" s="50">
        <f t="shared" si="5"/>
        <v>10</v>
      </c>
      <c r="C32" s="50">
        <f t="shared" si="6"/>
        <v>20</v>
      </c>
      <c r="D32" s="50">
        <f t="shared" si="7"/>
        <v>2</v>
      </c>
      <c r="E32" s="50">
        <f t="shared" si="8"/>
        <v>4</v>
      </c>
      <c r="F32" s="49">
        <f t="shared" si="9"/>
        <v>5.0000000000000001E-3</v>
      </c>
      <c r="G32" s="49">
        <f t="shared" si="10"/>
        <v>2.5000000000000001E-3</v>
      </c>
      <c r="H32" s="49">
        <f t="shared" si="3"/>
        <v>0.5</v>
      </c>
      <c r="I32" s="49">
        <f t="shared" si="4"/>
        <v>1</v>
      </c>
      <c r="J32" s="50">
        <f t="shared" si="11"/>
        <v>1.5</v>
      </c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AF32" s="78"/>
      <c r="AG32" s="79"/>
      <c r="AH32" s="79"/>
    </row>
    <row r="33" spans="1:34" x14ac:dyDescent="0.25">
      <c r="A33" s="82">
        <f t="shared" si="2"/>
        <v>35</v>
      </c>
      <c r="B33" s="50">
        <f t="shared" si="5"/>
        <v>11.666666666666666</v>
      </c>
      <c r="C33" s="50">
        <f t="shared" si="6"/>
        <v>23.333333333333332</v>
      </c>
      <c r="D33" s="50">
        <f t="shared" si="7"/>
        <v>2</v>
      </c>
      <c r="E33" s="50">
        <f t="shared" si="8"/>
        <v>4</v>
      </c>
      <c r="F33" s="49">
        <f t="shared" si="9"/>
        <v>5.0000000000000001E-3</v>
      </c>
      <c r="G33" s="49">
        <f t="shared" si="10"/>
        <v>2.5000000000000001E-3</v>
      </c>
      <c r="H33" s="49">
        <f t="shared" si="3"/>
        <v>0.68055555555555547</v>
      </c>
      <c r="I33" s="49">
        <f t="shared" si="4"/>
        <v>1.3611111111111109</v>
      </c>
      <c r="J33" s="50">
        <f t="shared" si="11"/>
        <v>2.0416666666666665</v>
      </c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AF33" s="78"/>
      <c r="AG33" s="79"/>
      <c r="AH33" s="79"/>
    </row>
    <row r="34" spans="1:34" x14ac:dyDescent="0.25">
      <c r="A34" s="82">
        <f t="shared" si="2"/>
        <v>40</v>
      </c>
      <c r="B34" s="50">
        <f t="shared" si="5"/>
        <v>13.333333333333334</v>
      </c>
      <c r="C34" s="50">
        <f t="shared" si="6"/>
        <v>26.666666666666668</v>
      </c>
      <c r="D34" s="50">
        <f t="shared" si="7"/>
        <v>2</v>
      </c>
      <c r="E34" s="50">
        <f t="shared" si="8"/>
        <v>4</v>
      </c>
      <c r="F34" s="49">
        <f t="shared" si="9"/>
        <v>5.0000000000000001E-3</v>
      </c>
      <c r="G34" s="49">
        <f t="shared" si="10"/>
        <v>2.5000000000000001E-3</v>
      </c>
      <c r="H34" s="49">
        <f t="shared" si="3"/>
        <v>0.88888888888888906</v>
      </c>
      <c r="I34" s="49">
        <f t="shared" si="4"/>
        <v>1.7777777777777781</v>
      </c>
      <c r="J34" s="50">
        <f t="shared" si="11"/>
        <v>2.666666666666667</v>
      </c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AF34" s="78"/>
      <c r="AG34" s="79"/>
      <c r="AH34" s="79"/>
    </row>
    <row r="35" spans="1:34" x14ac:dyDescent="0.25">
      <c r="A35" s="82">
        <f t="shared" si="2"/>
        <v>45</v>
      </c>
      <c r="B35" s="50">
        <f t="shared" si="5"/>
        <v>15</v>
      </c>
      <c r="C35" s="50">
        <f t="shared" si="6"/>
        <v>30</v>
      </c>
      <c r="D35" s="50">
        <f t="shared" si="7"/>
        <v>2</v>
      </c>
      <c r="E35" s="50">
        <f t="shared" si="8"/>
        <v>4</v>
      </c>
      <c r="F35" s="49">
        <f t="shared" si="9"/>
        <v>5.0000000000000001E-3</v>
      </c>
      <c r="G35" s="49">
        <f t="shared" si="10"/>
        <v>2.5000000000000001E-3</v>
      </c>
      <c r="H35" s="49">
        <f t="shared" si="3"/>
        <v>1.125</v>
      </c>
      <c r="I35" s="49">
        <f t="shared" si="4"/>
        <v>2.25</v>
      </c>
      <c r="J35" s="50">
        <f t="shared" si="11"/>
        <v>3.375</v>
      </c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AF35" s="78"/>
      <c r="AG35" s="79"/>
      <c r="AH35" s="79"/>
    </row>
    <row r="36" spans="1:34" x14ac:dyDescent="0.25">
      <c r="A36" s="82">
        <f t="shared" si="2"/>
        <v>50</v>
      </c>
      <c r="B36" s="50">
        <f t="shared" si="5"/>
        <v>16.666666666666668</v>
      </c>
      <c r="C36" s="50">
        <f t="shared" si="6"/>
        <v>33.333333333333336</v>
      </c>
      <c r="D36" s="50">
        <f t="shared" si="7"/>
        <v>2</v>
      </c>
      <c r="E36" s="50">
        <f t="shared" si="8"/>
        <v>4</v>
      </c>
      <c r="F36" s="49">
        <f t="shared" si="9"/>
        <v>5.0000000000000001E-3</v>
      </c>
      <c r="G36" s="49">
        <f t="shared" si="10"/>
        <v>2.5000000000000001E-3</v>
      </c>
      <c r="H36" s="49">
        <f t="shared" si="3"/>
        <v>1.3888888888888891</v>
      </c>
      <c r="I36" s="49">
        <f t="shared" si="4"/>
        <v>2.7777777777777781</v>
      </c>
      <c r="J36" s="50">
        <f t="shared" si="11"/>
        <v>4.166666666666667</v>
      </c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AF36" s="78"/>
      <c r="AG36" s="79"/>
      <c r="AH36" s="79"/>
    </row>
    <row r="37" spans="1:34" x14ac:dyDescent="0.25">
      <c r="A37" s="82">
        <f t="shared" si="2"/>
        <v>125</v>
      </c>
      <c r="B37" s="50">
        <f>A37/3</f>
        <v>41.666666666666664</v>
      </c>
      <c r="C37" s="50">
        <f>(2*A37)/3</f>
        <v>83.333333333333329</v>
      </c>
      <c r="D37" s="50">
        <f t="shared" si="7"/>
        <v>2</v>
      </c>
      <c r="E37" s="50">
        <f t="shared" si="8"/>
        <v>4</v>
      </c>
      <c r="F37" s="49">
        <f t="shared" si="9"/>
        <v>5.0000000000000001E-3</v>
      </c>
      <c r="G37" s="49">
        <f t="shared" si="10"/>
        <v>2.5000000000000001E-3</v>
      </c>
      <c r="H37" s="49">
        <f>B37^2*F37</f>
        <v>8.6805555555555554</v>
      </c>
      <c r="I37" s="49">
        <f>C37^2*G37</f>
        <v>17.361111111111111</v>
      </c>
      <c r="J37" s="50">
        <f>SUM(H37:I37)</f>
        <v>26.041666666666664</v>
      </c>
      <c r="K37" s="48"/>
      <c r="L37" s="48"/>
      <c r="M37" s="48"/>
      <c r="N37" s="49"/>
      <c r="O37" s="49"/>
      <c r="P37" s="49"/>
      <c r="Q37" s="49"/>
      <c r="R37" s="49"/>
      <c r="S37" s="49"/>
      <c r="T37" s="49"/>
      <c r="U37" s="49"/>
      <c r="V37" s="49"/>
      <c r="W37" s="49"/>
      <c r="AD37" s="78"/>
      <c r="AE37" s="79"/>
      <c r="AF37" s="79"/>
    </row>
    <row r="38" spans="1:34" ht="14.4" thickBot="1" x14ac:dyDescent="0.3">
      <c r="AD38" s="78" t="str">
        <f>I1</f>
        <v>Rg</v>
      </c>
      <c r="AE38" s="79"/>
      <c r="AF38" s="79"/>
    </row>
    <row r="39" spans="1:34" ht="28.2" thickBot="1" x14ac:dyDescent="0.3">
      <c r="A39" s="73" t="s">
        <v>97</v>
      </c>
      <c r="AD39" s="78" t="s">
        <v>38</v>
      </c>
      <c r="AE39" s="79"/>
      <c r="AF39" s="79"/>
    </row>
    <row r="40" spans="1:34" ht="15" thickBot="1" x14ac:dyDescent="0.3">
      <c r="A40" s="56"/>
      <c r="B40" s="56"/>
      <c r="C40" s="56"/>
      <c r="D40" s="48"/>
      <c r="E40" s="57"/>
      <c r="F40" s="57"/>
      <c r="G40" s="57"/>
      <c r="H40" s="57"/>
      <c r="I40" s="57"/>
      <c r="J40" s="57"/>
      <c r="AD40" s="80" t="s">
        <v>40</v>
      </c>
      <c r="AE40" s="79"/>
      <c r="AF40" s="79"/>
    </row>
    <row r="41" spans="1:34" ht="28.2" thickBot="1" x14ac:dyDescent="0.3">
      <c r="A41" s="81" t="s">
        <v>162</v>
      </c>
      <c r="B41" s="65" t="s">
        <v>93</v>
      </c>
      <c r="C41" s="60" t="s">
        <v>80</v>
      </c>
      <c r="D41" s="60" t="s">
        <v>81</v>
      </c>
      <c r="E41" s="60" t="s">
        <v>82</v>
      </c>
      <c r="F41" s="60" t="s">
        <v>83</v>
      </c>
      <c r="G41" s="60" t="s">
        <v>84</v>
      </c>
      <c r="H41" s="60" t="s">
        <v>110</v>
      </c>
      <c r="I41" s="60" t="s">
        <v>111</v>
      </c>
      <c r="J41" s="60" t="s">
        <v>112</v>
      </c>
      <c r="K41" s="60" t="s">
        <v>113</v>
      </c>
      <c r="L41" s="60" t="s">
        <v>114</v>
      </c>
      <c r="AD41" s="80" t="s">
        <v>156</v>
      </c>
      <c r="AE41" s="79"/>
      <c r="AF41" s="79"/>
    </row>
    <row r="42" spans="1:34" x14ac:dyDescent="0.25">
      <c r="A42" s="53">
        <f t="shared" ref="A42:A52" si="12">A12</f>
        <v>5</v>
      </c>
      <c r="B42" s="48">
        <v>1</v>
      </c>
      <c r="C42" s="58">
        <f>(1/($T$2*((N$11*$B42)/S$11)*($F$2-$G$2)))</f>
        <v>1.8521790738723374E-2</v>
      </c>
      <c r="D42" s="58">
        <f>(1/($T$2*((O$11*$B42)/T$11)*($F$2-$G$2)))</f>
        <v>3.598695568512586E-2</v>
      </c>
      <c r="E42" s="58">
        <f>(1/($T$2*((P$11*$B42)/U$11)*($F$2-$G$2)))</f>
        <v>2.8077136071010898E-3</v>
      </c>
      <c r="F42" s="58">
        <f>(1/($T$2*((Q$11*$B42)/V$11)*($F$2-$G$2)))</f>
        <v>3.598695568512586E-2</v>
      </c>
      <c r="G42" s="58">
        <f>(1/($T$2*((R$11*$B42)/W$11)*($F$2-$G$2)))</f>
        <v>1.4038568035505449E-3</v>
      </c>
      <c r="H42" s="49">
        <f t="shared" ref="H42:H51" si="13">D12^2*C42</f>
        <v>3.2155886699172529E-3</v>
      </c>
      <c r="I42" s="49">
        <f t="shared" ref="I42:I51" si="14">E12^2*D42</f>
        <v>6.2477353620010185E-3</v>
      </c>
      <c r="J42" s="49">
        <f t="shared" ref="J42:J51" si="15">F12^2*E42</f>
        <v>7.3117541851590888E-3</v>
      </c>
      <c r="K42" s="49">
        <f t="shared" ref="K42:K51" si="16">G12^2*F42</f>
        <v>6.2477353620010185E-3</v>
      </c>
      <c r="L42" s="49">
        <f t="shared" ref="L42:L51" si="17">H12^2*G42</f>
        <v>1.4623508370318178E-2</v>
      </c>
      <c r="M42" s="59">
        <f>SUM(H42:L42)</f>
        <v>3.7646321949396558E-2</v>
      </c>
      <c r="O42" s="58"/>
      <c r="P42" s="58"/>
      <c r="Q42" s="58"/>
      <c r="R42" s="58"/>
      <c r="S42" s="58"/>
      <c r="T42" s="49"/>
      <c r="U42" s="49"/>
      <c r="V42" s="49"/>
      <c r="W42" s="49"/>
      <c r="X42" s="49"/>
      <c r="Y42" s="59"/>
    </row>
    <row r="43" spans="1:34" x14ac:dyDescent="0.25">
      <c r="A43" s="53">
        <f t="shared" si="12"/>
        <v>10</v>
      </c>
      <c r="B43" s="48">
        <v>1</v>
      </c>
      <c r="C43" s="58">
        <f>(1/($T$2*((N$11*$B43)/S$11)*($F$2-$G$2)))</f>
        <v>1.8521790738723374E-2</v>
      </c>
      <c r="D43" s="58">
        <f>(1/($T$2*((O$11*$B43)/T$11)*($F$2-$G$2)))</f>
        <v>3.598695568512586E-2</v>
      </c>
      <c r="E43" s="58">
        <f>(1/($T$2*((P$11*$B43)/U$11)*($F$2-$G$2)))</f>
        <v>2.8077136071010898E-3</v>
      </c>
      <c r="F43" s="58">
        <f>(1/($T$2*((Q$11*$B43)/V$11)*($F$2-$G$2)))</f>
        <v>3.598695568512586E-2</v>
      </c>
      <c r="G43" s="58">
        <f>(1/($T$2*((R$11*$B43)/W$11)*($F$2-$G$2)))</f>
        <v>1.4038568035505449E-3</v>
      </c>
      <c r="H43" s="49">
        <f t="shared" si="13"/>
        <v>1.2862354679669011E-2</v>
      </c>
      <c r="I43" s="49">
        <f t="shared" si="14"/>
        <v>2.4990941448004074E-2</v>
      </c>
      <c r="J43" s="49">
        <f t="shared" si="15"/>
        <v>2.9247016740636355E-2</v>
      </c>
      <c r="K43" s="49">
        <f t="shared" si="16"/>
        <v>2.4990941448004074E-2</v>
      </c>
      <c r="L43" s="49">
        <f t="shared" si="17"/>
        <v>5.849403348127271E-2</v>
      </c>
      <c r="M43" s="59">
        <f t="shared" ref="M43:M51" si="18">SUM(H43:L43)</f>
        <v>0.15058528779758623</v>
      </c>
    </row>
    <row r="44" spans="1:34" x14ac:dyDescent="0.25">
      <c r="A44" s="53">
        <f t="shared" si="12"/>
        <v>15</v>
      </c>
      <c r="B44" s="48">
        <v>1</v>
      </c>
      <c r="C44" s="58">
        <f>(1/($T$2*((N$11*$B44)/S$11)*($F$2-$G$2)))</f>
        <v>1.8521790738723374E-2</v>
      </c>
      <c r="D44" s="58">
        <f>(1/($T$2*((O$11*$B44)/T$11)*($F$2-$G$2)))</f>
        <v>3.598695568512586E-2</v>
      </c>
      <c r="E44" s="58">
        <f>(1/($T$2*((P$11*$B44)/U$11)*($F$2-$G$2)))</f>
        <v>2.8077136071010898E-3</v>
      </c>
      <c r="F44" s="58">
        <f>(1/($T$2*((Q$11*$B44)/V$11)*($F$2-$G$2)))</f>
        <v>3.598695568512586E-2</v>
      </c>
      <c r="G44" s="58">
        <f>(1/($T$2*((R$11*$B44)/W$11)*($F$2-$G$2)))</f>
        <v>1.4038568035505449E-3</v>
      </c>
      <c r="H44" s="49">
        <f t="shared" si="13"/>
        <v>2.8940298029255272E-2</v>
      </c>
      <c r="I44" s="49">
        <f t="shared" si="14"/>
        <v>5.6229618258009158E-2</v>
      </c>
      <c r="J44" s="49">
        <f t="shared" si="15"/>
        <v>6.5805787666431789E-2</v>
      </c>
      <c r="K44" s="49">
        <f t="shared" si="16"/>
        <v>5.6229618258009158E-2</v>
      </c>
      <c r="L44" s="49">
        <f t="shared" si="17"/>
        <v>0.13161157533286358</v>
      </c>
      <c r="M44" s="59">
        <f t="shared" si="18"/>
        <v>0.33881689754456895</v>
      </c>
    </row>
    <row r="45" spans="1:34" x14ac:dyDescent="0.25">
      <c r="A45" s="53">
        <f t="shared" si="12"/>
        <v>20</v>
      </c>
      <c r="B45" s="48">
        <v>1</v>
      </c>
      <c r="C45" s="58">
        <f>(1/($T$2*((N$11*$B45)/S$11)*($F$2-$G$2)))</f>
        <v>1.8521790738723374E-2</v>
      </c>
      <c r="D45" s="58">
        <f>(1/($T$2*((O$11*$B45)/T$11)*($F$2-$G$2)))</f>
        <v>3.598695568512586E-2</v>
      </c>
      <c r="E45" s="58">
        <f>(1/($T$2*((P$11*$B45)/U$11)*($F$2-$G$2)))</f>
        <v>2.8077136071010898E-3</v>
      </c>
      <c r="F45" s="58">
        <f>(1/($T$2*((Q$11*$B45)/V$11)*($F$2-$G$2)))</f>
        <v>3.598695568512586E-2</v>
      </c>
      <c r="G45" s="58">
        <f>(1/($T$2*((R$11*$B45)/W$11)*($F$2-$G$2)))</f>
        <v>1.4038568035505449E-3</v>
      </c>
      <c r="H45" s="49">
        <f t="shared" si="13"/>
        <v>5.1449418718676046E-2</v>
      </c>
      <c r="I45" s="49">
        <f t="shared" si="14"/>
        <v>9.9963765792016296E-2</v>
      </c>
      <c r="J45" s="49">
        <f t="shared" si="15"/>
        <v>0.11698806696254542</v>
      </c>
      <c r="K45" s="49">
        <f t="shared" si="16"/>
        <v>9.9963765792016296E-2</v>
      </c>
      <c r="L45" s="49">
        <f t="shared" si="17"/>
        <v>0.23397613392509084</v>
      </c>
      <c r="M45" s="59">
        <f t="shared" si="18"/>
        <v>0.60234115119034493</v>
      </c>
    </row>
    <row r="46" spans="1:34" x14ac:dyDescent="0.25">
      <c r="A46" s="53">
        <f t="shared" si="12"/>
        <v>25</v>
      </c>
      <c r="B46" s="48">
        <v>1</v>
      </c>
      <c r="C46" s="58">
        <f>(1/($T$2*((N$11*$B46)/S$11)*($F$2-$G$2)))</f>
        <v>1.8521790738723374E-2</v>
      </c>
      <c r="D46" s="58">
        <f>(1/($T$2*((O$11*$B46)/T$11)*($F$2-$G$2)))</f>
        <v>3.598695568512586E-2</v>
      </c>
      <c r="E46" s="58">
        <f>(1/($T$2*((P$11*$B46)/U$11)*($F$2-$G$2)))</f>
        <v>2.8077136071010898E-3</v>
      </c>
      <c r="F46" s="58">
        <f>(1/($T$2*((Q$11*$B46)/V$11)*($F$2-$G$2)))</f>
        <v>3.598695568512586E-2</v>
      </c>
      <c r="G46" s="58">
        <f>(1/($T$2*((R$11*$B46)/W$11)*($F$2-$G$2)))</f>
        <v>1.4038568035505449E-3</v>
      </c>
      <c r="H46" s="49">
        <f t="shared" si="13"/>
        <v>8.0389716747931328E-2</v>
      </c>
      <c r="I46" s="49">
        <f t="shared" si="14"/>
        <v>0.15619338405002547</v>
      </c>
      <c r="J46" s="49">
        <f t="shared" si="15"/>
        <v>0.18279385462897726</v>
      </c>
      <c r="K46" s="49">
        <f t="shared" si="16"/>
        <v>0.15619338405002547</v>
      </c>
      <c r="L46" s="49">
        <f t="shared" si="17"/>
        <v>0.36558770925795453</v>
      </c>
      <c r="M46" s="59">
        <f t="shared" si="18"/>
        <v>0.94115804873491404</v>
      </c>
    </row>
    <row r="47" spans="1:34" x14ac:dyDescent="0.25">
      <c r="A47" s="53">
        <f t="shared" si="12"/>
        <v>30</v>
      </c>
      <c r="B47" s="48">
        <v>1</v>
      </c>
      <c r="C47" s="58">
        <f>(1/($T$2*((N$11*$B47)/S$11)*($F$2-$G$2)))</f>
        <v>1.8521790738723374E-2</v>
      </c>
      <c r="D47" s="58">
        <f>(1/($T$2*((O$11*$B47)/T$11)*($F$2-$G$2)))</f>
        <v>3.598695568512586E-2</v>
      </c>
      <c r="E47" s="58">
        <f>(1/($T$2*((P$11*$B47)/U$11)*($F$2-$G$2)))</f>
        <v>2.8077136071010898E-3</v>
      </c>
      <c r="F47" s="58">
        <f>(1/($T$2*((Q$11*$B47)/V$11)*($F$2-$G$2)))</f>
        <v>3.598695568512586E-2</v>
      </c>
      <c r="G47" s="58">
        <f>(1/($T$2*((R$11*$B47)/W$11)*($F$2-$G$2)))</f>
        <v>1.4038568035505449E-3</v>
      </c>
      <c r="H47" s="49">
        <f t="shared" si="13"/>
        <v>0.11576119211702109</v>
      </c>
      <c r="I47" s="49">
        <f t="shared" si="14"/>
        <v>0.22491847303203663</v>
      </c>
      <c r="J47" s="49">
        <f t="shared" si="15"/>
        <v>0.26322315066572716</v>
      </c>
      <c r="K47" s="49">
        <f t="shared" si="16"/>
        <v>0.22491847303203663</v>
      </c>
      <c r="L47" s="49">
        <f t="shared" si="17"/>
        <v>0.52644630133145431</v>
      </c>
      <c r="M47" s="59">
        <f t="shared" si="18"/>
        <v>1.3552675901782758</v>
      </c>
    </row>
    <row r="48" spans="1:34" x14ac:dyDescent="0.25">
      <c r="A48" s="53">
        <f t="shared" si="12"/>
        <v>35</v>
      </c>
      <c r="B48" s="48">
        <v>1</v>
      </c>
      <c r="C48" s="58">
        <f>(1/($T$2*((N$11*$B48)/S$11)*($F$2-$G$2)))</f>
        <v>1.8521790738723374E-2</v>
      </c>
      <c r="D48" s="58">
        <f>(1/($T$2*((O$11*$B48)/T$11)*($F$2-$G$2)))</f>
        <v>3.598695568512586E-2</v>
      </c>
      <c r="E48" s="58">
        <f>(1/($T$2*((P$11*$B48)/U$11)*($F$2-$G$2)))</f>
        <v>2.8077136071010898E-3</v>
      </c>
      <c r="F48" s="58">
        <f>(1/($T$2*((Q$11*$B48)/V$11)*($F$2-$G$2)))</f>
        <v>3.598695568512586E-2</v>
      </c>
      <c r="G48" s="58">
        <f>(1/($T$2*((R$11*$B48)/W$11)*($F$2-$G$2)))</f>
        <v>1.4038568035505449E-3</v>
      </c>
      <c r="H48" s="49">
        <f t="shared" si="13"/>
        <v>0.15756384482594535</v>
      </c>
      <c r="I48" s="49">
        <f t="shared" si="14"/>
        <v>0.30613903273804977</v>
      </c>
      <c r="J48" s="49">
        <f t="shared" si="15"/>
        <v>0.3582759550727953</v>
      </c>
      <c r="K48" s="49">
        <f t="shared" si="16"/>
        <v>0.30613903273804977</v>
      </c>
      <c r="L48" s="49">
        <f t="shared" si="17"/>
        <v>0.71655191014559061</v>
      </c>
      <c r="M48" s="59">
        <f t="shared" si="18"/>
        <v>1.8446697755204309</v>
      </c>
    </row>
    <row r="49" spans="1:23" x14ac:dyDescent="0.25">
      <c r="A49" s="53">
        <f t="shared" si="12"/>
        <v>40</v>
      </c>
      <c r="B49" s="48">
        <v>1</v>
      </c>
      <c r="C49" s="58">
        <f>(1/($T$2*((N$11*$B49)/S$11)*($F$2-$G$2)))</f>
        <v>1.8521790738723374E-2</v>
      </c>
      <c r="D49" s="58">
        <f>(1/($T$2*((O$11*$B49)/T$11)*($F$2-$G$2)))</f>
        <v>3.598695568512586E-2</v>
      </c>
      <c r="E49" s="58">
        <f>(1/($T$2*((P$11*$B49)/U$11)*($F$2-$G$2)))</f>
        <v>2.8077136071010898E-3</v>
      </c>
      <c r="F49" s="58">
        <f>(1/($T$2*((Q$11*$B49)/V$11)*($F$2-$G$2)))</f>
        <v>3.598695568512586E-2</v>
      </c>
      <c r="G49" s="58">
        <f>(1/($T$2*((R$11*$B49)/W$11)*($F$2-$G$2)))</f>
        <v>1.4038568035505449E-3</v>
      </c>
      <c r="H49" s="49">
        <f t="shared" si="13"/>
        <v>0.20579767487470418</v>
      </c>
      <c r="I49" s="49">
        <f t="shared" si="14"/>
        <v>0.39985506316806518</v>
      </c>
      <c r="J49" s="49">
        <f t="shared" si="15"/>
        <v>0.46795226785018168</v>
      </c>
      <c r="K49" s="49">
        <f t="shared" si="16"/>
        <v>0.39985506316806518</v>
      </c>
      <c r="L49" s="49">
        <f t="shared" si="17"/>
        <v>0.93590453570036336</v>
      </c>
      <c r="M49" s="59">
        <f t="shared" si="18"/>
        <v>2.4093646047613797</v>
      </c>
    </row>
    <row r="50" spans="1:23" x14ac:dyDescent="0.25">
      <c r="A50" s="53">
        <f t="shared" si="12"/>
        <v>45</v>
      </c>
      <c r="B50" s="54">
        <v>1</v>
      </c>
      <c r="C50" s="49">
        <f>(1/($T$2*((N$11*$B50)/S$11)*($F$2-$G$2)))</f>
        <v>1.8521790738723374E-2</v>
      </c>
      <c r="D50" s="49">
        <f>(1/($T$2*((O$11*$B50)/T$11)*($F$2-$G$2)))</f>
        <v>3.598695568512586E-2</v>
      </c>
      <c r="E50" s="49">
        <f>(1/($T$2*((P$11*$B50)/U$11)*($F$2-$G$2)))</f>
        <v>2.8077136071010898E-3</v>
      </c>
      <c r="F50" s="49">
        <f>(1/($T$2*((Q$11*$B50)/V$11)*($F$2-$G$2)))</f>
        <v>3.598695568512586E-2</v>
      </c>
      <c r="G50" s="49">
        <f>(1/($T$2*((R$11*$B50)/W$11)*($F$2-$G$2)))</f>
        <v>1.4038568035505449E-3</v>
      </c>
      <c r="H50" s="49">
        <f t="shared" si="13"/>
        <v>0.26046268226329744</v>
      </c>
      <c r="I50" s="49">
        <f t="shared" si="14"/>
        <v>0.50606656432208241</v>
      </c>
      <c r="J50" s="49">
        <f t="shared" si="15"/>
        <v>0.59225208899788617</v>
      </c>
      <c r="K50" s="49">
        <f t="shared" si="16"/>
        <v>0.50606656432208241</v>
      </c>
      <c r="L50" s="49">
        <f t="shared" si="17"/>
        <v>1.1845041779957723</v>
      </c>
      <c r="M50" s="59">
        <f t="shared" si="18"/>
        <v>3.0493520779011209</v>
      </c>
    </row>
    <row r="51" spans="1:23" x14ac:dyDescent="0.25">
      <c r="A51" s="53">
        <f t="shared" si="12"/>
        <v>50</v>
      </c>
      <c r="B51" s="48">
        <v>1</v>
      </c>
      <c r="C51" s="49">
        <f>(1/($T$2*((N$11*$B51)/S$11)*($F$2-$G$2)))</f>
        <v>1.8521790738723374E-2</v>
      </c>
      <c r="D51" s="49">
        <f>(1/($T$2*((O$11*$B51)/T$11)*($F$2-$G$2)))</f>
        <v>3.598695568512586E-2</v>
      </c>
      <c r="E51" s="49">
        <f>(1/($T$2*((P$11*$B51)/U$11)*($F$2-$G$2)))</f>
        <v>2.8077136071010898E-3</v>
      </c>
      <c r="F51" s="49">
        <f>(1/($T$2*((Q$11*$B51)/V$11)*($F$2-$G$2)))</f>
        <v>3.598695568512586E-2</v>
      </c>
      <c r="G51" s="49">
        <f>(1/($T$2*((R$11*$B51)/W$11)*($F$2-$G$2)))</f>
        <v>1.4038568035505449E-3</v>
      </c>
      <c r="H51" s="49">
        <f t="shared" si="13"/>
        <v>0.32155886699172531</v>
      </c>
      <c r="I51" s="49">
        <f t="shared" si="14"/>
        <v>0.6247735362001019</v>
      </c>
      <c r="J51" s="49">
        <f t="shared" si="15"/>
        <v>0.73117541851590906</v>
      </c>
      <c r="K51" s="49">
        <f t="shared" si="16"/>
        <v>0.6247735362001019</v>
      </c>
      <c r="L51" s="49">
        <f t="shared" si="17"/>
        <v>1.4623508370318181</v>
      </c>
      <c r="M51" s="59">
        <f t="shared" si="18"/>
        <v>3.7646321949396562</v>
      </c>
    </row>
    <row r="52" spans="1:23" ht="14.4" thickBot="1" x14ac:dyDescent="0.3">
      <c r="A52" s="53">
        <f t="shared" si="12"/>
        <v>125</v>
      </c>
      <c r="B52" s="48">
        <v>1</v>
      </c>
      <c r="C52" s="49">
        <f>(1/($T$2*((N$11*$B52)/S$11)*($F$2-$G$2)))</f>
        <v>1.8521790738723374E-2</v>
      </c>
      <c r="D52" s="49">
        <f>(1/($T$2*((O$11*$B52)/T$11)*($F$2-$G$2)))</f>
        <v>3.598695568512586E-2</v>
      </c>
      <c r="E52" s="49">
        <f>(1/($T$2*((P$11*$B52)/U$11)*($F$2-$G$2)))</f>
        <v>2.8077136071010898E-3</v>
      </c>
      <c r="F52" s="49">
        <f>(1/($T$2*((Q$11*$B52)/V$11)*($F$2-$G$2)))</f>
        <v>3.598695568512586E-2</v>
      </c>
      <c r="G52" s="49">
        <f>(1/($T$2*((R$11*$B52)/W$11)*($F$2-$G$2)))</f>
        <v>1.4038568035505449E-3</v>
      </c>
      <c r="H52" s="49">
        <f>D22^2*C52</f>
        <v>2.0097429186982825</v>
      </c>
      <c r="I52" s="49">
        <f>E22^2*D52</f>
        <v>3.9048346012506352</v>
      </c>
      <c r="J52" s="49">
        <f>F22^2*E52</f>
        <v>4.5698463657244304</v>
      </c>
      <c r="K52" s="49">
        <f>G22^2*F52</f>
        <v>3.9048346012506352</v>
      </c>
      <c r="L52" s="49">
        <f>H22^2*G52</f>
        <v>9.1396927314488607</v>
      </c>
      <c r="M52" s="59">
        <f>SUM(H52:L52)</f>
        <v>23.528951218372843</v>
      </c>
    </row>
    <row r="53" spans="1:23" ht="28.2" thickBot="1" x14ac:dyDescent="0.3">
      <c r="A53" s="73" t="s">
        <v>115</v>
      </c>
      <c r="W53" s="72"/>
    </row>
    <row r="54" spans="1:23" ht="14.4" thickBot="1" x14ac:dyDescent="0.3"/>
    <row r="55" spans="1:23" ht="28.2" thickBot="1" x14ac:dyDescent="0.3">
      <c r="A55" s="66" t="s">
        <v>17</v>
      </c>
      <c r="B55" s="65" t="s">
        <v>93</v>
      </c>
      <c r="C55" s="60" t="s">
        <v>121</v>
      </c>
      <c r="D55" s="60" t="s">
        <v>122</v>
      </c>
      <c r="E55" s="60" t="s">
        <v>123</v>
      </c>
      <c r="F55" s="60" t="s">
        <v>124</v>
      </c>
      <c r="G55" s="60" t="s">
        <v>125</v>
      </c>
      <c r="H55" s="60" t="s">
        <v>116</v>
      </c>
      <c r="I55" s="60" t="s">
        <v>117</v>
      </c>
      <c r="J55" s="60" t="s">
        <v>118</v>
      </c>
      <c r="K55" s="60" t="s">
        <v>119</v>
      </c>
      <c r="L55" s="60" t="s">
        <v>120</v>
      </c>
    </row>
    <row r="56" spans="1:23" x14ac:dyDescent="0.25">
      <c r="A56" s="53">
        <f>A42</f>
        <v>5</v>
      </c>
      <c r="B56" s="48">
        <f>B42</f>
        <v>1</v>
      </c>
      <c r="C56" s="49">
        <f t="shared" ref="C56:C65" si="19">$C$2*N$11*$B56*S$11*I12</f>
        <v>2.7554398709686527E-9</v>
      </c>
      <c r="D56" s="49">
        <f t="shared" ref="D56:D65" si="20">$C$2*O$11*$B56*T$11*J12</f>
        <v>2.8363433200497359E-9</v>
      </c>
      <c r="E56" s="49">
        <f t="shared" ref="E56:E65" si="21">$C$2*P$11*$B56*U$11*K12</f>
        <v>1.8176953858164214E-8</v>
      </c>
      <c r="F56" s="49">
        <f t="shared" ref="F56:F65" si="22">$C$2*Q$11*$B56*V$11*L12</f>
        <v>2.8363433200497359E-9</v>
      </c>
      <c r="G56" s="49">
        <f t="shared" ref="G56:G65" si="23">$C$2*R$11*$B56*W$11*M12</f>
        <v>3.6353907716328427E-8</v>
      </c>
      <c r="H56" s="49">
        <f>(D12*I12*$N$2*C56)/$U$2</f>
        <v>1.053600844516878E-2</v>
      </c>
      <c r="I56" s="49">
        <f>(E12*J12*$N$2*D56)/$U$2</f>
        <v>2.1690719865308971E-2</v>
      </c>
      <c r="J56" s="49">
        <f>(F12*K12*$N$2*E56)/$U$2</f>
        <v>0.26918565102240605</v>
      </c>
      <c r="K56" s="49">
        <f>(G12*L12*$N$2*F56)/$U$2</f>
        <v>2.1690719865308971E-2</v>
      </c>
      <c r="L56" s="49">
        <f>(H12*M12*$N$2*G56)/$U$2</f>
        <v>1.0767426040896242</v>
      </c>
      <c r="M56" s="59">
        <f>SUM(H56,I56,K56)</f>
        <v>5.3917448175786725E-2</v>
      </c>
    </row>
    <row r="57" spans="1:23" x14ac:dyDescent="0.25">
      <c r="A57" s="53">
        <f t="shared" ref="A57:A66" si="24">A43</f>
        <v>10</v>
      </c>
      <c r="B57" s="48">
        <f t="shared" ref="B57:B66" si="25">B43</f>
        <v>1</v>
      </c>
      <c r="C57" s="49">
        <f t="shared" si="19"/>
        <v>2.7554398709686527E-9</v>
      </c>
      <c r="D57" s="49">
        <f t="shared" si="20"/>
        <v>2.8363433200497359E-9</v>
      </c>
      <c r="E57" s="49">
        <f t="shared" si="21"/>
        <v>1.8176953858164214E-8</v>
      </c>
      <c r="F57" s="49">
        <f t="shared" si="22"/>
        <v>2.8363433200497359E-9</v>
      </c>
      <c r="G57" s="49">
        <f t="shared" si="23"/>
        <v>3.6353907716328427E-8</v>
      </c>
      <c r="H57" s="49">
        <f>(D13*I13*$N$2*C57)/$U$2</f>
        <v>2.107201689033756E-2</v>
      </c>
      <c r="I57" s="49">
        <f>(E13*J13*$N$2*D57)/$U$2</f>
        <v>4.3381439730617942E-2</v>
      </c>
      <c r="J57" s="49">
        <f>(F13*K13*$N$2*E57)/$U$2</f>
        <v>0.53837130204481209</v>
      </c>
      <c r="K57" s="49">
        <f>(G13*L13*$N$2*F57)/$U$2</f>
        <v>4.3381439730617942E-2</v>
      </c>
      <c r="L57" s="49">
        <f>(H13*M13*$N$2*G57)/$U$2</f>
        <v>2.1534852081792484</v>
      </c>
      <c r="M57" s="59">
        <f t="shared" ref="M57:M65" si="26">SUM(H57,I57,K57)</f>
        <v>0.10783489635157345</v>
      </c>
    </row>
    <row r="58" spans="1:23" x14ac:dyDescent="0.25">
      <c r="A58" s="53">
        <f t="shared" si="24"/>
        <v>15</v>
      </c>
      <c r="B58" s="48">
        <f t="shared" si="25"/>
        <v>1</v>
      </c>
      <c r="C58" s="49">
        <f t="shared" si="19"/>
        <v>2.7554398709686527E-9</v>
      </c>
      <c r="D58" s="49">
        <f t="shared" si="20"/>
        <v>2.8363433200497359E-9</v>
      </c>
      <c r="E58" s="49">
        <f t="shared" si="21"/>
        <v>1.8176953858164214E-8</v>
      </c>
      <c r="F58" s="49">
        <f t="shared" si="22"/>
        <v>2.8363433200497359E-9</v>
      </c>
      <c r="G58" s="49">
        <f t="shared" si="23"/>
        <v>3.6353907716328427E-8</v>
      </c>
      <c r="H58" s="49">
        <f>(D14*I14*$N$2*C58)/$U$2</f>
        <v>3.1608025335506336E-2</v>
      </c>
      <c r="I58" s="49">
        <f>(E14*J14*$N$2*D58)/$U$2</f>
        <v>6.5072159595926909E-2</v>
      </c>
      <c r="J58" s="49">
        <f>(F14*K14*$N$2*E58)/$U$2</f>
        <v>0.80755695306721809</v>
      </c>
      <c r="K58" s="49">
        <f>(G14*L14*$N$2*F58)/$U$2</f>
        <v>6.5072159595926909E-2</v>
      </c>
      <c r="L58" s="49">
        <f>(H14*M14*$N$2*G58)/$U$2</f>
        <v>3.2302278122688723</v>
      </c>
      <c r="M58" s="59">
        <f t="shared" si="26"/>
        <v>0.16175234452736015</v>
      </c>
    </row>
    <row r="59" spans="1:23" x14ac:dyDescent="0.25">
      <c r="A59" s="53">
        <f t="shared" si="24"/>
        <v>20</v>
      </c>
      <c r="B59" s="48">
        <f t="shared" si="25"/>
        <v>1</v>
      </c>
      <c r="C59" s="49">
        <f t="shared" si="19"/>
        <v>2.7554398709686527E-9</v>
      </c>
      <c r="D59" s="49">
        <f t="shared" si="20"/>
        <v>2.8363433200497359E-9</v>
      </c>
      <c r="E59" s="49">
        <f t="shared" si="21"/>
        <v>1.8176953858164214E-8</v>
      </c>
      <c r="F59" s="49">
        <f t="shared" si="22"/>
        <v>2.8363433200497359E-9</v>
      </c>
      <c r="G59" s="49">
        <f t="shared" si="23"/>
        <v>3.6353907716328427E-8</v>
      </c>
      <c r="H59" s="49">
        <f>(D15*I15*$N$2*C59)/$U$2</f>
        <v>4.2144033780675119E-2</v>
      </c>
      <c r="I59" s="49">
        <f>(E15*J15*$N$2*D59)/$U$2</f>
        <v>8.6762879461235884E-2</v>
      </c>
      <c r="J59" s="49">
        <f>(F15*K15*$N$2*E59)/$U$2</f>
        <v>1.0767426040896242</v>
      </c>
      <c r="K59" s="49">
        <f>(G15*L15*$N$2*F59)/$U$2</f>
        <v>8.6762879461235884E-2</v>
      </c>
      <c r="L59" s="49">
        <f>(H15*M15*$N$2*G59)/$U$2</f>
        <v>4.3069704163584968</v>
      </c>
      <c r="M59" s="59">
        <f t="shared" si="26"/>
        <v>0.2156697927031469</v>
      </c>
    </row>
    <row r="60" spans="1:23" x14ac:dyDescent="0.25">
      <c r="A60" s="53">
        <f t="shared" si="24"/>
        <v>25</v>
      </c>
      <c r="B60" s="48">
        <f t="shared" si="25"/>
        <v>1</v>
      </c>
      <c r="C60" s="49">
        <f t="shared" si="19"/>
        <v>2.7554398709686527E-9</v>
      </c>
      <c r="D60" s="49">
        <f t="shared" si="20"/>
        <v>2.8363433200497359E-9</v>
      </c>
      <c r="E60" s="49">
        <f t="shared" si="21"/>
        <v>1.8176953858164214E-8</v>
      </c>
      <c r="F60" s="49">
        <f t="shared" si="22"/>
        <v>2.8363433200497359E-9</v>
      </c>
      <c r="G60" s="49">
        <f t="shared" si="23"/>
        <v>3.6353907716328427E-8</v>
      </c>
      <c r="H60" s="49">
        <f>(D16*I16*$N$2*C60)/$U$2</f>
        <v>5.2680042225843902E-2</v>
      </c>
      <c r="I60" s="49">
        <f>(E16*J16*$N$2*D60)/$U$2</f>
        <v>0.10845359932654486</v>
      </c>
      <c r="J60" s="49">
        <f>(F16*K16*$N$2*E60)/$U$2</f>
        <v>1.3459282551120302</v>
      </c>
      <c r="K60" s="49">
        <f>(G16*L16*$N$2*F60)/$U$2</f>
        <v>0.10845359932654486</v>
      </c>
      <c r="L60" s="49">
        <f>(H16*M16*$N$2*G60)/$U$2</f>
        <v>5.3837130204481207</v>
      </c>
      <c r="M60" s="59">
        <f t="shared" si="26"/>
        <v>0.2695872408789336</v>
      </c>
    </row>
    <row r="61" spans="1:23" x14ac:dyDescent="0.25">
      <c r="A61" s="53">
        <f t="shared" si="24"/>
        <v>30</v>
      </c>
      <c r="B61" s="48">
        <f t="shared" si="25"/>
        <v>1</v>
      </c>
      <c r="C61" s="49">
        <f t="shared" si="19"/>
        <v>2.7554398709686527E-9</v>
      </c>
      <c r="D61" s="49">
        <f t="shared" si="20"/>
        <v>2.8363433200497359E-9</v>
      </c>
      <c r="E61" s="49">
        <f t="shared" si="21"/>
        <v>1.8176953858164214E-8</v>
      </c>
      <c r="F61" s="49">
        <f t="shared" si="22"/>
        <v>2.8363433200497359E-9</v>
      </c>
      <c r="G61" s="49">
        <f t="shared" si="23"/>
        <v>3.6353907716328427E-8</v>
      </c>
      <c r="H61" s="49">
        <f>(D17*I17*$N$2*C61)/$U$2</f>
        <v>6.3216050671012672E-2</v>
      </c>
      <c r="I61" s="49">
        <f>(E17*J17*$N$2*D61)/$U$2</f>
        <v>0.13014431919185382</v>
      </c>
      <c r="J61" s="49">
        <f>(F17*K17*$N$2*E61)/$U$2</f>
        <v>1.6151139061344362</v>
      </c>
      <c r="K61" s="49">
        <f>(G17*L17*$N$2*F61)/$U$2</f>
        <v>0.13014431919185382</v>
      </c>
      <c r="L61" s="49">
        <f>(H17*M17*$N$2*G61)/$U$2</f>
        <v>6.4604556245377447</v>
      </c>
      <c r="M61" s="59">
        <f t="shared" si="26"/>
        <v>0.3235046890547203</v>
      </c>
    </row>
    <row r="62" spans="1:23" x14ac:dyDescent="0.25">
      <c r="A62" s="53">
        <f t="shared" si="24"/>
        <v>35</v>
      </c>
      <c r="B62" s="48">
        <f t="shared" si="25"/>
        <v>1</v>
      </c>
      <c r="C62" s="49">
        <f t="shared" si="19"/>
        <v>2.7554398709686527E-9</v>
      </c>
      <c r="D62" s="49">
        <f t="shared" si="20"/>
        <v>2.8363433200497359E-9</v>
      </c>
      <c r="E62" s="49">
        <f t="shared" si="21"/>
        <v>1.8176953858164214E-8</v>
      </c>
      <c r="F62" s="49">
        <f t="shared" si="22"/>
        <v>2.8363433200497359E-9</v>
      </c>
      <c r="G62" s="49">
        <f t="shared" si="23"/>
        <v>3.6353907716328427E-8</v>
      </c>
      <c r="H62" s="49">
        <f>(D18*I18*$N$2*C62)/$U$2</f>
        <v>7.3752059116181462E-2</v>
      </c>
      <c r="I62" s="49">
        <f>(E18*J18*$N$2*D62)/$U$2</f>
        <v>0.15183503905716278</v>
      </c>
      <c r="J62" s="49">
        <f>(F18*K18*$N$2*E62)/$U$2</f>
        <v>1.8842995571568422</v>
      </c>
      <c r="K62" s="49">
        <f>(G18*L18*$N$2*F62)/$U$2</f>
        <v>0.15183503905716278</v>
      </c>
      <c r="L62" s="49">
        <f>(H18*M18*$N$2*G62)/$U$2</f>
        <v>7.5371982286273687</v>
      </c>
      <c r="M62" s="59">
        <f t="shared" si="26"/>
        <v>0.37742213723050699</v>
      </c>
    </row>
    <row r="63" spans="1:23" x14ac:dyDescent="0.25">
      <c r="A63" s="53">
        <f t="shared" si="24"/>
        <v>40</v>
      </c>
      <c r="B63" s="48">
        <f t="shared" si="25"/>
        <v>1</v>
      </c>
      <c r="C63" s="49">
        <f t="shared" si="19"/>
        <v>2.7554398709686527E-9</v>
      </c>
      <c r="D63" s="49">
        <f t="shared" si="20"/>
        <v>2.8363433200497359E-9</v>
      </c>
      <c r="E63" s="49">
        <f t="shared" si="21"/>
        <v>1.8176953858164214E-8</v>
      </c>
      <c r="F63" s="49">
        <f t="shared" si="22"/>
        <v>2.8363433200497359E-9</v>
      </c>
      <c r="G63" s="49">
        <f t="shared" si="23"/>
        <v>3.6353907716328427E-8</v>
      </c>
      <c r="H63" s="49">
        <f>(D19*I19*$N$2*C63)/$U$2</f>
        <v>8.4288067561350238E-2</v>
      </c>
      <c r="I63" s="49">
        <f>(E19*J19*$N$2*D63)/$U$2</f>
        <v>0.17352575892247177</v>
      </c>
      <c r="J63" s="49">
        <f>(F19*K19*$N$2*E63)/$U$2</f>
        <v>2.1534852081792484</v>
      </c>
      <c r="K63" s="49">
        <f>(G19*L19*$N$2*F63)/$U$2</f>
        <v>0.17352575892247177</v>
      </c>
      <c r="L63" s="49">
        <f>(H19*M19*$N$2*G63)/$U$2</f>
        <v>8.6139408327169935</v>
      </c>
      <c r="M63" s="59">
        <f t="shared" si="26"/>
        <v>0.4313395854062938</v>
      </c>
    </row>
    <row r="64" spans="1:23" x14ac:dyDescent="0.25">
      <c r="A64" s="53">
        <f t="shared" si="24"/>
        <v>45</v>
      </c>
      <c r="B64" s="48">
        <f t="shared" si="25"/>
        <v>1</v>
      </c>
      <c r="C64" s="49">
        <f t="shared" si="19"/>
        <v>2.7554398709686527E-9</v>
      </c>
      <c r="D64" s="49">
        <f t="shared" si="20"/>
        <v>2.8363433200497359E-9</v>
      </c>
      <c r="E64" s="49">
        <f t="shared" si="21"/>
        <v>1.8176953858164214E-8</v>
      </c>
      <c r="F64" s="49">
        <f t="shared" si="22"/>
        <v>2.8363433200497359E-9</v>
      </c>
      <c r="G64" s="49">
        <f t="shared" si="23"/>
        <v>3.6353907716328427E-8</v>
      </c>
      <c r="H64" s="49">
        <f>(D20*I20*$N$2*C64)/$U$2</f>
        <v>9.4824076006519015E-2</v>
      </c>
      <c r="I64" s="49">
        <f>(E20*J20*$N$2*D64)/$U$2</f>
        <v>0.19521647878778076</v>
      </c>
      <c r="J64" s="49">
        <f>(F20*K20*$N$2*E64)/$U$2</f>
        <v>2.4226708592016539</v>
      </c>
      <c r="K64" s="49">
        <f>(G20*L20*$N$2*F64)/$U$2</f>
        <v>0.19521647878778076</v>
      </c>
      <c r="L64" s="49">
        <f>(H20*M20*$N$2*G64)/$U$2</f>
        <v>9.6906834368066157</v>
      </c>
      <c r="M64" s="59">
        <f t="shared" si="26"/>
        <v>0.48525703358208055</v>
      </c>
    </row>
    <row r="65" spans="1:14" x14ac:dyDescent="0.25">
      <c r="A65" s="53">
        <f t="shared" si="24"/>
        <v>50</v>
      </c>
      <c r="B65" s="48">
        <f t="shared" si="25"/>
        <v>1</v>
      </c>
      <c r="C65" s="49">
        <f t="shared" si="19"/>
        <v>2.7554398709686527E-9</v>
      </c>
      <c r="D65" s="49">
        <f t="shared" si="20"/>
        <v>2.8363433200497359E-9</v>
      </c>
      <c r="E65" s="49">
        <f t="shared" si="21"/>
        <v>1.8176953858164214E-8</v>
      </c>
      <c r="F65" s="49">
        <f t="shared" si="22"/>
        <v>2.8363433200497359E-9</v>
      </c>
      <c r="G65" s="49">
        <f t="shared" si="23"/>
        <v>3.6353907716328427E-8</v>
      </c>
      <c r="H65" s="49">
        <f>(D21*I21*$N$2*C65)/$U$2</f>
        <v>0.1053600844516878</v>
      </c>
      <c r="I65" s="49">
        <f>(E21*J21*$N$2*D65)/$U$2</f>
        <v>0.21690719865308972</v>
      </c>
      <c r="J65" s="49">
        <f>(F21*K21*$N$2*E65)/$U$2</f>
        <v>2.6918565102240604</v>
      </c>
      <c r="K65" s="49">
        <f>(G21*L21*$N$2*F65)/$U$2</f>
        <v>0.21690719865308972</v>
      </c>
      <c r="L65" s="49">
        <f>(H21*M21*$N$2*G65)/$U$2</f>
        <v>10.767426040896241</v>
      </c>
      <c r="M65" s="59">
        <f t="shared" si="26"/>
        <v>0.5391744817578672</v>
      </c>
    </row>
    <row r="66" spans="1:14" ht="14.4" thickBot="1" x14ac:dyDescent="0.3">
      <c r="A66" s="53">
        <f t="shared" si="24"/>
        <v>125</v>
      </c>
      <c r="B66" s="48">
        <f t="shared" si="25"/>
        <v>1</v>
      </c>
      <c r="C66" s="49">
        <f>$C$2*N$11*$B66*S$11*I22</f>
        <v>2.7554398709686527E-9</v>
      </c>
      <c r="D66" s="49">
        <f>$C$2*O$11*$B66*T$11*J22</f>
        <v>2.8363433200497359E-9</v>
      </c>
      <c r="E66" s="49">
        <f>$C$2*P$11*$B66*U$11*K22</f>
        <v>1.8176953858164214E-8</v>
      </c>
      <c r="F66" s="49">
        <f>$C$2*Q$11*$B66*V$11*L22</f>
        <v>2.8363433200497359E-9</v>
      </c>
      <c r="G66" s="49">
        <f>$C$2*R$11*$B66*W$11*M22</f>
        <v>3.6353907716328427E-8</v>
      </c>
      <c r="H66" s="49">
        <f>(D22*I22*$N$2*C66)/$U$2</f>
        <v>0.26340021112921946</v>
      </c>
      <c r="I66" s="49">
        <f>(E22*J22*$N$2*D66)/$U$2</f>
        <v>0.54226799663272429</v>
      </c>
      <c r="J66" s="49">
        <f>(F22*K22*$N$2*E66)/$U$2</f>
        <v>6.7296412755601516</v>
      </c>
      <c r="K66" s="49">
        <f>(G22*L22*$N$2*F66)/$U$2</f>
        <v>0.54226799663272429</v>
      </c>
      <c r="L66" s="49">
        <f>(H22*M22*$N$2*G66)/$U$2</f>
        <v>26.918565102240606</v>
      </c>
      <c r="M66" s="59">
        <f>SUM(H66,I66,K66)</f>
        <v>1.3479362043946681</v>
      </c>
    </row>
    <row r="67" spans="1:14" ht="42" thickBot="1" x14ac:dyDescent="0.3">
      <c r="A67" s="73" t="s">
        <v>126</v>
      </c>
    </row>
    <row r="68" spans="1:14" ht="14.4" thickBot="1" x14ac:dyDescent="0.3"/>
    <row r="69" spans="1:14" ht="28.2" thickBot="1" x14ac:dyDescent="0.3">
      <c r="A69" s="66" t="s">
        <v>17</v>
      </c>
      <c r="B69" s="65" t="s">
        <v>93</v>
      </c>
      <c r="C69" s="60" t="s">
        <v>127</v>
      </c>
      <c r="D69" s="60" t="s">
        <v>128</v>
      </c>
      <c r="E69" s="60" t="s">
        <v>129</v>
      </c>
      <c r="F69" s="60" t="s">
        <v>130</v>
      </c>
      <c r="G69" s="60" t="s">
        <v>131</v>
      </c>
      <c r="H69" s="60" t="s">
        <v>132</v>
      </c>
      <c r="I69" s="60" t="s">
        <v>133</v>
      </c>
      <c r="J69" s="60" t="s">
        <v>134</v>
      </c>
      <c r="K69" s="60" t="s">
        <v>135</v>
      </c>
      <c r="L69" s="60" t="s">
        <v>136</v>
      </c>
    </row>
    <row r="70" spans="1:14" x14ac:dyDescent="0.25">
      <c r="A70" s="53">
        <f>A56</f>
        <v>5</v>
      </c>
      <c r="B70" s="48">
        <f t="shared" ref="B70:B80" si="27">B42</f>
        <v>1</v>
      </c>
      <c r="C70" s="49">
        <f>$C$2*N$11*$B70*S$11*$F$2</f>
        <v>8.6107495967770394E-10</v>
      </c>
      <c r="D70" s="49">
        <f t="shared" ref="D70:G79" si="28">$C$2*O$11*$B70*T$11*$F$2</f>
        <v>4.4317864375777125E-10</v>
      </c>
      <c r="E70" s="49">
        <f t="shared" si="28"/>
        <v>5.6802980806763166E-9</v>
      </c>
      <c r="F70" s="49">
        <f t="shared" si="28"/>
        <v>4.4317864375777125E-10</v>
      </c>
      <c r="G70" s="49">
        <f t="shared" si="28"/>
        <v>1.1360596161352633E-8</v>
      </c>
      <c r="H70" s="49">
        <f>C70*$N$2*$F$2</f>
        <v>6.0275247177439288E-3</v>
      </c>
      <c r="I70" s="49">
        <f>D70*$N$2*$F$2</f>
        <v>3.102250506304399E-3</v>
      </c>
      <c r="J70" s="49">
        <f>E70*$N$2*$F$2</f>
        <v>3.9762086564734227E-2</v>
      </c>
      <c r="K70" s="49">
        <f>F70*$N$2*$F$2</f>
        <v>3.102250506304399E-3</v>
      </c>
      <c r="L70" s="49">
        <f>G70*$N$2*$F$2</f>
        <v>7.9524173129468453E-2</v>
      </c>
      <c r="M70" s="59">
        <f>SUM(H70:L70)</f>
        <v>0.1315182854245554</v>
      </c>
      <c r="N70" s="59"/>
    </row>
    <row r="71" spans="1:14" x14ac:dyDescent="0.25">
      <c r="A71" s="53">
        <f t="shared" ref="A71:A80" si="29">A57</f>
        <v>10</v>
      </c>
      <c r="B71" s="48">
        <f t="shared" si="27"/>
        <v>1</v>
      </c>
      <c r="C71" s="49">
        <f t="shared" ref="C71:C79" si="30">$C$2*N$11*$B71*S$11*$F$2</f>
        <v>8.6107495967770394E-10</v>
      </c>
      <c r="D71" s="49">
        <f t="shared" si="28"/>
        <v>4.4317864375777125E-10</v>
      </c>
      <c r="E71" s="49">
        <f t="shared" si="28"/>
        <v>5.6802980806763166E-9</v>
      </c>
      <c r="F71" s="49">
        <f t="shared" si="28"/>
        <v>4.4317864375777125E-10</v>
      </c>
      <c r="G71" s="49">
        <f t="shared" si="28"/>
        <v>1.1360596161352633E-8</v>
      </c>
      <c r="H71" s="49">
        <f>C71*$N$2*$F$2</f>
        <v>6.0275247177439288E-3</v>
      </c>
      <c r="I71" s="49">
        <f>D71*$N$2*$F$2</f>
        <v>3.102250506304399E-3</v>
      </c>
      <c r="J71" s="49">
        <f>E71*$N$2*$F$2</f>
        <v>3.9762086564734227E-2</v>
      </c>
      <c r="K71" s="49">
        <f>F71*$N$2*$F$2</f>
        <v>3.102250506304399E-3</v>
      </c>
      <c r="L71" s="49">
        <f>G71*$N$2*$F$2</f>
        <v>7.9524173129468453E-2</v>
      </c>
      <c r="M71" s="59">
        <f t="shared" ref="M71:M79" si="31">SUM(H71:L71)</f>
        <v>0.1315182854245554</v>
      </c>
    </row>
    <row r="72" spans="1:14" x14ac:dyDescent="0.25">
      <c r="A72" s="53">
        <f t="shared" si="29"/>
        <v>15</v>
      </c>
      <c r="B72" s="48">
        <f t="shared" si="27"/>
        <v>1</v>
      </c>
      <c r="C72" s="49">
        <f t="shared" si="30"/>
        <v>8.6107495967770394E-10</v>
      </c>
      <c r="D72" s="49">
        <f t="shared" si="28"/>
        <v>4.4317864375777125E-10</v>
      </c>
      <c r="E72" s="49">
        <f t="shared" si="28"/>
        <v>5.6802980806763166E-9</v>
      </c>
      <c r="F72" s="49">
        <f t="shared" si="28"/>
        <v>4.4317864375777125E-10</v>
      </c>
      <c r="G72" s="49">
        <f t="shared" si="28"/>
        <v>1.1360596161352633E-8</v>
      </c>
      <c r="H72" s="49">
        <f>C72*$N$2*$F$2</f>
        <v>6.0275247177439288E-3</v>
      </c>
      <c r="I72" s="49">
        <f>D72*$N$2*$F$2</f>
        <v>3.102250506304399E-3</v>
      </c>
      <c r="J72" s="49">
        <f>E72*$N$2*$F$2</f>
        <v>3.9762086564734227E-2</v>
      </c>
      <c r="K72" s="49">
        <f>F72*$N$2*$F$2</f>
        <v>3.102250506304399E-3</v>
      </c>
      <c r="L72" s="49">
        <f>G72*$N$2*$F$2</f>
        <v>7.9524173129468453E-2</v>
      </c>
      <c r="M72" s="59">
        <f t="shared" si="31"/>
        <v>0.1315182854245554</v>
      </c>
    </row>
    <row r="73" spans="1:14" x14ac:dyDescent="0.25">
      <c r="A73" s="53">
        <f t="shared" si="29"/>
        <v>20</v>
      </c>
      <c r="B73" s="48">
        <f t="shared" si="27"/>
        <v>1</v>
      </c>
      <c r="C73" s="49">
        <f t="shared" si="30"/>
        <v>8.6107495967770394E-10</v>
      </c>
      <c r="D73" s="49">
        <f t="shared" si="28"/>
        <v>4.4317864375777125E-10</v>
      </c>
      <c r="E73" s="49">
        <f t="shared" si="28"/>
        <v>5.6802980806763166E-9</v>
      </c>
      <c r="F73" s="49">
        <f t="shared" si="28"/>
        <v>4.4317864375777125E-10</v>
      </c>
      <c r="G73" s="49">
        <f t="shared" si="28"/>
        <v>1.1360596161352633E-8</v>
      </c>
      <c r="H73" s="49">
        <f>C73*$N$2*$F$2</f>
        <v>6.0275247177439288E-3</v>
      </c>
      <c r="I73" s="49">
        <f>D73*$N$2*$F$2</f>
        <v>3.102250506304399E-3</v>
      </c>
      <c r="J73" s="49">
        <f>E73*$N$2*$F$2</f>
        <v>3.9762086564734227E-2</v>
      </c>
      <c r="K73" s="49">
        <f>F73*$N$2*$F$2</f>
        <v>3.102250506304399E-3</v>
      </c>
      <c r="L73" s="49">
        <f>G73*$N$2*$F$2</f>
        <v>7.9524173129468453E-2</v>
      </c>
      <c r="M73" s="59">
        <f t="shared" si="31"/>
        <v>0.1315182854245554</v>
      </c>
    </row>
    <row r="74" spans="1:14" x14ac:dyDescent="0.25">
      <c r="A74" s="53">
        <f t="shared" si="29"/>
        <v>25</v>
      </c>
      <c r="B74" s="48">
        <f t="shared" si="27"/>
        <v>1</v>
      </c>
      <c r="C74" s="49">
        <f t="shared" si="30"/>
        <v>8.6107495967770394E-10</v>
      </c>
      <c r="D74" s="49">
        <f t="shared" si="28"/>
        <v>4.4317864375777125E-10</v>
      </c>
      <c r="E74" s="49">
        <f t="shared" si="28"/>
        <v>5.6802980806763166E-9</v>
      </c>
      <c r="F74" s="49">
        <f t="shared" si="28"/>
        <v>4.4317864375777125E-10</v>
      </c>
      <c r="G74" s="49">
        <f t="shared" si="28"/>
        <v>1.1360596161352633E-8</v>
      </c>
      <c r="H74" s="49">
        <f>C74*$N$2*$F$2</f>
        <v>6.0275247177439288E-3</v>
      </c>
      <c r="I74" s="49">
        <f>D74*$N$2*$F$2</f>
        <v>3.102250506304399E-3</v>
      </c>
      <c r="J74" s="49">
        <f>E74*$N$2*$F$2</f>
        <v>3.9762086564734227E-2</v>
      </c>
      <c r="K74" s="49">
        <f>F74*$N$2*$F$2</f>
        <v>3.102250506304399E-3</v>
      </c>
      <c r="L74" s="49">
        <f>G74*$N$2*$F$2</f>
        <v>7.9524173129468453E-2</v>
      </c>
      <c r="M74" s="59">
        <f t="shared" si="31"/>
        <v>0.1315182854245554</v>
      </c>
    </row>
    <row r="75" spans="1:14" x14ac:dyDescent="0.25">
      <c r="A75" s="53">
        <f t="shared" si="29"/>
        <v>30</v>
      </c>
      <c r="B75" s="48">
        <f t="shared" si="27"/>
        <v>1</v>
      </c>
      <c r="C75" s="49">
        <f t="shared" si="30"/>
        <v>8.6107495967770394E-10</v>
      </c>
      <c r="D75" s="49">
        <f t="shared" si="28"/>
        <v>4.4317864375777125E-10</v>
      </c>
      <c r="E75" s="49">
        <f t="shared" si="28"/>
        <v>5.6802980806763166E-9</v>
      </c>
      <c r="F75" s="49">
        <f t="shared" si="28"/>
        <v>4.4317864375777125E-10</v>
      </c>
      <c r="G75" s="49">
        <f t="shared" si="28"/>
        <v>1.1360596161352633E-8</v>
      </c>
      <c r="H75" s="49">
        <f>C75*$N$2*$F$2</f>
        <v>6.0275247177439288E-3</v>
      </c>
      <c r="I75" s="49">
        <f>D75*$N$2*$F$2</f>
        <v>3.102250506304399E-3</v>
      </c>
      <c r="J75" s="49">
        <f>E75*$N$2*$F$2</f>
        <v>3.9762086564734227E-2</v>
      </c>
      <c r="K75" s="49">
        <f>F75*$N$2*$F$2</f>
        <v>3.102250506304399E-3</v>
      </c>
      <c r="L75" s="49">
        <f>G75*$N$2*$F$2</f>
        <v>7.9524173129468453E-2</v>
      </c>
      <c r="M75" s="59">
        <f t="shared" si="31"/>
        <v>0.1315182854245554</v>
      </c>
    </row>
    <row r="76" spans="1:14" x14ac:dyDescent="0.25">
      <c r="A76" s="53">
        <f t="shared" si="29"/>
        <v>35</v>
      </c>
      <c r="B76" s="48">
        <f t="shared" si="27"/>
        <v>1</v>
      </c>
      <c r="C76" s="49">
        <f t="shared" si="30"/>
        <v>8.6107495967770394E-10</v>
      </c>
      <c r="D76" s="49">
        <f t="shared" si="28"/>
        <v>4.4317864375777125E-10</v>
      </c>
      <c r="E76" s="49">
        <f t="shared" si="28"/>
        <v>5.6802980806763166E-9</v>
      </c>
      <c r="F76" s="49">
        <f t="shared" si="28"/>
        <v>4.4317864375777125E-10</v>
      </c>
      <c r="G76" s="49">
        <f t="shared" si="28"/>
        <v>1.1360596161352633E-8</v>
      </c>
      <c r="H76" s="49">
        <f>C76*$N$2*$F$2</f>
        <v>6.0275247177439288E-3</v>
      </c>
      <c r="I76" s="49">
        <f>D76*$N$2*$F$2</f>
        <v>3.102250506304399E-3</v>
      </c>
      <c r="J76" s="49">
        <f>E76*$N$2*$F$2</f>
        <v>3.9762086564734227E-2</v>
      </c>
      <c r="K76" s="49">
        <f>F76*$N$2*$F$2</f>
        <v>3.102250506304399E-3</v>
      </c>
      <c r="L76" s="49">
        <f>G76*$N$2*$F$2</f>
        <v>7.9524173129468453E-2</v>
      </c>
      <c r="M76" s="59">
        <f t="shared" si="31"/>
        <v>0.1315182854245554</v>
      </c>
    </row>
    <row r="77" spans="1:14" x14ac:dyDescent="0.25">
      <c r="A77" s="53">
        <f t="shared" si="29"/>
        <v>40</v>
      </c>
      <c r="B77" s="48">
        <f t="shared" si="27"/>
        <v>1</v>
      </c>
      <c r="C77" s="49">
        <f t="shared" si="30"/>
        <v>8.6107495967770394E-10</v>
      </c>
      <c r="D77" s="49">
        <f t="shared" si="28"/>
        <v>4.4317864375777125E-10</v>
      </c>
      <c r="E77" s="49">
        <f t="shared" si="28"/>
        <v>5.6802980806763166E-9</v>
      </c>
      <c r="F77" s="49">
        <f t="shared" si="28"/>
        <v>4.4317864375777125E-10</v>
      </c>
      <c r="G77" s="49">
        <f t="shared" si="28"/>
        <v>1.1360596161352633E-8</v>
      </c>
      <c r="H77" s="49">
        <f>C77*$N$2*$F$2</f>
        <v>6.0275247177439288E-3</v>
      </c>
      <c r="I77" s="49">
        <f>D77*$N$2*$F$2</f>
        <v>3.102250506304399E-3</v>
      </c>
      <c r="J77" s="49">
        <f>E77*$N$2*$F$2</f>
        <v>3.9762086564734227E-2</v>
      </c>
      <c r="K77" s="49">
        <f>F77*$N$2*$F$2</f>
        <v>3.102250506304399E-3</v>
      </c>
      <c r="L77" s="49">
        <f>G77*$N$2*$F$2</f>
        <v>7.9524173129468453E-2</v>
      </c>
      <c r="M77" s="59">
        <f t="shared" si="31"/>
        <v>0.1315182854245554</v>
      </c>
    </row>
    <row r="78" spans="1:14" x14ac:dyDescent="0.25">
      <c r="A78" s="53">
        <f t="shared" si="29"/>
        <v>45</v>
      </c>
      <c r="B78" s="48">
        <f t="shared" si="27"/>
        <v>1</v>
      </c>
      <c r="C78" s="49">
        <f t="shared" si="30"/>
        <v>8.6107495967770394E-10</v>
      </c>
      <c r="D78" s="49">
        <f t="shared" si="28"/>
        <v>4.4317864375777125E-10</v>
      </c>
      <c r="E78" s="49">
        <f t="shared" si="28"/>
        <v>5.6802980806763166E-9</v>
      </c>
      <c r="F78" s="49">
        <f t="shared" si="28"/>
        <v>4.4317864375777125E-10</v>
      </c>
      <c r="G78" s="49">
        <f t="shared" si="28"/>
        <v>1.1360596161352633E-8</v>
      </c>
      <c r="H78" s="49">
        <f>C78*$N$2*$F$2</f>
        <v>6.0275247177439288E-3</v>
      </c>
      <c r="I78" s="49">
        <f>D78*$N$2*$F$2</f>
        <v>3.102250506304399E-3</v>
      </c>
      <c r="J78" s="49">
        <f>E78*$N$2*$F$2</f>
        <v>3.9762086564734227E-2</v>
      </c>
      <c r="K78" s="49">
        <f>F78*$N$2*$F$2</f>
        <v>3.102250506304399E-3</v>
      </c>
      <c r="L78" s="49">
        <f>G78*$N$2*$F$2</f>
        <v>7.9524173129468453E-2</v>
      </c>
      <c r="M78" s="59">
        <f t="shared" si="31"/>
        <v>0.1315182854245554</v>
      </c>
    </row>
    <row r="79" spans="1:14" x14ac:dyDescent="0.25">
      <c r="A79" s="53">
        <f t="shared" si="29"/>
        <v>50</v>
      </c>
      <c r="B79" s="48">
        <f t="shared" si="27"/>
        <v>1</v>
      </c>
      <c r="C79" s="49">
        <f t="shared" si="30"/>
        <v>8.6107495967770394E-10</v>
      </c>
      <c r="D79" s="49">
        <f t="shared" si="28"/>
        <v>4.4317864375777125E-10</v>
      </c>
      <c r="E79" s="49">
        <f t="shared" si="28"/>
        <v>5.6802980806763166E-9</v>
      </c>
      <c r="F79" s="49">
        <f t="shared" si="28"/>
        <v>4.4317864375777125E-10</v>
      </c>
      <c r="G79" s="49">
        <f t="shared" si="28"/>
        <v>1.1360596161352633E-8</v>
      </c>
      <c r="H79" s="49">
        <f>C79*$N$2*$F$2</f>
        <v>6.0275247177439288E-3</v>
      </c>
      <c r="I79" s="49">
        <f>D79*$N$2*$F$2</f>
        <v>3.102250506304399E-3</v>
      </c>
      <c r="J79" s="49">
        <f>E79*$N$2*$F$2</f>
        <v>3.9762086564734227E-2</v>
      </c>
      <c r="K79" s="49">
        <f>F79*$N$2*$F$2</f>
        <v>3.102250506304399E-3</v>
      </c>
      <c r="L79" s="49">
        <f>G79*$N$2*$F$2</f>
        <v>7.9524173129468453E-2</v>
      </c>
      <c r="M79" s="59">
        <f t="shared" si="31"/>
        <v>0.1315182854245554</v>
      </c>
    </row>
    <row r="80" spans="1:14" x14ac:dyDescent="0.25">
      <c r="A80" s="53">
        <f t="shared" si="29"/>
        <v>125</v>
      </c>
      <c r="B80" s="48">
        <f t="shared" si="27"/>
        <v>1</v>
      </c>
      <c r="C80" s="49">
        <f>$C$2*N$11*$B80*S$11*$F$2</f>
        <v>8.6107495967770394E-10</v>
      </c>
      <c r="D80" s="49">
        <f>$C$2*O$11*$B80*T$11*$F$2</f>
        <v>4.4317864375777125E-10</v>
      </c>
      <c r="E80" s="49">
        <f>$C$2*P$11*$B80*U$11*$F$2</f>
        <v>5.6802980806763166E-9</v>
      </c>
      <c r="F80" s="49">
        <f>$C$2*Q$11*$B80*V$11*$F$2</f>
        <v>4.4317864375777125E-10</v>
      </c>
      <c r="G80" s="49">
        <f>$C$2*R$11*$B80*W$11*$F$2</f>
        <v>1.1360596161352633E-8</v>
      </c>
      <c r="H80" s="49">
        <f>C80*$N$2*$F$2</f>
        <v>6.0275247177439288E-3</v>
      </c>
      <c r="I80" s="49">
        <f>D80*$N$2*$F$2</f>
        <v>3.102250506304399E-3</v>
      </c>
      <c r="J80" s="49">
        <f>E80*$N$2*$F$2</f>
        <v>3.9762086564734227E-2</v>
      </c>
      <c r="K80" s="49">
        <f>F80*$N$2*$F$2</f>
        <v>3.102250506304399E-3</v>
      </c>
      <c r="L80" s="49">
        <f>G80*$N$2*$F$2</f>
        <v>7.9524173129468453E-2</v>
      </c>
      <c r="M80" s="59">
        <f>SUM(H80:L80)</f>
        <v>0.1315182854245554</v>
      </c>
    </row>
    <row r="82" spans="1:16" ht="14.4" thickBot="1" x14ac:dyDescent="0.3"/>
    <row r="83" spans="1:16" ht="42" thickBot="1" x14ac:dyDescent="0.3">
      <c r="A83" s="73" t="s">
        <v>137</v>
      </c>
    </row>
    <row r="84" spans="1:16" ht="14.4" thickBot="1" x14ac:dyDescent="0.3"/>
    <row r="85" spans="1:16" ht="28.2" thickBot="1" x14ac:dyDescent="0.3">
      <c r="A85" s="66" t="s">
        <v>17</v>
      </c>
      <c r="B85" s="65" t="s">
        <v>93</v>
      </c>
      <c r="C85" s="60" t="s">
        <v>138</v>
      </c>
      <c r="D85" s="60" t="s">
        <v>139</v>
      </c>
      <c r="E85" s="60" t="s">
        <v>140</v>
      </c>
      <c r="F85" s="60" t="s">
        <v>141</v>
      </c>
      <c r="G85" s="60" t="s">
        <v>142</v>
      </c>
      <c r="H85" s="60" t="s">
        <v>143</v>
      </c>
      <c r="I85" s="60" t="s">
        <v>144</v>
      </c>
      <c r="J85" s="60" t="s">
        <v>145</v>
      </c>
      <c r="K85" s="60" t="s">
        <v>146</v>
      </c>
      <c r="L85" s="60" t="s">
        <v>147</v>
      </c>
    </row>
    <row r="86" spans="1:16" x14ac:dyDescent="0.25">
      <c r="A86" s="53">
        <f>A70</f>
        <v>5</v>
      </c>
      <c r="B86" s="48">
        <f t="shared" ref="B86:B94" si="32">B42</f>
        <v>1</v>
      </c>
      <c r="C86" s="49">
        <f t="shared" ref="C86:C95" si="33">$D$2*I11*N$11*$B86*S$11</f>
        <v>1.9359062325306695E-9</v>
      </c>
      <c r="D86" s="49">
        <f t="shared" ref="D86:D95" si="34">$D$2*J11*O$11*$B86*T$11</f>
        <v>1.9927470632667938E-9</v>
      </c>
      <c r="E86" s="49">
        <f t="shared" ref="E86:E95" si="35">$D$2*K11*P$11*$B86*U$11</f>
        <v>1.2770693577164556E-8</v>
      </c>
      <c r="F86" s="49">
        <f t="shared" ref="F86:F95" si="36">$D$2*L11*Q$11*$B86*V$11</f>
        <v>1.9927470632667938E-9</v>
      </c>
      <c r="G86" s="49">
        <f t="shared" ref="G86:G95" si="37">$D$2*M11*R$11*$B86*W$11</f>
        <v>2.5541387154329113E-8</v>
      </c>
      <c r="H86" s="49">
        <f>C86*I$11*$N$2*0.5</f>
        <v>2.1682149804343503E-2</v>
      </c>
      <c r="I86" s="49">
        <f>D86*J$11*$N$2*0.5</f>
        <v>4.4637534217176186E-2</v>
      </c>
      <c r="J86" s="49">
        <f>E86*K$11*$N$2*0.5</f>
        <v>0.14303176806424306</v>
      </c>
      <c r="K86" s="49">
        <f>F86*L$11*$N$2*0.5</f>
        <v>4.4637534217176186E-2</v>
      </c>
      <c r="L86" s="49">
        <f>G86*M$11*$N$2*0.5</f>
        <v>0.28606353612848612</v>
      </c>
      <c r="M86" s="49">
        <f t="shared" ref="M86:M95" si="38">SUM(H86:L86)</f>
        <v>0.54005252243142499</v>
      </c>
      <c r="P86" s="59"/>
    </row>
    <row r="87" spans="1:16" x14ac:dyDescent="0.25">
      <c r="A87" s="53">
        <f t="shared" ref="A87:A96" si="39">A71</f>
        <v>10</v>
      </c>
      <c r="B87" s="48">
        <f t="shared" si="32"/>
        <v>1</v>
      </c>
      <c r="C87" s="49">
        <f t="shared" si="33"/>
        <v>1.9359062325306695E-9</v>
      </c>
      <c r="D87" s="49">
        <f t="shared" si="34"/>
        <v>1.9927470632667938E-9</v>
      </c>
      <c r="E87" s="49">
        <f t="shared" si="35"/>
        <v>1.2770693577164556E-8</v>
      </c>
      <c r="F87" s="49">
        <f t="shared" si="36"/>
        <v>1.9927470632667938E-9</v>
      </c>
      <c r="G87" s="49">
        <f t="shared" si="37"/>
        <v>2.5541387154329113E-8</v>
      </c>
      <c r="H87" s="49">
        <f>C87*I$11*$N$2*0.5</f>
        <v>2.1682149804343503E-2</v>
      </c>
      <c r="I87" s="49">
        <f>D87*J$11*$N$2*0.5</f>
        <v>4.4637534217176186E-2</v>
      </c>
      <c r="J87" s="49">
        <f>E87*K$11*$N$2*0.5</f>
        <v>0.14303176806424306</v>
      </c>
      <c r="K87" s="49">
        <f>F87*L$11*$N$2*0.5</f>
        <v>4.4637534217176186E-2</v>
      </c>
      <c r="L87" s="49">
        <f>G87*M$11*$N$2*0.5</f>
        <v>0.28606353612848612</v>
      </c>
      <c r="M87" s="49">
        <f t="shared" si="38"/>
        <v>0.54005252243142499</v>
      </c>
    </row>
    <row r="88" spans="1:16" x14ac:dyDescent="0.25">
      <c r="A88" s="53">
        <f t="shared" si="39"/>
        <v>15</v>
      </c>
      <c r="B88" s="48">
        <f t="shared" si="32"/>
        <v>1</v>
      </c>
      <c r="C88" s="49">
        <f t="shared" si="33"/>
        <v>1.9359062325306695E-9</v>
      </c>
      <c r="D88" s="49">
        <f t="shared" si="34"/>
        <v>1.9927470632667938E-9</v>
      </c>
      <c r="E88" s="49">
        <f t="shared" si="35"/>
        <v>1.2770693577164556E-8</v>
      </c>
      <c r="F88" s="49">
        <f t="shared" si="36"/>
        <v>1.9927470632667938E-9</v>
      </c>
      <c r="G88" s="49">
        <f t="shared" si="37"/>
        <v>2.5541387154329113E-8</v>
      </c>
      <c r="H88" s="49">
        <f>C88*I$11*$N$2*0.5</f>
        <v>2.1682149804343503E-2</v>
      </c>
      <c r="I88" s="49">
        <f>D88*J$11*$N$2*0.5</f>
        <v>4.4637534217176186E-2</v>
      </c>
      <c r="J88" s="49">
        <f>E88*K$11*$N$2*0.5</f>
        <v>0.14303176806424306</v>
      </c>
      <c r="K88" s="49">
        <f>F88*L$11*$N$2*0.5</f>
        <v>4.4637534217176186E-2</v>
      </c>
      <c r="L88" s="49">
        <f>G88*M$11*$N$2*0.5</f>
        <v>0.28606353612848612</v>
      </c>
      <c r="M88" s="49">
        <f t="shared" si="38"/>
        <v>0.54005252243142499</v>
      </c>
    </row>
    <row r="89" spans="1:16" x14ac:dyDescent="0.25">
      <c r="A89" s="53">
        <f t="shared" si="39"/>
        <v>20</v>
      </c>
      <c r="B89" s="48">
        <f t="shared" si="32"/>
        <v>1</v>
      </c>
      <c r="C89" s="49">
        <f t="shared" si="33"/>
        <v>1.9359062325306695E-9</v>
      </c>
      <c r="D89" s="49">
        <f t="shared" si="34"/>
        <v>1.9927470632667938E-9</v>
      </c>
      <c r="E89" s="49">
        <f t="shared" si="35"/>
        <v>1.2770693577164556E-8</v>
      </c>
      <c r="F89" s="49">
        <f t="shared" si="36"/>
        <v>1.9927470632667938E-9</v>
      </c>
      <c r="G89" s="49">
        <f t="shared" si="37"/>
        <v>2.5541387154329113E-8</v>
      </c>
      <c r="H89" s="49">
        <f>C89*I$11*$N$2*0.5</f>
        <v>2.1682149804343503E-2</v>
      </c>
      <c r="I89" s="49">
        <f>D89*J$11*$N$2*0.5</f>
        <v>4.4637534217176186E-2</v>
      </c>
      <c r="J89" s="49">
        <f>E89*K$11*$N$2*0.5</f>
        <v>0.14303176806424306</v>
      </c>
      <c r="K89" s="49">
        <f>F89*L$11*$N$2*0.5</f>
        <v>4.4637534217176186E-2</v>
      </c>
      <c r="L89" s="49">
        <f>G89*M$11*$N$2*0.5</f>
        <v>0.28606353612848612</v>
      </c>
      <c r="M89" s="49">
        <f t="shared" si="38"/>
        <v>0.54005252243142499</v>
      </c>
    </row>
    <row r="90" spans="1:16" x14ac:dyDescent="0.25">
      <c r="A90" s="53">
        <f t="shared" si="39"/>
        <v>25</v>
      </c>
      <c r="B90" s="48">
        <f t="shared" si="32"/>
        <v>1</v>
      </c>
      <c r="C90" s="49">
        <f t="shared" si="33"/>
        <v>1.9359062325306695E-9</v>
      </c>
      <c r="D90" s="49">
        <f t="shared" si="34"/>
        <v>1.9927470632667938E-9</v>
      </c>
      <c r="E90" s="49">
        <f t="shared" si="35"/>
        <v>1.2770693577164556E-8</v>
      </c>
      <c r="F90" s="49">
        <f t="shared" si="36"/>
        <v>1.9927470632667938E-9</v>
      </c>
      <c r="G90" s="49">
        <f t="shared" si="37"/>
        <v>2.5541387154329113E-8</v>
      </c>
      <c r="H90" s="49">
        <f>C90*I$11*$N$2*0.5</f>
        <v>2.1682149804343503E-2</v>
      </c>
      <c r="I90" s="49">
        <f>D90*J$11*$N$2*0.5</f>
        <v>4.4637534217176186E-2</v>
      </c>
      <c r="J90" s="49">
        <f>E90*K$11*$N$2*0.5</f>
        <v>0.14303176806424306</v>
      </c>
      <c r="K90" s="49">
        <f>F90*L$11*$N$2*0.5</f>
        <v>4.4637534217176186E-2</v>
      </c>
      <c r="L90" s="49">
        <f>G90*M$11*$N$2*0.5</f>
        <v>0.28606353612848612</v>
      </c>
      <c r="M90" s="49">
        <f t="shared" si="38"/>
        <v>0.54005252243142499</v>
      </c>
    </row>
    <row r="91" spans="1:16" x14ac:dyDescent="0.25">
      <c r="A91" s="53">
        <f t="shared" si="39"/>
        <v>30</v>
      </c>
      <c r="B91" s="48">
        <f t="shared" si="32"/>
        <v>1</v>
      </c>
      <c r="C91" s="49">
        <f t="shared" si="33"/>
        <v>1.9359062325306695E-9</v>
      </c>
      <c r="D91" s="49">
        <f t="shared" si="34"/>
        <v>1.9927470632667938E-9</v>
      </c>
      <c r="E91" s="49">
        <f t="shared" si="35"/>
        <v>1.2770693577164556E-8</v>
      </c>
      <c r="F91" s="49">
        <f t="shared" si="36"/>
        <v>1.9927470632667938E-9</v>
      </c>
      <c r="G91" s="49">
        <f t="shared" si="37"/>
        <v>2.5541387154329113E-8</v>
      </c>
      <c r="H91" s="49">
        <f>C91*I$11*$N$2*0.5</f>
        <v>2.1682149804343503E-2</v>
      </c>
      <c r="I91" s="49">
        <f>D91*J$11*$N$2*0.5</f>
        <v>4.4637534217176186E-2</v>
      </c>
      <c r="J91" s="49">
        <f>E91*K$11*$N$2*0.5</f>
        <v>0.14303176806424306</v>
      </c>
      <c r="K91" s="49">
        <f>F91*L$11*$N$2*0.5</f>
        <v>4.4637534217176186E-2</v>
      </c>
      <c r="L91" s="49">
        <f>G91*M$11*$N$2*0.5</f>
        <v>0.28606353612848612</v>
      </c>
      <c r="M91" s="49">
        <f t="shared" si="38"/>
        <v>0.54005252243142499</v>
      </c>
    </row>
    <row r="92" spans="1:16" x14ac:dyDescent="0.25">
      <c r="A92" s="53">
        <f t="shared" si="39"/>
        <v>35</v>
      </c>
      <c r="B92" s="48">
        <f t="shared" si="32"/>
        <v>1</v>
      </c>
      <c r="C92" s="49">
        <f t="shared" si="33"/>
        <v>1.9359062325306695E-9</v>
      </c>
      <c r="D92" s="49">
        <f t="shared" si="34"/>
        <v>1.9927470632667938E-9</v>
      </c>
      <c r="E92" s="49">
        <f t="shared" si="35"/>
        <v>1.2770693577164556E-8</v>
      </c>
      <c r="F92" s="49">
        <f t="shared" si="36"/>
        <v>1.9927470632667938E-9</v>
      </c>
      <c r="G92" s="49">
        <f t="shared" si="37"/>
        <v>2.5541387154329113E-8</v>
      </c>
      <c r="H92" s="49">
        <f>C92*I$11*$N$2*0.5</f>
        <v>2.1682149804343503E-2</v>
      </c>
      <c r="I92" s="49">
        <f>D92*J$11*$N$2*0.5</f>
        <v>4.4637534217176186E-2</v>
      </c>
      <c r="J92" s="49">
        <f>E92*K$11*$N$2*0.5</f>
        <v>0.14303176806424306</v>
      </c>
      <c r="K92" s="49">
        <f>F92*L$11*$N$2*0.5</f>
        <v>4.4637534217176186E-2</v>
      </c>
      <c r="L92" s="49">
        <f>G92*M$11*$N$2*0.5</f>
        <v>0.28606353612848612</v>
      </c>
      <c r="M92" s="49">
        <f t="shared" si="38"/>
        <v>0.54005252243142499</v>
      </c>
    </row>
    <row r="93" spans="1:16" x14ac:dyDescent="0.25">
      <c r="A93" s="53">
        <f t="shared" si="39"/>
        <v>40</v>
      </c>
      <c r="B93" s="48">
        <f t="shared" si="32"/>
        <v>1</v>
      </c>
      <c r="C93" s="49">
        <f t="shared" si="33"/>
        <v>1.9359062325306695E-9</v>
      </c>
      <c r="D93" s="49">
        <f t="shared" si="34"/>
        <v>1.9927470632667938E-9</v>
      </c>
      <c r="E93" s="49">
        <f t="shared" si="35"/>
        <v>1.2770693577164556E-8</v>
      </c>
      <c r="F93" s="49">
        <f t="shared" si="36"/>
        <v>1.9927470632667938E-9</v>
      </c>
      <c r="G93" s="49">
        <f t="shared" si="37"/>
        <v>2.5541387154329113E-8</v>
      </c>
      <c r="H93" s="49">
        <f>C93*I$11*$N$2*0.5</f>
        <v>2.1682149804343503E-2</v>
      </c>
      <c r="I93" s="49">
        <f>D93*J$11*$N$2*0.5</f>
        <v>4.4637534217176186E-2</v>
      </c>
      <c r="J93" s="49">
        <f>E93*K$11*$N$2*0.5</f>
        <v>0.14303176806424306</v>
      </c>
      <c r="K93" s="49">
        <f>F93*L$11*$N$2*0.5</f>
        <v>4.4637534217176186E-2</v>
      </c>
      <c r="L93" s="49">
        <f>G93*M$11*$N$2*0.5</f>
        <v>0.28606353612848612</v>
      </c>
      <c r="M93" s="49">
        <f t="shared" si="38"/>
        <v>0.54005252243142499</v>
      </c>
    </row>
    <row r="94" spans="1:16" x14ac:dyDescent="0.25">
      <c r="A94" s="53">
        <f t="shared" si="39"/>
        <v>45</v>
      </c>
      <c r="B94" s="48">
        <f t="shared" si="32"/>
        <v>1</v>
      </c>
      <c r="C94" s="49">
        <f t="shared" si="33"/>
        <v>1.9359062325306695E-9</v>
      </c>
      <c r="D94" s="49">
        <f t="shared" si="34"/>
        <v>1.9927470632667938E-9</v>
      </c>
      <c r="E94" s="49">
        <f t="shared" si="35"/>
        <v>1.2770693577164556E-8</v>
      </c>
      <c r="F94" s="49">
        <f t="shared" si="36"/>
        <v>1.9927470632667938E-9</v>
      </c>
      <c r="G94" s="49">
        <f t="shared" si="37"/>
        <v>2.5541387154329113E-8</v>
      </c>
      <c r="H94" s="49">
        <f>C94*I$11*$N$2*0.5</f>
        <v>2.1682149804343503E-2</v>
      </c>
      <c r="I94" s="49">
        <f>D94*J$11*$N$2*0.5</f>
        <v>4.4637534217176186E-2</v>
      </c>
      <c r="J94" s="49">
        <f>E94*K$11*$N$2*0.5</f>
        <v>0.14303176806424306</v>
      </c>
      <c r="K94" s="49">
        <f>F94*L$11*$N$2*0.5</f>
        <v>4.4637534217176186E-2</v>
      </c>
      <c r="L94" s="49">
        <f>G94*M$11*$N$2*0.5</f>
        <v>0.28606353612848612</v>
      </c>
      <c r="M94" s="49">
        <f t="shared" si="38"/>
        <v>0.54005252243142499</v>
      </c>
    </row>
    <row r="95" spans="1:16" x14ac:dyDescent="0.25">
      <c r="A95" s="53">
        <f t="shared" si="39"/>
        <v>50</v>
      </c>
      <c r="B95" s="48">
        <v>1</v>
      </c>
      <c r="C95" s="49">
        <f t="shared" si="33"/>
        <v>1.9359062325306695E-9</v>
      </c>
      <c r="D95" s="49">
        <f t="shared" si="34"/>
        <v>1.9927470632667938E-9</v>
      </c>
      <c r="E95" s="49">
        <f t="shared" si="35"/>
        <v>1.2770693577164556E-8</v>
      </c>
      <c r="F95" s="49">
        <f t="shared" si="36"/>
        <v>1.9927470632667938E-9</v>
      </c>
      <c r="G95" s="49">
        <f t="shared" si="37"/>
        <v>2.5541387154329113E-8</v>
      </c>
      <c r="H95" s="49">
        <f>C95*I$11*$N$2*0.5</f>
        <v>2.1682149804343503E-2</v>
      </c>
      <c r="I95" s="49">
        <f>D95*J$11*$N$2*0.5</f>
        <v>4.4637534217176186E-2</v>
      </c>
      <c r="J95" s="49">
        <f>E95*K$11*$N$2*0.5</f>
        <v>0.14303176806424306</v>
      </c>
      <c r="K95" s="49">
        <f>F95*L$11*$N$2*0.5</f>
        <v>4.4637534217176186E-2</v>
      </c>
      <c r="L95" s="49">
        <f>G95*M$11*$N$2*0.5</f>
        <v>0.28606353612848612</v>
      </c>
      <c r="M95" s="49">
        <f t="shared" si="38"/>
        <v>0.54005252243142499</v>
      </c>
    </row>
    <row r="96" spans="1:16" ht="14.4" thickBot="1" x14ac:dyDescent="0.3">
      <c r="A96" s="53">
        <f t="shared" si="39"/>
        <v>125</v>
      </c>
      <c r="B96" s="48">
        <v>1</v>
      </c>
      <c r="C96" s="49">
        <f>$D$2*I21*N$11*$B96*S$11</f>
        <v>1.9359062325306695E-9</v>
      </c>
      <c r="D96" s="49">
        <f>$D$2*J21*O$11*$B96*T$11</f>
        <v>1.9927470632667938E-9</v>
      </c>
      <c r="E96" s="49">
        <f>$D$2*K21*P$11*$B96*U$11</f>
        <v>1.2770693577164556E-8</v>
      </c>
      <c r="F96" s="49">
        <f>$D$2*L21*Q$11*$B96*V$11</f>
        <v>1.9927470632667938E-9</v>
      </c>
      <c r="G96" s="49">
        <f>$D$2*M21*R$11*$B96*W$11</f>
        <v>2.5541387154329113E-8</v>
      </c>
      <c r="H96" s="49">
        <f>C96*I$11*$N$2*0.5</f>
        <v>2.1682149804343503E-2</v>
      </c>
      <c r="I96" s="49">
        <f>D96*J$11*$N$2*0.5</f>
        <v>4.4637534217176186E-2</v>
      </c>
      <c r="J96" s="49">
        <f>E96*K$11*$N$2*0.5</f>
        <v>0.14303176806424306</v>
      </c>
      <c r="K96" s="49">
        <f>F96*L$11*$N$2*0.5</f>
        <v>4.4637534217176186E-2</v>
      </c>
      <c r="L96" s="49">
        <f>G96*M$11*$N$2*0.5</f>
        <v>0.28606353612848612</v>
      </c>
      <c r="M96" s="49">
        <f>SUM(H96:L96)</f>
        <v>0.54005252243142499</v>
      </c>
    </row>
    <row r="97" spans="1:11" ht="28.2" thickBot="1" x14ac:dyDescent="0.3">
      <c r="A97" s="73" t="s">
        <v>163</v>
      </c>
    </row>
    <row r="98" spans="1:11" ht="14.4" thickBot="1" x14ac:dyDescent="0.3">
      <c r="A98" s="56"/>
      <c r="B98" s="56"/>
      <c r="C98" s="56"/>
      <c r="D98" s="48"/>
      <c r="E98" s="57"/>
      <c r="F98" s="57"/>
      <c r="G98" s="57"/>
      <c r="H98" s="57"/>
      <c r="I98" s="57"/>
      <c r="J98" s="57"/>
    </row>
    <row r="99" spans="1:11" ht="28.2" thickBot="1" x14ac:dyDescent="0.3">
      <c r="A99" s="60" t="s">
        <v>162</v>
      </c>
      <c r="B99" s="65" t="s">
        <v>93</v>
      </c>
      <c r="C99" s="60" t="s">
        <v>82</v>
      </c>
      <c r="D99" s="60" t="s">
        <v>84</v>
      </c>
      <c r="E99" s="60" t="s">
        <v>169</v>
      </c>
      <c r="F99" s="60" t="s">
        <v>168</v>
      </c>
      <c r="G99" s="60" t="s">
        <v>166</v>
      </c>
      <c r="H99" s="60" t="s">
        <v>167</v>
      </c>
      <c r="I99" s="60" t="s">
        <v>164</v>
      </c>
      <c r="J99" s="60" t="s">
        <v>165</v>
      </c>
    </row>
    <row r="100" spans="1:11" x14ac:dyDescent="0.25">
      <c r="A100" s="53">
        <f>A86</f>
        <v>5</v>
      </c>
      <c r="B100" s="48">
        <v>1</v>
      </c>
      <c r="C100" s="58">
        <f>(1/($T$2*((P$11*$B100)/U$11)*($F$2-$G$2)))</f>
        <v>2.8077136071010898E-3</v>
      </c>
      <c r="D100" s="58">
        <f>(1/($T$2*((R$11*$B100)/W$11)*($F$2-$G$2)))</f>
        <v>1.4038568035505449E-3</v>
      </c>
      <c r="E100" s="49">
        <f t="shared" ref="E100:E109" si="40">ABS($G$2+(F12*C100))</f>
        <v>2.1345309283505092</v>
      </c>
      <c r="F100" s="49">
        <f>ABS($G$2+H12*D100)</f>
        <v>2.1345309283505092</v>
      </c>
      <c r="G100" s="49">
        <v>2.0000000000000001E-9</v>
      </c>
      <c r="H100" s="49">
        <v>2.0000000000000001E-9</v>
      </c>
      <c r="I100" s="49">
        <f>2*E100*F12*$N$2*G100</f>
        <v>1.9289673054087755E-2</v>
      </c>
      <c r="J100" s="59">
        <f>2*F100*H12*$N$2*H100</f>
        <v>3.8579346108175511E-2</v>
      </c>
      <c r="K100" s="59">
        <f>SUM(I100:J100)</f>
        <v>5.7869019162263266E-2</v>
      </c>
    </row>
    <row r="101" spans="1:11" x14ac:dyDescent="0.25">
      <c r="A101" s="53">
        <f t="shared" ref="A101:A110" si="41">A87</f>
        <v>10</v>
      </c>
      <c r="B101" s="48">
        <v>1</v>
      </c>
      <c r="C101" s="58">
        <f>(1/($T$2*((P$11*$B101)/U$11)*($F$2-$G$2)))</f>
        <v>2.8077136071010898E-3</v>
      </c>
      <c r="D101" s="58">
        <f>(1/($T$2*((R$11*$B101)/W$11)*($F$2-$G$2)))</f>
        <v>1.4038568035505449E-3</v>
      </c>
      <c r="E101" s="49">
        <f t="shared" si="40"/>
        <v>2.1390618567010184</v>
      </c>
      <c r="F101" s="49">
        <f t="shared" ref="F101:F109" si="42">ABS($G$2+H13*D101)</f>
        <v>2.1390618567010184</v>
      </c>
      <c r="G101" s="49">
        <v>2.0000000000000001E-9</v>
      </c>
      <c r="H101" s="49">
        <v>2.0000000000000001E-9</v>
      </c>
      <c r="I101" s="49">
        <f>2*E101*F13*$N$2*G101</f>
        <v>3.8661237755049288E-2</v>
      </c>
      <c r="J101" s="59">
        <f>2*F101*H13*$N$2*H101</f>
        <v>7.7322475510098576E-2</v>
      </c>
      <c r="K101" s="59">
        <f t="shared" ref="K101:K109" si="43">SUM(I101:J101)</f>
        <v>0.11598371326514786</v>
      </c>
    </row>
    <row r="102" spans="1:11" x14ac:dyDescent="0.25">
      <c r="A102" s="53">
        <f t="shared" si="41"/>
        <v>15</v>
      </c>
      <c r="B102" s="48">
        <v>1</v>
      </c>
      <c r="C102" s="58">
        <f>(1/($T$2*((P$11*$B102)/U$11)*($F$2-$G$2)))</f>
        <v>2.8077136071010898E-3</v>
      </c>
      <c r="D102" s="58">
        <f>(1/($T$2*((R$11*$B102)/W$11)*($F$2-$G$2)))</f>
        <v>1.4038568035505449E-3</v>
      </c>
      <c r="E102" s="49">
        <f t="shared" si="40"/>
        <v>2.1435927850515282</v>
      </c>
      <c r="F102" s="49">
        <f t="shared" si="42"/>
        <v>2.1435927850515282</v>
      </c>
      <c r="G102" s="49">
        <v>2.0000000000000001E-9</v>
      </c>
      <c r="H102" s="49">
        <v>2.0000000000000001E-9</v>
      </c>
      <c r="I102" s="49">
        <f>2*E102*F14*$N$2*G102</f>
        <v>5.8114694102884619E-2</v>
      </c>
      <c r="J102" s="59">
        <f>2*F102*H14*$N$2*H102</f>
        <v>0.11622938820576924</v>
      </c>
      <c r="K102" s="59">
        <f t="shared" si="43"/>
        <v>0.17434408230865386</v>
      </c>
    </row>
    <row r="103" spans="1:11" x14ac:dyDescent="0.25">
      <c r="A103" s="53">
        <f t="shared" si="41"/>
        <v>20</v>
      </c>
      <c r="B103" s="48">
        <v>1</v>
      </c>
      <c r="C103" s="58">
        <f>(1/($T$2*((P$11*$B103)/U$11)*($F$2-$G$2)))</f>
        <v>2.8077136071010898E-3</v>
      </c>
      <c r="D103" s="58">
        <f>(1/($T$2*((R$11*$B103)/W$11)*($F$2-$G$2)))</f>
        <v>1.4038568035505449E-3</v>
      </c>
      <c r="E103" s="49">
        <f t="shared" si="40"/>
        <v>2.1481237134020374</v>
      </c>
      <c r="F103" s="49">
        <f t="shared" si="42"/>
        <v>2.1481237134020374</v>
      </c>
      <c r="G103" s="49">
        <v>2.0000000000000001E-9</v>
      </c>
      <c r="H103" s="49">
        <v>2.0000000000000001E-9</v>
      </c>
      <c r="I103" s="49">
        <f>2*E103*F15*$N$2*G103</f>
        <v>7.7650042097593713E-2</v>
      </c>
      <c r="J103" s="59">
        <f>2*F103*H15*$N$2*H103</f>
        <v>0.15530008419518743</v>
      </c>
      <c r="K103" s="59">
        <f t="shared" si="43"/>
        <v>0.23295012629278114</v>
      </c>
    </row>
    <row r="104" spans="1:11" x14ac:dyDescent="0.25">
      <c r="A104" s="53">
        <f t="shared" si="41"/>
        <v>25</v>
      </c>
      <c r="B104" s="48">
        <v>1</v>
      </c>
      <c r="C104" s="58">
        <f>(1/($T$2*((P$11*$B104)/U$11)*($F$2-$G$2)))</f>
        <v>2.8077136071010898E-3</v>
      </c>
      <c r="D104" s="58">
        <f>(1/($T$2*((R$11*$B104)/W$11)*($F$2-$G$2)))</f>
        <v>1.4038568035505449E-3</v>
      </c>
      <c r="E104" s="49">
        <f>ABS($G$2+(F16*C104))</f>
        <v>2.1526546417525467</v>
      </c>
      <c r="F104" s="49">
        <f t="shared" si="42"/>
        <v>2.1526546417525467</v>
      </c>
      <c r="G104" s="49">
        <v>2.0000000000000001E-9</v>
      </c>
      <c r="H104" s="49">
        <v>2.0000000000000001E-9</v>
      </c>
      <c r="I104" s="49">
        <f>2*E104*F16*$N$2*G104</f>
        <v>9.726728173917662E-2</v>
      </c>
      <c r="J104" s="59">
        <f>2*F104*H16*$N$2*H104</f>
        <v>0.19453456347835324</v>
      </c>
      <c r="K104" s="59">
        <f t="shared" si="43"/>
        <v>0.29180184521752983</v>
      </c>
    </row>
    <row r="105" spans="1:11" x14ac:dyDescent="0.25">
      <c r="A105" s="53">
        <f t="shared" si="41"/>
        <v>30</v>
      </c>
      <c r="B105" s="48">
        <v>1</v>
      </c>
      <c r="C105" s="58">
        <f>(1/($T$2*((P$11*$B105)/U$11)*($F$2-$G$2)))</f>
        <v>2.8077136071010898E-3</v>
      </c>
      <c r="D105" s="58">
        <f>(1/($T$2*((R$11*$B105)/W$11)*($F$2-$G$2)))</f>
        <v>1.4038568035505449E-3</v>
      </c>
      <c r="E105" s="49">
        <f t="shared" si="40"/>
        <v>2.157185570103056</v>
      </c>
      <c r="F105" s="49">
        <f t="shared" si="42"/>
        <v>2.157185570103056</v>
      </c>
      <c r="G105" s="49">
        <v>2.0000000000000001E-9</v>
      </c>
      <c r="H105" s="49">
        <v>2.0000000000000001E-9</v>
      </c>
      <c r="I105" s="49">
        <f>2*E105*F17*$N$2*G105</f>
        <v>0.11696641302763326</v>
      </c>
      <c r="J105" s="59">
        <f>2*F105*H17*$N$2*H105</f>
        <v>0.23393282605526652</v>
      </c>
      <c r="K105" s="59">
        <f t="shared" si="43"/>
        <v>0.35089923908289977</v>
      </c>
    </row>
    <row r="106" spans="1:11" x14ac:dyDescent="0.25">
      <c r="A106" s="53">
        <f t="shared" si="41"/>
        <v>35</v>
      </c>
      <c r="B106" s="48">
        <v>1</v>
      </c>
      <c r="C106" s="58">
        <f>(1/($T$2*((P$11*$B106)/U$11)*($F$2-$G$2)))</f>
        <v>2.8077136071010898E-3</v>
      </c>
      <c r="D106" s="58">
        <f>(1/($T$2*((R$11*$B106)/W$11)*($F$2-$G$2)))</f>
        <v>1.4038568035505449E-3</v>
      </c>
      <c r="E106" s="49">
        <f t="shared" si="40"/>
        <v>2.1617164984535653</v>
      </c>
      <c r="F106" s="49">
        <f t="shared" si="42"/>
        <v>2.1617164984535653</v>
      </c>
      <c r="G106" s="49">
        <v>2.0000000000000001E-9</v>
      </c>
      <c r="H106" s="49">
        <v>2.0000000000000001E-9</v>
      </c>
      <c r="I106" s="49">
        <f>2*E106*F18*$N$2*G106</f>
        <v>0.13674743596296371</v>
      </c>
      <c r="J106" s="59">
        <f>2*F106*H18*$N$2*H106</f>
        <v>0.27349487192592742</v>
      </c>
      <c r="K106" s="59">
        <f t="shared" si="43"/>
        <v>0.41024230788889116</v>
      </c>
    </row>
    <row r="107" spans="1:11" x14ac:dyDescent="0.25">
      <c r="A107" s="53">
        <f t="shared" si="41"/>
        <v>40</v>
      </c>
      <c r="B107" s="48">
        <v>1</v>
      </c>
      <c r="C107" s="58">
        <f>(1/($T$2*((P$11*$B107)/U$11)*($F$2-$G$2)))</f>
        <v>2.8077136071010898E-3</v>
      </c>
      <c r="D107" s="58">
        <f>(1/($T$2*((R$11*$B107)/W$11)*($F$2-$G$2)))</f>
        <v>1.4038568035505449E-3</v>
      </c>
      <c r="E107" s="49">
        <f t="shared" si="40"/>
        <v>2.166247426804075</v>
      </c>
      <c r="F107" s="49">
        <f t="shared" si="42"/>
        <v>2.166247426804075</v>
      </c>
      <c r="G107" s="49">
        <v>2.0000000000000001E-9</v>
      </c>
      <c r="H107" s="49">
        <v>2.0000000000000001E-9</v>
      </c>
      <c r="I107" s="49">
        <f>2*E107*F19*$N$2*G107</f>
        <v>0.15661035054516798</v>
      </c>
      <c r="J107" s="59">
        <f>2*F107*H19*$N$2*H107</f>
        <v>0.31322070109033595</v>
      </c>
      <c r="K107" s="59">
        <f t="shared" si="43"/>
        <v>0.46983105163550393</v>
      </c>
    </row>
    <row r="108" spans="1:11" x14ac:dyDescent="0.25">
      <c r="A108" s="53">
        <f t="shared" si="41"/>
        <v>45</v>
      </c>
      <c r="B108" s="54">
        <v>1</v>
      </c>
      <c r="C108" s="49">
        <f>(1/($T$2*((P$11*$B108)/U$11)*($F$2-$G$2)))</f>
        <v>2.8077136071010898E-3</v>
      </c>
      <c r="D108" s="49">
        <f>(1/($T$2*((R$11*$B108)/W$11)*($F$2-$G$2)))</f>
        <v>1.4038568035505449E-3</v>
      </c>
      <c r="E108" s="49">
        <f t="shared" si="40"/>
        <v>2.1707783551545843</v>
      </c>
      <c r="F108" s="49">
        <f t="shared" si="42"/>
        <v>2.1707783551545843</v>
      </c>
      <c r="G108" s="49">
        <v>2.0000000000000001E-9</v>
      </c>
      <c r="H108" s="49">
        <v>2.0000000000000001E-9</v>
      </c>
      <c r="I108" s="49">
        <f>2*E108*F20*$N$2*G108</f>
        <v>0.17655515677424596</v>
      </c>
      <c r="J108" s="59">
        <f>2*F108*H20*$N$2*H108</f>
        <v>0.35311031354849193</v>
      </c>
      <c r="K108" s="59">
        <f t="shared" si="43"/>
        <v>0.52966547032273792</v>
      </c>
    </row>
    <row r="109" spans="1:11" x14ac:dyDescent="0.25">
      <c r="A109" s="53">
        <f t="shared" si="41"/>
        <v>50</v>
      </c>
      <c r="B109" s="48">
        <v>1</v>
      </c>
      <c r="C109" s="49">
        <f>(1/($T$2*((P$11*$B109)/U$11)*($F$2-$G$2)))</f>
        <v>2.8077136071010898E-3</v>
      </c>
      <c r="D109" s="49">
        <f>(1/($T$2*((R$11*$B109)/W$11)*($F$2-$G$2)))</f>
        <v>1.4038568035505449E-3</v>
      </c>
      <c r="E109" s="49">
        <f t="shared" si="40"/>
        <v>2.1753092835050936</v>
      </c>
      <c r="F109" s="49">
        <f t="shared" si="42"/>
        <v>2.1753092835050936</v>
      </c>
      <c r="G109" s="49">
        <v>2.0000000000000001E-9</v>
      </c>
      <c r="H109" s="49">
        <v>2.0000000000000001E-9</v>
      </c>
      <c r="I109" s="49">
        <f>2*E109*F21*$N$2*G109</f>
        <v>0.19658185465019778</v>
      </c>
      <c r="J109" s="59">
        <f>2*F109*H21*$N$2*H109</f>
        <v>0.39316370930039557</v>
      </c>
      <c r="K109" s="59">
        <f t="shared" si="43"/>
        <v>0.5897455639505933</v>
      </c>
    </row>
    <row r="110" spans="1:11" x14ac:dyDescent="0.25">
      <c r="A110" s="53">
        <f t="shared" si="41"/>
        <v>125</v>
      </c>
      <c r="B110" s="48">
        <v>1</v>
      </c>
      <c r="C110" s="49">
        <f>(1/($T$2*((P$11*$B110)/U$11)*($F$2-$G$2)))</f>
        <v>2.8077136071010898E-3</v>
      </c>
      <c r="D110" s="49">
        <f>(1/($T$2*((R$11*$B110)/W$11)*($F$2-$G$2)))</f>
        <v>1.4038568035505449E-3</v>
      </c>
      <c r="E110" s="49">
        <f>ABS($G$2+(F22*C110))</f>
        <v>2.2432732087627341</v>
      </c>
      <c r="F110" s="49">
        <f>ABS($G$2+H22*D110)</f>
        <v>2.2432732087627341</v>
      </c>
      <c r="G110" s="49">
        <v>2.0000000000000001E-9</v>
      </c>
      <c r="H110" s="49">
        <v>2.0000000000000001E-9</v>
      </c>
      <c r="I110" s="49">
        <f>2*E110*F22*$N$2*G110</f>
        <v>0.50680932041432847</v>
      </c>
      <c r="J110" s="59">
        <f>2*F110*H22*$N$2*H110</f>
        <v>1.0136186408286569</v>
      </c>
      <c r="K110" s="59">
        <f>SUM(I110:J110)</f>
        <v>1.5204279612429854</v>
      </c>
    </row>
    <row r="112" spans="1:11" ht="14.4" thickBot="1" x14ac:dyDescent="0.3"/>
    <row r="113" spans="1:12" ht="42" thickBot="1" x14ac:dyDescent="0.3">
      <c r="B113" s="65" t="s">
        <v>93</v>
      </c>
      <c r="C113" s="60" t="s">
        <v>179</v>
      </c>
      <c r="D113" s="60" t="s">
        <v>180</v>
      </c>
      <c r="E113" s="60" t="s">
        <v>175</v>
      </c>
      <c r="F113" s="60" t="s">
        <v>178</v>
      </c>
      <c r="G113" s="60" t="s">
        <v>182</v>
      </c>
      <c r="H113" s="60" t="s">
        <v>183</v>
      </c>
      <c r="I113" s="55" t="s">
        <v>155</v>
      </c>
      <c r="J113" s="60" t="s">
        <v>181</v>
      </c>
    </row>
    <row r="114" spans="1:12" x14ac:dyDescent="0.25">
      <c r="A114" s="48">
        <f t="shared" ref="A114:A124" si="44">A86</f>
        <v>5</v>
      </c>
      <c r="B114" s="48">
        <f t="shared" ref="B114:B122" si="45">B42</f>
        <v>1</v>
      </c>
      <c r="C114" s="49">
        <f t="shared" ref="C114:C123" si="46">M42</f>
        <v>3.7646321949396558E-2</v>
      </c>
      <c r="D114" s="49">
        <f>SUM(M56,M70,M86)</f>
        <v>0.72548825603176714</v>
      </c>
      <c r="E114" s="49">
        <f>J27</f>
        <v>4.1666666666666671E-2</v>
      </c>
      <c r="F114" s="50">
        <f>(A114*1)/(A114*1+SUM(M42,M56,M70,M86))*100</f>
        <v>86.758341877060758</v>
      </c>
      <c r="G114" s="50">
        <f t="shared" ref="G114:G123" si="47">(SUM($N$11*$S$11+$O$11*$T$11+$P$11*$U$11+$Q$11*$V$11+$R$11*$W$11)*B114)/0.000001</f>
        <v>17.600305844704639</v>
      </c>
      <c r="H114" s="50">
        <f>5*SUM(D27:E27)</f>
        <v>30</v>
      </c>
      <c r="I114" s="50">
        <f t="shared" ref="I114:I123" si="48">SUM(C114:E114)</f>
        <v>0.80480124464783032</v>
      </c>
      <c r="J114" s="59">
        <f t="shared" ref="J114:J123" si="49">((A114*1)/(A114*1+I114))*100</f>
        <v>86.135593438451025</v>
      </c>
      <c r="K114" s="72"/>
      <c r="L114" s="59"/>
    </row>
    <row r="115" spans="1:12" x14ac:dyDescent="0.25">
      <c r="A115" s="48">
        <f t="shared" si="44"/>
        <v>10</v>
      </c>
      <c r="B115" s="48">
        <f t="shared" si="45"/>
        <v>1</v>
      </c>
      <c r="C115" s="49">
        <f t="shared" si="46"/>
        <v>0.15058528779758623</v>
      </c>
      <c r="D115" s="49">
        <f t="shared" ref="D115:D124" si="50">SUM(M57,M71,M87)</f>
        <v>0.77940570420755384</v>
      </c>
      <c r="E115" s="49">
        <f t="shared" ref="E115:E123" si="51">J28</f>
        <v>0.16666666666666669</v>
      </c>
      <c r="F115" s="50">
        <f t="shared" ref="F115:F123" si="52">(A115*1)/(A115*1+SUM(M43,M57,M71,M87))*100</f>
        <v>91.491383728628946</v>
      </c>
      <c r="G115" s="50">
        <f t="shared" si="47"/>
        <v>17.600305844704639</v>
      </c>
      <c r="H115" s="50">
        <f t="shared" ref="H115:H123" si="53">5*SUM(D28:E28)</f>
        <v>30</v>
      </c>
      <c r="I115" s="50">
        <f t="shared" si="48"/>
        <v>1.0966576586718069</v>
      </c>
      <c r="J115" s="59">
        <f t="shared" si="49"/>
        <v>90.117225452884071</v>
      </c>
      <c r="K115" s="59"/>
      <c r="L115" s="59"/>
    </row>
    <row r="116" spans="1:12" x14ac:dyDescent="0.25">
      <c r="A116" s="48">
        <f t="shared" si="44"/>
        <v>15</v>
      </c>
      <c r="B116" s="48">
        <f t="shared" si="45"/>
        <v>1</v>
      </c>
      <c r="C116" s="49">
        <f t="shared" si="46"/>
        <v>0.33881689754456895</v>
      </c>
      <c r="D116" s="49">
        <f t="shared" si="50"/>
        <v>0.83332315238334054</v>
      </c>
      <c r="E116" s="49">
        <f t="shared" si="51"/>
        <v>0.375</v>
      </c>
      <c r="F116" s="50">
        <f t="shared" si="52"/>
        <v>92.752103022177721</v>
      </c>
      <c r="G116" s="50">
        <f t="shared" si="47"/>
        <v>17.600305844704639</v>
      </c>
      <c r="H116" s="50">
        <f t="shared" si="53"/>
        <v>30</v>
      </c>
      <c r="I116" s="50">
        <f t="shared" si="48"/>
        <v>1.5471400499279095</v>
      </c>
      <c r="J116" s="59">
        <f t="shared" si="49"/>
        <v>90.650106028838181</v>
      </c>
      <c r="K116" s="59"/>
      <c r="L116" s="59"/>
    </row>
    <row r="117" spans="1:12" x14ac:dyDescent="0.25">
      <c r="A117" s="48">
        <f t="shared" si="44"/>
        <v>20</v>
      </c>
      <c r="B117" s="48">
        <f t="shared" si="45"/>
        <v>1</v>
      </c>
      <c r="C117" s="49">
        <f t="shared" si="46"/>
        <v>0.60234115119034493</v>
      </c>
      <c r="D117" s="49">
        <f t="shared" si="50"/>
        <v>0.88724060055912735</v>
      </c>
      <c r="E117" s="49">
        <f t="shared" si="51"/>
        <v>0.66666666666666674</v>
      </c>
      <c r="F117" s="50">
        <f t="shared" si="52"/>
        <v>93.068353916994198</v>
      </c>
      <c r="G117" s="50">
        <f t="shared" si="47"/>
        <v>17.600305844704639</v>
      </c>
      <c r="H117" s="50">
        <f t="shared" si="53"/>
        <v>30</v>
      </c>
      <c r="I117" s="50">
        <f t="shared" si="48"/>
        <v>2.1562484184161388</v>
      </c>
      <c r="J117" s="59">
        <f t="shared" si="49"/>
        <v>90.267989518370456</v>
      </c>
      <c r="K117" s="59"/>
      <c r="L117" s="59"/>
    </row>
    <row r="118" spans="1:12" x14ac:dyDescent="0.25">
      <c r="A118" s="48">
        <f t="shared" si="44"/>
        <v>25</v>
      </c>
      <c r="B118" s="48">
        <f t="shared" si="45"/>
        <v>1</v>
      </c>
      <c r="C118" s="49">
        <f t="shared" si="46"/>
        <v>0.94115804873491404</v>
      </c>
      <c r="D118" s="49">
        <f t="shared" si="50"/>
        <v>0.94115804873491404</v>
      </c>
      <c r="E118" s="49">
        <f t="shared" si="51"/>
        <v>1.0416666666666667</v>
      </c>
      <c r="F118" s="50">
        <f t="shared" si="52"/>
        <v>92.997939274856634</v>
      </c>
      <c r="G118" s="50">
        <f t="shared" si="47"/>
        <v>17.600305844704639</v>
      </c>
      <c r="H118" s="50">
        <f t="shared" si="53"/>
        <v>30</v>
      </c>
      <c r="I118" s="50">
        <f t="shared" si="48"/>
        <v>2.923982764136495</v>
      </c>
      <c r="J118" s="59">
        <f t="shared" si="49"/>
        <v>89.528776074551061</v>
      </c>
      <c r="K118" s="59"/>
      <c r="L118" s="59"/>
    </row>
    <row r="119" spans="1:12" x14ac:dyDescent="0.25">
      <c r="A119" s="48">
        <f t="shared" si="44"/>
        <v>30</v>
      </c>
      <c r="B119" s="48">
        <f t="shared" si="45"/>
        <v>1</v>
      </c>
      <c r="C119" s="49">
        <f t="shared" si="46"/>
        <v>1.3552675901782758</v>
      </c>
      <c r="D119" s="49">
        <f t="shared" si="50"/>
        <v>0.99507549691070074</v>
      </c>
      <c r="E119" s="49">
        <f t="shared" si="51"/>
        <v>1.5</v>
      </c>
      <c r="F119" s="50">
        <f t="shared" si="52"/>
        <v>92.734719750075868</v>
      </c>
      <c r="G119" s="50">
        <f t="shared" si="47"/>
        <v>17.600305844704639</v>
      </c>
      <c r="H119" s="50">
        <f t="shared" si="53"/>
        <v>30</v>
      </c>
      <c r="I119" s="50">
        <f t="shared" si="48"/>
        <v>3.8503430870889765</v>
      </c>
      <c r="J119" s="59">
        <f t="shared" si="49"/>
        <v>88.625394202998336</v>
      </c>
      <c r="K119" s="59"/>
      <c r="L119" s="59"/>
    </row>
    <row r="120" spans="1:12" x14ac:dyDescent="0.25">
      <c r="A120" s="48">
        <f t="shared" si="44"/>
        <v>35</v>
      </c>
      <c r="B120" s="48">
        <f t="shared" si="45"/>
        <v>1</v>
      </c>
      <c r="C120" s="49">
        <f t="shared" si="46"/>
        <v>1.8446697755204309</v>
      </c>
      <c r="D120" s="49">
        <f t="shared" si="50"/>
        <v>1.0489929450864874</v>
      </c>
      <c r="E120" s="49">
        <f t="shared" si="51"/>
        <v>2.0416666666666665</v>
      </c>
      <c r="F120" s="50">
        <f t="shared" si="52"/>
        <v>92.363729149271919</v>
      </c>
      <c r="G120" s="50">
        <f t="shared" si="47"/>
        <v>17.600305844704639</v>
      </c>
      <c r="H120" s="50">
        <f t="shared" si="53"/>
        <v>30</v>
      </c>
      <c r="I120" s="50">
        <f t="shared" si="48"/>
        <v>4.9353293872735851</v>
      </c>
      <c r="J120" s="59">
        <f t="shared" si="49"/>
        <v>87.641696054605845</v>
      </c>
      <c r="K120" s="59"/>
      <c r="L120" s="59"/>
    </row>
    <row r="121" spans="1:12" x14ac:dyDescent="0.25">
      <c r="A121" s="48">
        <f t="shared" si="44"/>
        <v>40</v>
      </c>
      <c r="B121" s="48">
        <f t="shared" si="45"/>
        <v>1</v>
      </c>
      <c r="C121" s="49">
        <f t="shared" si="46"/>
        <v>2.4093646047613797</v>
      </c>
      <c r="D121" s="49">
        <f t="shared" si="50"/>
        <v>1.1029103932622741</v>
      </c>
      <c r="E121" s="49">
        <f t="shared" si="51"/>
        <v>2.666666666666667</v>
      </c>
      <c r="F121" s="50">
        <f t="shared" si="52"/>
        <v>91.928082367140789</v>
      </c>
      <c r="G121" s="50">
        <f t="shared" si="47"/>
        <v>17.600305844704639</v>
      </c>
      <c r="H121" s="50">
        <f t="shared" si="53"/>
        <v>30</v>
      </c>
      <c r="I121" s="50">
        <f t="shared" si="48"/>
        <v>6.1789416646903206</v>
      </c>
      <c r="J121" s="59">
        <f t="shared" si="49"/>
        <v>86.619568483062679</v>
      </c>
      <c r="K121" s="59"/>
      <c r="L121" s="59"/>
    </row>
    <row r="122" spans="1:12" x14ac:dyDescent="0.25">
      <c r="A122" s="48">
        <f t="shared" si="44"/>
        <v>45</v>
      </c>
      <c r="B122" s="48">
        <f t="shared" si="45"/>
        <v>1</v>
      </c>
      <c r="C122" s="49">
        <f t="shared" si="46"/>
        <v>3.0493520779011209</v>
      </c>
      <c r="D122" s="49">
        <f t="shared" si="50"/>
        <v>1.1568278414380608</v>
      </c>
      <c r="E122" s="49">
        <f t="shared" si="51"/>
        <v>3.375</v>
      </c>
      <c r="F122" s="50">
        <f t="shared" si="52"/>
        <v>91.451927529765314</v>
      </c>
      <c r="G122" s="50">
        <f t="shared" si="47"/>
        <v>17.600305844704639</v>
      </c>
      <c r="H122" s="50">
        <f t="shared" si="53"/>
        <v>30</v>
      </c>
      <c r="I122" s="50">
        <f t="shared" si="48"/>
        <v>7.5811799193391813</v>
      </c>
      <c r="J122" s="59">
        <f t="shared" si="49"/>
        <v>85.5819516964646</v>
      </c>
      <c r="K122" s="59"/>
      <c r="L122" s="59"/>
    </row>
    <row r="123" spans="1:12" x14ac:dyDescent="0.25">
      <c r="A123" s="48">
        <f t="shared" si="44"/>
        <v>50</v>
      </c>
      <c r="B123" s="48">
        <v>1</v>
      </c>
      <c r="C123" s="49">
        <f t="shared" si="46"/>
        <v>3.7646321949396562</v>
      </c>
      <c r="D123" s="49">
        <f t="shared" si="50"/>
        <v>1.2107452896138475</v>
      </c>
      <c r="E123" s="49">
        <f t="shared" si="51"/>
        <v>4.166666666666667</v>
      </c>
      <c r="F123" s="50">
        <f t="shared" si="52"/>
        <v>90.949807509823017</v>
      </c>
      <c r="G123" s="50">
        <f t="shared" si="47"/>
        <v>17.600305844704639</v>
      </c>
      <c r="H123" s="50">
        <f t="shared" si="53"/>
        <v>30</v>
      </c>
      <c r="I123" s="50">
        <f t="shared" si="48"/>
        <v>9.1420441512201709</v>
      </c>
      <c r="J123" s="59">
        <f t="shared" si="49"/>
        <v>84.542224939258276</v>
      </c>
      <c r="K123" s="59"/>
      <c r="L123" s="59"/>
    </row>
    <row r="124" spans="1:12" x14ac:dyDescent="0.25">
      <c r="A124" s="48">
        <f t="shared" si="44"/>
        <v>125</v>
      </c>
      <c r="B124" s="48">
        <v>1</v>
      </c>
      <c r="C124" s="49">
        <f>M52</f>
        <v>23.528951218372843</v>
      </c>
      <c r="D124" s="49">
        <f t="shared" si="50"/>
        <v>2.0195070122506484</v>
      </c>
      <c r="E124" s="49">
        <f>J37</f>
        <v>26.041666666666664</v>
      </c>
      <c r="F124" s="50">
        <f>(A124*1)/(A124*1+SUM(M52,M66,M80,M96))*100</f>
        <v>83.029744355477831</v>
      </c>
      <c r="G124" s="50">
        <f>(SUM($N$11*$S$11+$O$11*$T$11+$P$11*$U$11+$Q$11*$V$11+$R$11*$W$11)*B124)/0.000001</f>
        <v>17.600305844704639</v>
      </c>
      <c r="H124" s="50">
        <f>5*SUM(D37:E37)</f>
        <v>30</v>
      </c>
      <c r="I124" s="50">
        <f>SUM(C124:E124)</f>
        <v>51.590124897290153</v>
      </c>
      <c r="J124" s="59">
        <f>((A124*1)/(A124*1+I124))*100</f>
        <v>70.785385124283465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B36C-1668-4828-AA57-10859A644DD1}">
  <dimension ref="A1:AJ124"/>
  <sheetViews>
    <sheetView zoomScale="90" workbookViewId="0">
      <selection activeCell="P3" sqref="P3"/>
    </sheetView>
  </sheetViews>
  <sheetFormatPr defaultRowHeight="13.8" x14ac:dyDescent="0.25"/>
  <cols>
    <col min="1" max="1" width="13.21875" style="53" customWidth="1"/>
    <col min="2" max="2" width="13" style="53" customWidth="1"/>
    <col min="3" max="3" width="12.109375" style="53" customWidth="1"/>
    <col min="4" max="4" width="10.5546875" style="53" customWidth="1"/>
    <col min="5" max="5" width="10.77734375" style="53" customWidth="1"/>
    <col min="6" max="6" width="9.33203125" style="53" customWidth="1"/>
    <col min="7" max="11" width="10.77734375" style="53" customWidth="1"/>
    <col min="12" max="12" width="10.6640625" style="53" customWidth="1"/>
    <col min="13" max="13" width="10.88671875" style="53" customWidth="1"/>
    <col min="14" max="14" width="12.6640625" style="53" bestFit="1" customWidth="1"/>
    <col min="15" max="15" width="14.6640625" style="53" bestFit="1" customWidth="1"/>
    <col min="16" max="16" width="10.21875" style="53" customWidth="1"/>
    <col min="17" max="17" width="13.44140625" style="53" bestFit="1" customWidth="1"/>
    <col min="18" max="19" width="12.6640625" style="53" customWidth="1"/>
    <col min="20" max="20" width="12.5546875" style="53" bestFit="1" customWidth="1"/>
    <col min="21" max="21" width="12.6640625" style="53" bestFit="1" customWidth="1"/>
    <col min="22" max="22" width="11.21875" style="53" customWidth="1"/>
    <col min="23" max="23" width="9.6640625" style="53" bestFit="1" customWidth="1"/>
    <col min="24" max="24" width="11.88671875" style="53" bestFit="1" customWidth="1"/>
    <col min="25" max="25" width="10.33203125" style="53" customWidth="1"/>
    <col min="26" max="26" width="9.77734375" style="53" customWidth="1"/>
    <col min="27" max="27" width="9.6640625" style="53" bestFit="1" customWidth="1"/>
    <col min="28" max="28" width="10.21875" style="53" customWidth="1"/>
    <col min="29" max="29" width="9.33203125" style="53" bestFit="1" customWidth="1"/>
    <col min="30" max="30" width="39.5546875" style="53" customWidth="1"/>
    <col min="31" max="31" width="9.33203125" style="53" bestFit="1" customWidth="1"/>
    <col min="32" max="32" width="9.6640625" style="53" bestFit="1" customWidth="1"/>
    <col min="33" max="34" width="9.33203125" style="53" bestFit="1" customWidth="1"/>
    <col min="35" max="35" width="9.6640625" style="53" bestFit="1" customWidth="1"/>
    <col min="36" max="36" width="10.44140625" style="53" bestFit="1" customWidth="1"/>
    <col min="37" max="38" width="9.6640625" style="53" bestFit="1" customWidth="1"/>
    <col min="39" max="39" width="10.109375" style="53" customWidth="1"/>
    <col min="40" max="41" width="9.44140625" style="53" bestFit="1" customWidth="1"/>
    <col min="42" max="42" width="12.109375" style="53" bestFit="1" customWidth="1"/>
    <col min="43" max="43" width="9.44140625" style="53" bestFit="1" customWidth="1"/>
    <col min="44" max="44" width="12.44140625" style="53" bestFit="1" customWidth="1"/>
    <col min="45" max="45" width="10.77734375" style="53" customWidth="1"/>
    <col min="46" max="16384" width="8.88671875" style="53"/>
  </cols>
  <sheetData>
    <row r="1" spans="1:36" s="57" customFormat="1" ht="61.2" customHeight="1" thickBot="1" x14ac:dyDescent="0.35">
      <c r="A1" s="60" t="str">
        <f>Sheet1!A1</f>
        <v>Output Current (A)</v>
      </c>
      <c r="B1" s="60" t="str">
        <f>Sheet1!B1</f>
        <v>Technology</v>
      </c>
      <c r="C1" s="60" t="str">
        <f>Sheet1!C1</f>
        <v>Cgs0</v>
      </c>
      <c r="D1" s="60" t="str">
        <f>Sheet1!D1</f>
        <v>Coss0</v>
      </c>
      <c r="E1" s="60" t="str">
        <f>Sheet1!E1</f>
        <v>u</v>
      </c>
      <c r="F1" s="60" t="str">
        <f>Sheet1!F1</f>
        <v>Vg</v>
      </c>
      <c r="G1" s="60" t="str">
        <f>Sheet1!G1</f>
        <v>Vth</v>
      </c>
      <c r="H1" s="60" t="str">
        <f>Sheet1!H1</f>
        <v>Vpl</v>
      </c>
      <c r="I1" s="60" t="str">
        <f>Sheet1!I1</f>
        <v>Rg</v>
      </c>
      <c r="J1" s="60" t="str">
        <f>Sheet1!J1</f>
        <v>Rdr</v>
      </c>
      <c r="K1" s="60" t="s">
        <v>176</v>
      </c>
      <c r="L1" s="75" t="s">
        <v>177</v>
      </c>
      <c r="M1" s="60" t="str">
        <f>Sheet1!K1</f>
        <v>Fsw</v>
      </c>
      <c r="N1" s="60" t="str">
        <f>Sheet1!L1</f>
        <v>Vin</v>
      </c>
      <c r="O1" s="60" t="str">
        <f>Sheet1!M1</f>
        <v>Vout</v>
      </c>
      <c r="P1" s="60" t="str">
        <f>Sheet1!N1</f>
        <v>D</v>
      </c>
      <c r="Q1" s="60" t="str">
        <f>Sheet1!O1</f>
        <v>Tox</v>
      </c>
      <c r="R1" s="60" t="str">
        <f>Sheet1!P1</f>
        <v>Cox</v>
      </c>
      <c r="S1" s="60" t="str">
        <f>Sheet1!Q1</f>
        <v>Kp</v>
      </c>
      <c r="T1" s="60" t="s">
        <v>48</v>
      </c>
      <c r="U1" s="60" t="s">
        <v>166</v>
      </c>
      <c r="V1" s="60" t="s">
        <v>167</v>
      </c>
      <c r="AD1" s="63"/>
      <c r="AJ1" s="64"/>
    </row>
    <row r="2" spans="1:36" ht="27.6" x14ac:dyDescent="0.25">
      <c r="A2" s="48">
        <v>50</v>
      </c>
      <c r="B2" s="57" t="str">
        <f>Sheet1!B2</f>
        <v>130nm-12V_LDMOS</v>
      </c>
      <c r="C2" s="49">
        <f>Sheet1!C2</f>
        <v>2.1349999999999999E-4</v>
      </c>
      <c r="D2" s="49">
        <f>Sheet1!D2</f>
        <v>1.5000000000000001E-4</v>
      </c>
      <c r="E2" s="49"/>
      <c r="F2" s="48">
        <v>5</v>
      </c>
      <c r="G2" s="48">
        <f>Sheet1!G2</f>
        <v>2.13</v>
      </c>
      <c r="H2" s="48">
        <f>Sheet1!H2</f>
        <v>2.5</v>
      </c>
      <c r="I2" s="48">
        <f>Sheet1!I2</f>
        <v>0.4</v>
      </c>
      <c r="J2" s="48">
        <f>Sheet1!J2</f>
        <v>0.7</v>
      </c>
      <c r="K2" s="63">
        <v>2.4999999999999999E-7</v>
      </c>
      <c r="L2" s="49">
        <v>2.4999999999999999E-7</v>
      </c>
      <c r="M2" s="49">
        <f>(((N2/3)-2*O2)*P2)/(0.1*A2*K2)</f>
        <v>700000.00000000012</v>
      </c>
      <c r="N2" s="48">
        <v>48</v>
      </c>
      <c r="O2" s="48">
        <f>Sheet1!M2</f>
        <v>1</v>
      </c>
      <c r="P2" s="48">
        <f>(O2/N2)*3</f>
        <v>6.25E-2</v>
      </c>
      <c r="Q2" s="48"/>
      <c r="R2" s="49"/>
      <c r="S2" s="49">
        <f>Sheet1!Q2</f>
        <v>67.400000000000006</v>
      </c>
      <c r="T2" s="50">
        <f>(F2-0.5*(G2+H2))/(I2+J2)</f>
        <v>2.4409090909090909</v>
      </c>
      <c r="U2" s="49">
        <v>2.0000000000000001E-9</v>
      </c>
      <c r="V2" s="49">
        <v>2.0000000000000001E-9</v>
      </c>
    </row>
    <row r="3" spans="1:36" x14ac:dyDescent="0.25">
      <c r="A3" s="48"/>
      <c r="B3" s="48"/>
      <c r="C3" s="49"/>
      <c r="D3" s="49"/>
      <c r="E3" s="49"/>
      <c r="F3" s="48"/>
      <c r="G3" s="50"/>
      <c r="H3" s="50"/>
      <c r="I3" s="50"/>
      <c r="J3" s="50"/>
      <c r="K3" s="49"/>
      <c r="L3" s="48"/>
      <c r="M3" s="48"/>
      <c r="N3" s="52"/>
      <c r="O3" s="50"/>
    </row>
    <row r="4" spans="1:36" x14ac:dyDescent="0.25">
      <c r="A4" s="54"/>
    </row>
    <row r="5" spans="1:36" x14ac:dyDescent="0.25">
      <c r="A5" s="54"/>
    </row>
    <row r="6" spans="1:36" x14ac:dyDescent="0.25">
      <c r="A6" s="54"/>
    </row>
    <row r="7" spans="1:36" x14ac:dyDescent="0.25">
      <c r="A7" s="54"/>
    </row>
    <row r="8" spans="1:36" x14ac:dyDescent="0.25">
      <c r="A8" s="54"/>
    </row>
    <row r="9" spans="1:36" ht="14.4" thickBot="1" x14ac:dyDescent="0.3">
      <c r="AD9" s="77" t="s">
        <v>109</v>
      </c>
      <c r="AE9" s="78" t="s">
        <v>157</v>
      </c>
      <c r="AF9" s="78" t="s">
        <v>158</v>
      </c>
    </row>
    <row r="10" spans="1:36" ht="28.2" thickBot="1" x14ac:dyDescent="0.3">
      <c r="A10" s="55" t="s">
        <v>17</v>
      </c>
      <c r="B10" s="62" t="s">
        <v>53</v>
      </c>
      <c r="C10" s="62" t="s">
        <v>54</v>
      </c>
      <c r="D10" s="60" t="s">
        <v>55</v>
      </c>
      <c r="E10" s="60" t="s">
        <v>56</v>
      </c>
      <c r="F10" s="60" t="s">
        <v>57</v>
      </c>
      <c r="G10" s="60" t="s">
        <v>58</v>
      </c>
      <c r="H10" s="60" t="s">
        <v>59</v>
      </c>
      <c r="I10" s="60" t="s">
        <v>60</v>
      </c>
      <c r="J10" s="60" t="s">
        <v>61</v>
      </c>
      <c r="K10" s="60" t="s">
        <v>62</v>
      </c>
      <c r="L10" s="60" t="s">
        <v>63</v>
      </c>
      <c r="M10" s="71" t="s">
        <v>64</v>
      </c>
      <c r="N10" s="71" t="s">
        <v>69</v>
      </c>
      <c r="O10" s="74" t="s">
        <v>70</v>
      </c>
      <c r="P10" s="74" t="s">
        <v>71</v>
      </c>
      <c r="Q10" s="74" t="s">
        <v>72</v>
      </c>
      <c r="R10" s="75" t="s">
        <v>73</v>
      </c>
      <c r="S10" s="74" t="s">
        <v>74</v>
      </c>
      <c r="T10" s="74" t="s">
        <v>75</v>
      </c>
      <c r="U10" s="74" t="s">
        <v>77</v>
      </c>
      <c r="V10" s="74" t="s">
        <v>76</v>
      </c>
      <c r="W10" s="74" t="s">
        <v>78</v>
      </c>
      <c r="X10" s="71" t="s">
        <v>148</v>
      </c>
      <c r="Y10" s="74" t="s">
        <v>149</v>
      </c>
      <c r="Z10" s="74" t="s">
        <v>150</v>
      </c>
      <c r="AA10" s="74" t="s">
        <v>151</v>
      </c>
      <c r="AB10" s="75" t="s">
        <v>152</v>
      </c>
      <c r="AD10" s="78" t="s">
        <v>67</v>
      </c>
      <c r="AE10" s="79"/>
      <c r="AF10" s="79"/>
    </row>
    <row r="11" spans="1:36" x14ac:dyDescent="0.25">
      <c r="A11" s="48">
        <f>A2</f>
        <v>50</v>
      </c>
      <c r="B11" s="50">
        <f>A11/3</f>
        <v>16.666666666666668</v>
      </c>
      <c r="C11" s="50">
        <f>(2*A11)/3</f>
        <v>33.333333333333336</v>
      </c>
      <c r="D11" s="50">
        <f t="shared" ref="D11:D22" si="0">SQRT($P$2)*(C11/2)</f>
        <v>4.166666666666667</v>
      </c>
      <c r="E11" s="50">
        <f t="shared" ref="E11:E22" si="1">SQRT($P$2)*(B11)</f>
        <v>4.166666666666667</v>
      </c>
      <c r="F11" s="50">
        <f t="shared" ref="F11:F22" si="2">SQRT(1-$P$2)*B11</f>
        <v>16.137430609197573</v>
      </c>
      <c r="G11" s="50">
        <f t="shared" ref="G11:G22" si="3">SQRT($P$2)*(C11/2)</f>
        <v>4.166666666666667</v>
      </c>
      <c r="H11" s="50">
        <f t="shared" ref="H11:H22" si="4">SQRT(1-$P$2)*C11</f>
        <v>32.274861218395145</v>
      </c>
      <c r="I11" s="48">
        <f t="shared" ref="I11:I22" si="5">$N$2/3</f>
        <v>16</v>
      </c>
      <c r="J11" s="48">
        <f t="shared" ref="J11:J22" si="6">(2*$N$2)/3</f>
        <v>32</v>
      </c>
      <c r="K11" s="48">
        <f t="shared" ref="K11:K22" si="7">$N$2/3</f>
        <v>16</v>
      </c>
      <c r="L11" s="48">
        <f t="shared" ref="L11:L22" si="8">(2*$N$2)/3</f>
        <v>32</v>
      </c>
      <c r="M11" s="48">
        <f t="shared" ref="M11:M22" si="9">$N$2/3</f>
        <v>16</v>
      </c>
      <c r="N11" s="49">
        <f>(D11/(I11))*SQRT(1/($M$2*($F$2-$G$2)*$S$2*((D11/$T$2)*$C$2+($D$2/(2))+(($F$2^2)/(I11^2))*$C$2)))</f>
        <v>1.0431090479774592E-3</v>
      </c>
      <c r="O11" s="49">
        <f>(E11/(J11))*SQRT(1/($M$2*($F$2-$G$2)*$S$2*((E11/$T$2)*$C$2+($D$2/(2))+(($F$2^2)/(J11^2))*$C$2)))</f>
        <v>5.3064595213330151E-4</v>
      </c>
      <c r="P11" s="49">
        <f>(F11/(K11))*SQRT((1)/($M$2*($F$2-$G$2)*$S$2*(($D$2/(2))+(($F$2^2)/(K11^2))*$C$2)))</f>
        <v>8.853180420459357E-3</v>
      </c>
      <c r="Q11" s="49">
        <f>(G11/(L11))*SQRT(1/($M$2*($F$2-$G$2)*$S$2*((G11/$T$2)*$C$2+($D$2/(2))+(($F$2^2)/(L11^2))*$C$2)))</f>
        <v>5.3064595213330151E-4</v>
      </c>
      <c r="R11" s="49">
        <f>(H11/(M11))*SQRT((1)/($M$2*($F$2-$G$2)*$S$2*(($D$2/(2))+(($F$2^2)/(M11^2))*$C$2)))</f>
        <v>1.7706360840918714E-2</v>
      </c>
      <c r="S11" s="49">
        <v>1.6999999999999999E-3</v>
      </c>
      <c r="T11" s="49">
        <v>1.6999999999999999E-3</v>
      </c>
      <c r="U11" s="49">
        <v>1.6999999999999999E-3</v>
      </c>
      <c r="V11" s="49">
        <v>1.6999999999999999E-3</v>
      </c>
      <c r="W11" s="49">
        <v>1.6999999999999999E-3</v>
      </c>
      <c r="X11" s="59">
        <f>(2*D11*S11)/($S$2*($F$2-$G$2)^2)</f>
        <v>2.5517844424463269E-5</v>
      </c>
      <c r="Y11" s="59">
        <f>(2*E11*T11)/($S$2*($F$2-$G$2)^2)</f>
        <v>2.5517844424463269E-5</v>
      </c>
      <c r="Z11" s="59">
        <f>(2*F11*U11)/($S$2*($F$2-$G$2)^2)</f>
        <v>9.8830186487058029E-5</v>
      </c>
      <c r="AA11" s="59">
        <f>(2*G11*V11)/($S$2*($F$2-$G$2)^2)</f>
        <v>2.5517844424463269E-5</v>
      </c>
      <c r="AB11" s="59">
        <f>(2*H11*W11)/($S$2*($F$2-$G$2)^2)</f>
        <v>1.9766037297411606E-4</v>
      </c>
      <c r="AD11" s="77" t="str">
        <f>D1</f>
        <v>Coss0</v>
      </c>
      <c r="AE11" s="79"/>
      <c r="AF11" s="79"/>
    </row>
    <row r="12" spans="1:36" x14ac:dyDescent="0.25">
      <c r="A12" s="48">
        <v>5</v>
      </c>
      <c r="B12" s="50">
        <f t="shared" ref="B12:B22" si="10">A12/3</f>
        <v>1.6666666666666667</v>
      </c>
      <c r="C12" s="50">
        <f t="shared" ref="C12:C22" si="11">(2*A12)/3</f>
        <v>3.3333333333333335</v>
      </c>
      <c r="D12" s="50">
        <f t="shared" si="0"/>
        <v>0.41666666666666669</v>
      </c>
      <c r="E12" s="50">
        <f t="shared" si="1"/>
        <v>0.41666666666666669</v>
      </c>
      <c r="F12" s="50">
        <f t="shared" si="2"/>
        <v>1.6137430609197572</v>
      </c>
      <c r="G12" s="50">
        <f t="shared" si="3"/>
        <v>0.41666666666666669</v>
      </c>
      <c r="H12" s="50">
        <f t="shared" si="4"/>
        <v>3.2274861218395143</v>
      </c>
      <c r="I12" s="48">
        <f t="shared" si="5"/>
        <v>16</v>
      </c>
      <c r="J12" s="48">
        <f t="shared" si="6"/>
        <v>32</v>
      </c>
      <c r="K12" s="48">
        <f t="shared" si="7"/>
        <v>16</v>
      </c>
      <c r="L12" s="48">
        <f t="shared" si="8"/>
        <v>32</v>
      </c>
      <c r="M12" s="48">
        <f t="shared" si="9"/>
        <v>16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AD12" s="78"/>
      <c r="AE12" s="79"/>
      <c r="AF12" s="79"/>
    </row>
    <row r="13" spans="1:36" x14ac:dyDescent="0.25">
      <c r="A13" s="48">
        <v>10</v>
      </c>
      <c r="B13" s="50">
        <f t="shared" si="10"/>
        <v>3.3333333333333335</v>
      </c>
      <c r="C13" s="50">
        <f t="shared" si="11"/>
        <v>6.666666666666667</v>
      </c>
      <c r="D13" s="50">
        <f t="shared" si="0"/>
        <v>0.83333333333333337</v>
      </c>
      <c r="E13" s="50">
        <f t="shared" si="1"/>
        <v>0.83333333333333337</v>
      </c>
      <c r="F13" s="50">
        <f t="shared" si="2"/>
        <v>3.2274861218395143</v>
      </c>
      <c r="G13" s="50">
        <f t="shared" si="3"/>
        <v>0.83333333333333337</v>
      </c>
      <c r="H13" s="50">
        <f t="shared" si="4"/>
        <v>6.4549722436790287</v>
      </c>
      <c r="I13" s="48">
        <f t="shared" si="5"/>
        <v>16</v>
      </c>
      <c r="J13" s="48">
        <f t="shared" si="6"/>
        <v>32</v>
      </c>
      <c r="K13" s="48">
        <f t="shared" si="7"/>
        <v>16</v>
      </c>
      <c r="L13" s="48">
        <f t="shared" si="8"/>
        <v>32</v>
      </c>
      <c r="M13" s="48">
        <f t="shared" si="9"/>
        <v>16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AD13" s="78"/>
      <c r="AE13" s="79"/>
      <c r="AF13" s="79"/>
    </row>
    <row r="14" spans="1:36" x14ac:dyDescent="0.25">
      <c r="A14" s="48">
        <v>15</v>
      </c>
      <c r="B14" s="50">
        <f t="shared" si="10"/>
        <v>5</v>
      </c>
      <c r="C14" s="50">
        <f t="shared" si="11"/>
        <v>10</v>
      </c>
      <c r="D14" s="50">
        <f t="shared" si="0"/>
        <v>1.25</v>
      </c>
      <c r="E14" s="50">
        <f t="shared" si="1"/>
        <v>1.25</v>
      </c>
      <c r="F14" s="50">
        <f t="shared" si="2"/>
        <v>4.8412291827592711</v>
      </c>
      <c r="G14" s="50">
        <f t="shared" si="3"/>
        <v>1.25</v>
      </c>
      <c r="H14" s="50">
        <f t="shared" si="4"/>
        <v>9.6824583655185421</v>
      </c>
      <c r="I14" s="48">
        <f t="shared" si="5"/>
        <v>16</v>
      </c>
      <c r="J14" s="48">
        <f t="shared" si="6"/>
        <v>32</v>
      </c>
      <c r="K14" s="48">
        <f t="shared" si="7"/>
        <v>16</v>
      </c>
      <c r="L14" s="48">
        <f t="shared" si="8"/>
        <v>32</v>
      </c>
      <c r="M14" s="48">
        <f t="shared" si="9"/>
        <v>16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AD14" s="78"/>
      <c r="AE14" s="79"/>
      <c r="AF14" s="79"/>
    </row>
    <row r="15" spans="1:36" x14ac:dyDescent="0.25">
      <c r="A15" s="48">
        <v>20</v>
      </c>
      <c r="B15" s="50">
        <f t="shared" si="10"/>
        <v>6.666666666666667</v>
      </c>
      <c r="C15" s="50">
        <f t="shared" si="11"/>
        <v>13.333333333333334</v>
      </c>
      <c r="D15" s="50">
        <f t="shared" si="0"/>
        <v>1.6666666666666667</v>
      </c>
      <c r="E15" s="50">
        <f t="shared" si="1"/>
        <v>1.6666666666666667</v>
      </c>
      <c r="F15" s="50">
        <f t="shared" si="2"/>
        <v>6.4549722436790287</v>
      </c>
      <c r="G15" s="50">
        <f t="shared" si="3"/>
        <v>1.6666666666666667</v>
      </c>
      <c r="H15" s="50">
        <f t="shared" si="4"/>
        <v>12.909944487358057</v>
      </c>
      <c r="I15" s="48">
        <f t="shared" si="5"/>
        <v>16</v>
      </c>
      <c r="J15" s="48">
        <f t="shared" si="6"/>
        <v>32</v>
      </c>
      <c r="K15" s="48">
        <f t="shared" si="7"/>
        <v>16</v>
      </c>
      <c r="L15" s="48">
        <f t="shared" si="8"/>
        <v>32</v>
      </c>
      <c r="M15" s="48">
        <f t="shared" si="9"/>
        <v>16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AD15" s="78"/>
      <c r="AE15" s="79"/>
      <c r="AF15" s="79"/>
    </row>
    <row r="16" spans="1:36" x14ac:dyDescent="0.25">
      <c r="A16" s="48">
        <v>25</v>
      </c>
      <c r="B16" s="50">
        <f t="shared" si="10"/>
        <v>8.3333333333333339</v>
      </c>
      <c r="C16" s="50">
        <f t="shared" si="11"/>
        <v>16.666666666666668</v>
      </c>
      <c r="D16" s="50">
        <f t="shared" si="0"/>
        <v>2.0833333333333335</v>
      </c>
      <c r="E16" s="50">
        <f t="shared" si="1"/>
        <v>2.0833333333333335</v>
      </c>
      <c r="F16" s="50">
        <f t="shared" si="2"/>
        <v>8.0687153045987863</v>
      </c>
      <c r="G16" s="50">
        <f t="shared" si="3"/>
        <v>2.0833333333333335</v>
      </c>
      <c r="H16" s="50">
        <f t="shared" si="4"/>
        <v>16.137430609197573</v>
      </c>
      <c r="I16" s="48">
        <f t="shared" si="5"/>
        <v>16</v>
      </c>
      <c r="J16" s="48">
        <f t="shared" si="6"/>
        <v>32</v>
      </c>
      <c r="K16" s="48">
        <f t="shared" si="7"/>
        <v>16</v>
      </c>
      <c r="L16" s="48">
        <f t="shared" si="8"/>
        <v>32</v>
      </c>
      <c r="M16" s="48">
        <f t="shared" si="9"/>
        <v>16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AD16" s="78"/>
      <c r="AE16" s="79"/>
      <c r="AF16" s="79"/>
    </row>
    <row r="17" spans="1:34" x14ac:dyDescent="0.25">
      <c r="A17" s="48">
        <v>30</v>
      </c>
      <c r="B17" s="50">
        <f t="shared" si="10"/>
        <v>10</v>
      </c>
      <c r="C17" s="50">
        <f t="shared" si="11"/>
        <v>20</v>
      </c>
      <c r="D17" s="50">
        <f t="shared" si="0"/>
        <v>2.5</v>
      </c>
      <c r="E17" s="50">
        <f t="shared" si="1"/>
        <v>2.5</v>
      </c>
      <c r="F17" s="50">
        <f t="shared" si="2"/>
        <v>9.6824583655185421</v>
      </c>
      <c r="G17" s="50">
        <f t="shared" si="3"/>
        <v>2.5</v>
      </c>
      <c r="H17" s="50">
        <f t="shared" si="4"/>
        <v>19.364916731037084</v>
      </c>
      <c r="I17" s="48">
        <f t="shared" si="5"/>
        <v>16</v>
      </c>
      <c r="J17" s="48">
        <f t="shared" si="6"/>
        <v>32</v>
      </c>
      <c r="K17" s="48">
        <f t="shared" si="7"/>
        <v>16</v>
      </c>
      <c r="L17" s="48">
        <f t="shared" si="8"/>
        <v>32</v>
      </c>
      <c r="M17" s="48">
        <f t="shared" si="9"/>
        <v>16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AD17" s="78"/>
      <c r="AE17" s="79"/>
      <c r="AF17" s="79"/>
    </row>
    <row r="18" spans="1:34" x14ac:dyDescent="0.25">
      <c r="A18" s="48">
        <v>35</v>
      </c>
      <c r="B18" s="50">
        <f t="shared" si="10"/>
        <v>11.666666666666666</v>
      </c>
      <c r="C18" s="50">
        <f t="shared" si="11"/>
        <v>23.333333333333332</v>
      </c>
      <c r="D18" s="50">
        <f t="shared" si="0"/>
        <v>2.9166666666666665</v>
      </c>
      <c r="E18" s="50">
        <f t="shared" si="1"/>
        <v>2.9166666666666665</v>
      </c>
      <c r="F18" s="50">
        <f t="shared" si="2"/>
        <v>11.2962014264383</v>
      </c>
      <c r="G18" s="50">
        <f t="shared" si="3"/>
        <v>2.9166666666666665</v>
      </c>
      <c r="H18" s="50">
        <f t="shared" si="4"/>
        <v>22.592402852876599</v>
      </c>
      <c r="I18" s="48">
        <f t="shared" si="5"/>
        <v>16</v>
      </c>
      <c r="J18" s="48">
        <f t="shared" si="6"/>
        <v>32</v>
      </c>
      <c r="K18" s="48">
        <f t="shared" si="7"/>
        <v>16</v>
      </c>
      <c r="L18" s="48">
        <f t="shared" si="8"/>
        <v>32</v>
      </c>
      <c r="M18" s="48">
        <f t="shared" si="9"/>
        <v>16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AD18" s="78"/>
      <c r="AE18" s="79"/>
      <c r="AF18" s="79"/>
    </row>
    <row r="19" spans="1:34" x14ac:dyDescent="0.25">
      <c r="A19" s="48">
        <v>40</v>
      </c>
      <c r="B19" s="50">
        <f t="shared" si="10"/>
        <v>13.333333333333334</v>
      </c>
      <c r="C19" s="50">
        <f t="shared" si="11"/>
        <v>26.666666666666668</v>
      </c>
      <c r="D19" s="50">
        <f t="shared" si="0"/>
        <v>3.3333333333333335</v>
      </c>
      <c r="E19" s="50">
        <f t="shared" si="1"/>
        <v>3.3333333333333335</v>
      </c>
      <c r="F19" s="50">
        <f t="shared" si="2"/>
        <v>12.909944487358057</v>
      </c>
      <c r="G19" s="50">
        <f t="shared" si="3"/>
        <v>3.3333333333333335</v>
      </c>
      <c r="H19" s="50">
        <f t="shared" si="4"/>
        <v>25.819888974716115</v>
      </c>
      <c r="I19" s="48">
        <f t="shared" si="5"/>
        <v>16</v>
      </c>
      <c r="J19" s="48">
        <f t="shared" si="6"/>
        <v>32</v>
      </c>
      <c r="K19" s="48">
        <f t="shared" si="7"/>
        <v>16</v>
      </c>
      <c r="L19" s="48">
        <f t="shared" si="8"/>
        <v>32</v>
      </c>
      <c r="M19" s="48">
        <f t="shared" si="9"/>
        <v>16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AD19" s="78"/>
      <c r="AE19" s="79"/>
      <c r="AF19" s="79"/>
    </row>
    <row r="20" spans="1:34" x14ac:dyDescent="0.25">
      <c r="A20" s="48">
        <v>45</v>
      </c>
      <c r="B20" s="50">
        <f t="shared" si="10"/>
        <v>15</v>
      </c>
      <c r="C20" s="50">
        <f t="shared" si="11"/>
        <v>30</v>
      </c>
      <c r="D20" s="50">
        <f t="shared" si="0"/>
        <v>3.75</v>
      </c>
      <c r="E20" s="50">
        <f t="shared" si="1"/>
        <v>3.75</v>
      </c>
      <c r="F20" s="50">
        <f t="shared" si="2"/>
        <v>14.523687548277813</v>
      </c>
      <c r="G20" s="50">
        <f t="shared" si="3"/>
        <v>3.75</v>
      </c>
      <c r="H20" s="50">
        <f t="shared" si="4"/>
        <v>29.047375096555626</v>
      </c>
      <c r="I20" s="48">
        <f t="shared" si="5"/>
        <v>16</v>
      </c>
      <c r="J20" s="48">
        <f t="shared" si="6"/>
        <v>32</v>
      </c>
      <c r="K20" s="48">
        <f t="shared" si="7"/>
        <v>16</v>
      </c>
      <c r="L20" s="48">
        <f t="shared" si="8"/>
        <v>32</v>
      </c>
      <c r="M20" s="48">
        <f t="shared" si="9"/>
        <v>16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AD20" s="78"/>
      <c r="AE20" s="79"/>
      <c r="AF20" s="79"/>
    </row>
    <row r="21" spans="1:34" x14ac:dyDescent="0.25">
      <c r="A21" s="48">
        <v>50</v>
      </c>
      <c r="B21" s="50">
        <f t="shared" si="10"/>
        <v>16.666666666666668</v>
      </c>
      <c r="C21" s="50">
        <f t="shared" si="11"/>
        <v>33.333333333333336</v>
      </c>
      <c r="D21" s="50">
        <f t="shared" si="0"/>
        <v>4.166666666666667</v>
      </c>
      <c r="E21" s="50">
        <f t="shared" si="1"/>
        <v>4.166666666666667</v>
      </c>
      <c r="F21" s="50">
        <f t="shared" si="2"/>
        <v>16.137430609197573</v>
      </c>
      <c r="G21" s="50">
        <f t="shared" si="3"/>
        <v>4.166666666666667</v>
      </c>
      <c r="H21" s="50">
        <f t="shared" si="4"/>
        <v>32.274861218395145</v>
      </c>
      <c r="I21" s="48">
        <f t="shared" si="5"/>
        <v>16</v>
      </c>
      <c r="J21" s="48">
        <f t="shared" si="6"/>
        <v>32</v>
      </c>
      <c r="K21" s="48">
        <f t="shared" si="7"/>
        <v>16</v>
      </c>
      <c r="L21" s="48">
        <f t="shared" si="8"/>
        <v>32</v>
      </c>
      <c r="M21" s="48">
        <f t="shared" si="9"/>
        <v>16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AD21" s="78"/>
      <c r="AE21" s="79"/>
      <c r="AF21" s="79"/>
    </row>
    <row r="22" spans="1:34" ht="14.4" thickBot="1" x14ac:dyDescent="0.3">
      <c r="A22" s="48">
        <v>125</v>
      </c>
      <c r="B22" s="50">
        <f t="shared" si="10"/>
        <v>41.666666666666664</v>
      </c>
      <c r="C22" s="50">
        <f t="shared" si="11"/>
        <v>83.333333333333329</v>
      </c>
      <c r="D22" s="50">
        <f t="shared" si="0"/>
        <v>10.416666666666666</v>
      </c>
      <c r="E22" s="50">
        <f t="shared" si="1"/>
        <v>10.416666666666666</v>
      </c>
      <c r="F22" s="50">
        <f t="shared" si="2"/>
        <v>40.343576522993928</v>
      </c>
      <c r="G22" s="50">
        <f t="shared" si="3"/>
        <v>10.416666666666666</v>
      </c>
      <c r="H22" s="50">
        <f t="shared" si="4"/>
        <v>80.687153045987856</v>
      </c>
      <c r="I22" s="48">
        <f t="shared" si="5"/>
        <v>16</v>
      </c>
      <c r="J22" s="48">
        <f t="shared" si="6"/>
        <v>32</v>
      </c>
      <c r="K22" s="48">
        <f t="shared" si="7"/>
        <v>16</v>
      </c>
      <c r="L22" s="48">
        <f t="shared" si="8"/>
        <v>32</v>
      </c>
      <c r="M22" s="48">
        <f t="shared" si="9"/>
        <v>16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AD22" s="78"/>
      <c r="AE22" s="79"/>
      <c r="AF22" s="79"/>
    </row>
    <row r="23" spans="1:34" ht="42" thickBot="1" x14ac:dyDescent="0.3">
      <c r="A23" s="73" t="s">
        <v>170</v>
      </c>
      <c r="B23" s="50"/>
      <c r="C23" s="50"/>
      <c r="D23" s="50"/>
      <c r="E23" s="50"/>
      <c r="F23" s="50"/>
      <c r="G23" s="50"/>
      <c r="H23" s="50"/>
      <c r="I23" s="48"/>
      <c r="J23" s="48"/>
      <c r="K23" s="48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49"/>
      <c r="W23" s="49"/>
      <c r="AD23" s="78"/>
      <c r="AE23" s="79"/>
      <c r="AF23" s="79"/>
    </row>
    <row r="24" spans="1:34" ht="14.4" thickBot="1" x14ac:dyDescent="0.3">
      <c r="A24" s="82"/>
      <c r="B24" s="50"/>
      <c r="C24" s="50"/>
      <c r="D24" s="50"/>
      <c r="E24" s="50"/>
      <c r="F24" s="50"/>
      <c r="G24" s="50"/>
      <c r="H24" s="50"/>
      <c r="I24" s="48"/>
      <c r="J24" s="48"/>
      <c r="K24" s="48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49"/>
      <c r="W24" s="49"/>
      <c r="AD24" s="78"/>
      <c r="AE24" s="79"/>
      <c r="AF24" s="79"/>
    </row>
    <row r="25" spans="1:34" ht="28.2" thickBot="1" x14ac:dyDescent="0.3">
      <c r="A25" s="83" t="s">
        <v>17</v>
      </c>
      <c r="B25" s="84" t="s">
        <v>53</v>
      </c>
      <c r="C25" s="84" t="s">
        <v>54</v>
      </c>
      <c r="D25" s="84" t="s">
        <v>184</v>
      </c>
      <c r="E25" s="84" t="s">
        <v>185</v>
      </c>
      <c r="F25" s="84" t="s">
        <v>171</v>
      </c>
      <c r="G25" s="84" t="s">
        <v>172</v>
      </c>
      <c r="H25" s="84" t="s">
        <v>173</v>
      </c>
      <c r="I25" s="84" t="s">
        <v>174</v>
      </c>
      <c r="J25" s="50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AF25" s="78"/>
      <c r="AG25" s="79"/>
      <c r="AH25" s="79"/>
    </row>
    <row r="26" spans="1:34" ht="14.4" thickBot="1" x14ac:dyDescent="0.3">
      <c r="A26" s="87">
        <f t="shared" ref="A26:A37" si="12">A11</f>
        <v>50</v>
      </c>
      <c r="B26" s="88">
        <f>A26/3</f>
        <v>16.666666666666668</v>
      </c>
      <c r="C26" s="88">
        <f>2*A26/3</f>
        <v>33.333333333333336</v>
      </c>
      <c r="D26" s="89">
        <f>IF(B26&gt;5, ROUNDUP(B26/5,0),1)</f>
        <v>4</v>
      </c>
      <c r="E26" s="89">
        <f>IF(C26&gt;5, ROUNDUP(C26/5,0),1)</f>
        <v>7</v>
      </c>
      <c r="F26" s="90">
        <f>0.01/D26</f>
        <v>2.5000000000000001E-3</v>
      </c>
      <c r="G26" s="90">
        <f>0.01/E26</f>
        <v>1.4285714285714286E-3</v>
      </c>
      <c r="H26" s="89"/>
      <c r="I26" s="85"/>
      <c r="J26" s="86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AF26" s="78"/>
      <c r="AG26" s="79"/>
      <c r="AH26" s="79"/>
    </row>
    <row r="27" spans="1:34" x14ac:dyDescent="0.25">
      <c r="A27" s="82">
        <f t="shared" si="12"/>
        <v>5</v>
      </c>
      <c r="B27" s="50">
        <f>A27/3</f>
        <v>1.6666666666666667</v>
      </c>
      <c r="C27" s="50">
        <f>(2*A27)/3</f>
        <v>3.3333333333333335</v>
      </c>
      <c r="D27" s="50">
        <f>$D$26</f>
        <v>4</v>
      </c>
      <c r="E27" s="50">
        <f>$E$26</f>
        <v>7</v>
      </c>
      <c r="F27" s="49">
        <f>$F$26</f>
        <v>2.5000000000000001E-3</v>
      </c>
      <c r="G27" s="49">
        <f>$G$26</f>
        <v>1.4285714285714286E-3</v>
      </c>
      <c r="H27" s="49">
        <f t="shared" ref="H27:I36" si="13">B27^2*F27</f>
        <v>6.9444444444444458E-3</v>
      </c>
      <c r="I27" s="49">
        <f t="shared" si="13"/>
        <v>1.5873015873015876E-2</v>
      </c>
      <c r="J27" s="50">
        <f>SUM(H27:I27)</f>
        <v>2.281746031746032E-2</v>
      </c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AF27" s="78"/>
      <c r="AG27" s="79"/>
      <c r="AH27" s="79"/>
    </row>
    <row r="28" spans="1:34" x14ac:dyDescent="0.25">
      <c r="A28" s="82">
        <f t="shared" si="12"/>
        <v>10</v>
      </c>
      <c r="B28" s="50">
        <f t="shared" ref="B28:B36" si="14">A28/3</f>
        <v>3.3333333333333335</v>
      </c>
      <c r="C28" s="50">
        <f t="shared" ref="C28:C36" si="15">(2*A28)/3</f>
        <v>6.666666666666667</v>
      </c>
      <c r="D28" s="50">
        <f t="shared" ref="D28:D37" si="16">$D$26</f>
        <v>4</v>
      </c>
      <c r="E28" s="50">
        <f t="shared" ref="E28:E37" si="17">$E$26</f>
        <v>7</v>
      </c>
      <c r="F28" s="49">
        <f t="shared" ref="F28:F37" si="18">$F$26</f>
        <v>2.5000000000000001E-3</v>
      </c>
      <c r="G28" s="49">
        <f t="shared" ref="G28:G37" si="19">$G$26</f>
        <v>1.4285714285714286E-3</v>
      </c>
      <c r="H28" s="49">
        <f t="shared" si="13"/>
        <v>2.7777777777777783E-2</v>
      </c>
      <c r="I28" s="49">
        <f t="shared" si="13"/>
        <v>6.3492063492063502E-2</v>
      </c>
      <c r="J28" s="50">
        <f t="shared" ref="J28:J36" si="20">SUM(H28:I28)</f>
        <v>9.1269841269841279E-2</v>
      </c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AF28" s="78"/>
      <c r="AG28" s="79"/>
      <c r="AH28" s="79"/>
    </row>
    <row r="29" spans="1:34" x14ac:dyDescent="0.25">
      <c r="A29" s="82">
        <f t="shared" si="12"/>
        <v>15</v>
      </c>
      <c r="B29" s="50">
        <f t="shared" si="14"/>
        <v>5</v>
      </c>
      <c r="C29" s="50">
        <f t="shared" si="15"/>
        <v>10</v>
      </c>
      <c r="D29" s="50">
        <f t="shared" si="16"/>
        <v>4</v>
      </c>
      <c r="E29" s="50">
        <f t="shared" si="17"/>
        <v>7</v>
      </c>
      <c r="F29" s="49">
        <f t="shared" si="18"/>
        <v>2.5000000000000001E-3</v>
      </c>
      <c r="G29" s="49">
        <f t="shared" si="19"/>
        <v>1.4285714285714286E-3</v>
      </c>
      <c r="H29" s="49">
        <f t="shared" si="13"/>
        <v>6.25E-2</v>
      </c>
      <c r="I29" s="49">
        <f t="shared" si="13"/>
        <v>0.14285714285714285</v>
      </c>
      <c r="J29" s="50">
        <f t="shared" si="20"/>
        <v>0.20535714285714285</v>
      </c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AF29" s="78"/>
      <c r="AG29" s="79"/>
      <c r="AH29" s="79"/>
    </row>
    <row r="30" spans="1:34" x14ac:dyDescent="0.25">
      <c r="A30" s="82">
        <f t="shared" si="12"/>
        <v>20</v>
      </c>
      <c r="B30" s="50">
        <f t="shared" si="14"/>
        <v>6.666666666666667</v>
      </c>
      <c r="C30" s="50">
        <f t="shared" si="15"/>
        <v>13.333333333333334</v>
      </c>
      <c r="D30" s="50">
        <f t="shared" si="16"/>
        <v>4</v>
      </c>
      <c r="E30" s="50">
        <f t="shared" si="17"/>
        <v>7</v>
      </c>
      <c r="F30" s="49">
        <f t="shared" si="18"/>
        <v>2.5000000000000001E-3</v>
      </c>
      <c r="G30" s="49">
        <f t="shared" si="19"/>
        <v>1.4285714285714286E-3</v>
      </c>
      <c r="H30" s="49">
        <f t="shared" si="13"/>
        <v>0.11111111111111113</v>
      </c>
      <c r="I30" s="49">
        <f t="shared" si="13"/>
        <v>0.25396825396825401</v>
      </c>
      <c r="J30" s="50">
        <f t="shared" si="20"/>
        <v>0.36507936507936511</v>
      </c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AF30" s="78"/>
      <c r="AG30" s="79"/>
      <c r="AH30" s="79"/>
    </row>
    <row r="31" spans="1:34" x14ac:dyDescent="0.25">
      <c r="A31" s="82">
        <f t="shared" si="12"/>
        <v>25</v>
      </c>
      <c r="B31" s="50">
        <f t="shared" si="14"/>
        <v>8.3333333333333339</v>
      </c>
      <c r="C31" s="50">
        <f t="shared" si="15"/>
        <v>16.666666666666668</v>
      </c>
      <c r="D31" s="50">
        <f t="shared" si="16"/>
        <v>4</v>
      </c>
      <c r="E31" s="50">
        <f t="shared" si="17"/>
        <v>7</v>
      </c>
      <c r="F31" s="49">
        <f t="shared" si="18"/>
        <v>2.5000000000000001E-3</v>
      </c>
      <c r="G31" s="49">
        <f t="shared" si="19"/>
        <v>1.4285714285714286E-3</v>
      </c>
      <c r="H31" s="49">
        <f t="shared" si="13"/>
        <v>0.17361111111111113</v>
      </c>
      <c r="I31" s="49">
        <f t="shared" si="13"/>
        <v>0.39682539682539691</v>
      </c>
      <c r="J31" s="50">
        <f t="shared" si="20"/>
        <v>0.57043650793650802</v>
      </c>
      <c r="K31" s="50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AF31" s="78"/>
      <c r="AG31" s="79"/>
      <c r="AH31" s="79"/>
    </row>
    <row r="32" spans="1:34" x14ac:dyDescent="0.25">
      <c r="A32" s="82">
        <f t="shared" si="12"/>
        <v>30</v>
      </c>
      <c r="B32" s="50">
        <f t="shared" si="14"/>
        <v>10</v>
      </c>
      <c r="C32" s="50">
        <f t="shared" si="15"/>
        <v>20</v>
      </c>
      <c r="D32" s="50">
        <f t="shared" si="16"/>
        <v>4</v>
      </c>
      <c r="E32" s="50">
        <f t="shared" si="17"/>
        <v>7</v>
      </c>
      <c r="F32" s="49">
        <f t="shared" si="18"/>
        <v>2.5000000000000001E-3</v>
      </c>
      <c r="G32" s="49">
        <f t="shared" si="19"/>
        <v>1.4285714285714286E-3</v>
      </c>
      <c r="H32" s="49">
        <f t="shared" si="13"/>
        <v>0.25</v>
      </c>
      <c r="I32" s="49">
        <f t="shared" si="13"/>
        <v>0.5714285714285714</v>
      </c>
      <c r="J32" s="50">
        <f t="shared" si="20"/>
        <v>0.8214285714285714</v>
      </c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AF32" s="78"/>
      <c r="AG32" s="79"/>
      <c r="AH32" s="79"/>
    </row>
    <row r="33" spans="1:34" x14ac:dyDescent="0.25">
      <c r="A33" s="82">
        <f t="shared" si="12"/>
        <v>35</v>
      </c>
      <c r="B33" s="50">
        <f t="shared" si="14"/>
        <v>11.666666666666666</v>
      </c>
      <c r="C33" s="50">
        <f t="shared" si="15"/>
        <v>23.333333333333332</v>
      </c>
      <c r="D33" s="50">
        <f t="shared" si="16"/>
        <v>4</v>
      </c>
      <c r="E33" s="50">
        <f t="shared" si="17"/>
        <v>7</v>
      </c>
      <c r="F33" s="49">
        <f t="shared" si="18"/>
        <v>2.5000000000000001E-3</v>
      </c>
      <c r="G33" s="49">
        <f t="shared" si="19"/>
        <v>1.4285714285714286E-3</v>
      </c>
      <c r="H33" s="49">
        <f t="shared" si="13"/>
        <v>0.34027777777777773</v>
      </c>
      <c r="I33" s="49">
        <f t="shared" si="13"/>
        <v>0.77777777777777768</v>
      </c>
      <c r="J33" s="50">
        <f t="shared" si="20"/>
        <v>1.1180555555555554</v>
      </c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AF33" s="78"/>
      <c r="AG33" s="79"/>
      <c r="AH33" s="79"/>
    </row>
    <row r="34" spans="1:34" x14ac:dyDescent="0.25">
      <c r="A34" s="82">
        <f t="shared" si="12"/>
        <v>40</v>
      </c>
      <c r="B34" s="50">
        <f t="shared" si="14"/>
        <v>13.333333333333334</v>
      </c>
      <c r="C34" s="50">
        <f t="shared" si="15"/>
        <v>26.666666666666668</v>
      </c>
      <c r="D34" s="50">
        <f t="shared" si="16"/>
        <v>4</v>
      </c>
      <c r="E34" s="50">
        <f t="shared" si="17"/>
        <v>7</v>
      </c>
      <c r="F34" s="49">
        <f t="shared" si="18"/>
        <v>2.5000000000000001E-3</v>
      </c>
      <c r="G34" s="49">
        <f t="shared" si="19"/>
        <v>1.4285714285714286E-3</v>
      </c>
      <c r="H34" s="49">
        <f t="shared" si="13"/>
        <v>0.44444444444444453</v>
      </c>
      <c r="I34" s="49">
        <f t="shared" si="13"/>
        <v>1.015873015873016</v>
      </c>
      <c r="J34" s="50">
        <f t="shared" si="20"/>
        <v>1.4603174603174605</v>
      </c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AF34" s="78"/>
      <c r="AG34" s="79"/>
      <c r="AH34" s="79"/>
    </row>
    <row r="35" spans="1:34" x14ac:dyDescent="0.25">
      <c r="A35" s="82">
        <f t="shared" si="12"/>
        <v>45</v>
      </c>
      <c r="B35" s="50">
        <f t="shared" si="14"/>
        <v>15</v>
      </c>
      <c r="C35" s="50">
        <f t="shared" si="15"/>
        <v>30</v>
      </c>
      <c r="D35" s="50">
        <f t="shared" si="16"/>
        <v>4</v>
      </c>
      <c r="E35" s="50">
        <f t="shared" si="17"/>
        <v>7</v>
      </c>
      <c r="F35" s="49">
        <f t="shared" si="18"/>
        <v>2.5000000000000001E-3</v>
      </c>
      <c r="G35" s="49">
        <f t="shared" si="19"/>
        <v>1.4285714285714286E-3</v>
      </c>
      <c r="H35" s="49">
        <f t="shared" si="13"/>
        <v>0.5625</v>
      </c>
      <c r="I35" s="49">
        <f t="shared" si="13"/>
        <v>1.2857142857142858</v>
      </c>
      <c r="J35" s="50">
        <f t="shared" si="20"/>
        <v>1.8482142857142858</v>
      </c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AF35" s="78"/>
      <c r="AG35" s="79"/>
      <c r="AH35" s="79"/>
    </row>
    <row r="36" spans="1:34" x14ac:dyDescent="0.25">
      <c r="A36" s="82">
        <f t="shared" si="12"/>
        <v>50</v>
      </c>
      <c r="B36" s="50">
        <f t="shared" si="14"/>
        <v>16.666666666666668</v>
      </c>
      <c r="C36" s="50">
        <f t="shared" si="15"/>
        <v>33.333333333333336</v>
      </c>
      <c r="D36" s="50">
        <f t="shared" si="16"/>
        <v>4</v>
      </c>
      <c r="E36" s="50">
        <f t="shared" si="17"/>
        <v>7</v>
      </c>
      <c r="F36" s="49">
        <f t="shared" si="18"/>
        <v>2.5000000000000001E-3</v>
      </c>
      <c r="G36" s="49">
        <f t="shared" si="19"/>
        <v>1.4285714285714286E-3</v>
      </c>
      <c r="H36" s="49">
        <f t="shared" si="13"/>
        <v>0.69444444444444453</v>
      </c>
      <c r="I36" s="49">
        <f t="shared" si="13"/>
        <v>1.5873015873015877</v>
      </c>
      <c r="J36" s="50">
        <f t="shared" si="20"/>
        <v>2.2817460317460321</v>
      </c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AF36" s="78"/>
      <c r="AG36" s="79"/>
      <c r="AH36" s="79"/>
    </row>
    <row r="37" spans="1:34" x14ac:dyDescent="0.25">
      <c r="A37" s="82">
        <f t="shared" si="12"/>
        <v>125</v>
      </c>
      <c r="B37" s="50">
        <f>A37/3</f>
        <v>41.666666666666664</v>
      </c>
      <c r="C37" s="50">
        <f>(2*A37)/3</f>
        <v>83.333333333333329</v>
      </c>
      <c r="D37" s="50">
        <f t="shared" si="16"/>
        <v>4</v>
      </c>
      <c r="E37" s="50">
        <f t="shared" si="17"/>
        <v>7</v>
      </c>
      <c r="F37" s="49">
        <f t="shared" si="18"/>
        <v>2.5000000000000001E-3</v>
      </c>
      <c r="G37" s="49">
        <f t="shared" si="19"/>
        <v>1.4285714285714286E-3</v>
      </c>
      <c r="H37" s="49">
        <f>B37^2*F37</f>
        <v>4.3402777777777777</v>
      </c>
      <c r="I37" s="49">
        <f>C37^2*G37</f>
        <v>9.9206349206349191</v>
      </c>
      <c r="J37" s="50">
        <f>SUM(H37:I37)</f>
        <v>14.260912698412696</v>
      </c>
      <c r="K37" s="48"/>
      <c r="L37" s="48"/>
      <c r="M37" s="48"/>
      <c r="N37" s="49"/>
      <c r="O37" s="49"/>
      <c r="P37" s="49"/>
      <c r="Q37" s="49"/>
      <c r="R37" s="49"/>
      <c r="S37" s="49"/>
      <c r="T37" s="49"/>
      <c r="U37" s="49"/>
      <c r="V37" s="49"/>
      <c r="W37" s="49"/>
      <c r="AD37" s="78"/>
      <c r="AE37" s="79"/>
      <c r="AF37" s="79"/>
    </row>
    <row r="38" spans="1:34" ht="14.4" thickBot="1" x14ac:dyDescent="0.3">
      <c r="AD38" s="78" t="str">
        <f>I1</f>
        <v>Rg</v>
      </c>
      <c r="AE38" s="79"/>
      <c r="AF38" s="79"/>
    </row>
    <row r="39" spans="1:34" ht="28.2" thickBot="1" x14ac:dyDescent="0.3">
      <c r="A39" s="73" t="s">
        <v>97</v>
      </c>
      <c r="AD39" s="78" t="s">
        <v>38</v>
      </c>
      <c r="AE39" s="79"/>
      <c r="AF39" s="79"/>
    </row>
    <row r="40" spans="1:34" ht="15" thickBot="1" x14ac:dyDescent="0.3">
      <c r="A40" s="56"/>
      <c r="B40" s="56"/>
      <c r="C40" s="56"/>
      <c r="D40" s="48"/>
      <c r="E40" s="57"/>
      <c r="F40" s="57"/>
      <c r="G40" s="57"/>
      <c r="H40" s="57"/>
      <c r="I40" s="57"/>
      <c r="J40" s="57"/>
      <c r="AD40" s="80" t="s">
        <v>40</v>
      </c>
      <c r="AE40" s="79"/>
      <c r="AF40" s="79"/>
    </row>
    <row r="41" spans="1:34" ht="28.2" thickBot="1" x14ac:dyDescent="0.3">
      <c r="A41" s="81" t="s">
        <v>162</v>
      </c>
      <c r="B41" s="65" t="s">
        <v>93</v>
      </c>
      <c r="C41" s="60" t="s">
        <v>80</v>
      </c>
      <c r="D41" s="60" t="s">
        <v>81</v>
      </c>
      <c r="E41" s="60" t="s">
        <v>82</v>
      </c>
      <c r="F41" s="60" t="s">
        <v>83</v>
      </c>
      <c r="G41" s="60" t="s">
        <v>84</v>
      </c>
      <c r="H41" s="60" t="s">
        <v>110</v>
      </c>
      <c r="I41" s="60" t="s">
        <v>111</v>
      </c>
      <c r="J41" s="60" t="s">
        <v>112</v>
      </c>
      <c r="K41" s="60" t="s">
        <v>113</v>
      </c>
      <c r="L41" s="60" t="s">
        <v>114</v>
      </c>
      <c r="AD41" s="80" t="s">
        <v>156</v>
      </c>
      <c r="AE41" s="79"/>
      <c r="AF41" s="79"/>
    </row>
    <row r="42" spans="1:34" x14ac:dyDescent="0.25">
      <c r="A42" s="53">
        <f t="shared" ref="A42:A52" si="21">A12</f>
        <v>5</v>
      </c>
      <c r="B42" s="48">
        <v>1</v>
      </c>
      <c r="C42" s="58">
        <f t="shared" ref="C42:G51" si="22">(1/($S$2*((N$11*$B42)/S$11)*($F$2-$G$2)))</f>
        <v>8.4251456133233159E-3</v>
      </c>
      <c r="D42" s="58">
        <f t="shared" si="22"/>
        <v>1.6561599281883266E-2</v>
      </c>
      <c r="E42" s="58">
        <f t="shared" si="22"/>
        <v>9.92676665605461E-4</v>
      </c>
      <c r="F42" s="58">
        <f t="shared" si="22"/>
        <v>1.6561599281883266E-2</v>
      </c>
      <c r="G42" s="58">
        <f t="shared" si="22"/>
        <v>4.963383328027305E-4</v>
      </c>
      <c r="H42" s="49">
        <f t="shared" ref="H42:L51" si="23">D12^2*C42</f>
        <v>1.4626988912019648E-3</v>
      </c>
      <c r="I42" s="49">
        <f t="shared" si="23"/>
        <v>2.8752776531047342E-3</v>
      </c>
      <c r="J42" s="49">
        <f t="shared" si="23"/>
        <v>2.5850954833475551E-3</v>
      </c>
      <c r="K42" s="49">
        <f t="shared" si="23"/>
        <v>2.8752776531047342E-3</v>
      </c>
      <c r="L42" s="49">
        <f t="shared" si="23"/>
        <v>5.1701909666951101E-3</v>
      </c>
      <c r="M42" s="59">
        <f>SUM(H42:L42)</f>
        <v>1.49685406474541E-2</v>
      </c>
      <c r="O42" s="58"/>
      <c r="P42" s="58"/>
      <c r="Q42" s="58"/>
      <c r="R42" s="58"/>
      <c r="S42" s="58"/>
      <c r="T42" s="49"/>
      <c r="U42" s="49"/>
      <c r="V42" s="49"/>
      <c r="W42" s="49"/>
      <c r="X42" s="49"/>
      <c r="Y42" s="59"/>
    </row>
    <row r="43" spans="1:34" x14ac:dyDescent="0.25">
      <c r="A43" s="53">
        <f t="shared" si="21"/>
        <v>10</v>
      </c>
      <c r="B43" s="48">
        <v>1</v>
      </c>
      <c r="C43" s="58">
        <f t="shared" si="22"/>
        <v>8.4251456133233159E-3</v>
      </c>
      <c r="D43" s="58">
        <f t="shared" si="22"/>
        <v>1.6561599281883266E-2</v>
      </c>
      <c r="E43" s="58">
        <f t="shared" si="22"/>
        <v>9.92676665605461E-4</v>
      </c>
      <c r="F43" s="58">
        <f t="shared" si="22"/>
        <v>1.6561599281883266E-2</v>
      </c>
      <c r="G43" s="58">
        <f t="shared" si="22"/>
        <v>4.963383328027305E-4</v>
      </c>
      <c r="H43" s="49">
        <f t="shared" si="23"/>
        <v>5.8507955648078591E-3</v>
      </c>
      <c r="I43" s="49">
        <f t="shared" si="23"/>
        <v>1.1501110612418937E-2</v>
      </c>
      <c r="J43" s="49">
        <f t="shared" si="23"/>
        <v>1.034038193339022E-2</v>
      </c>
      <c r="K43" s="49">
        <f t="shared" si="23"/>
        <v>1.1501110612418937E-2</v>
      </c>
      <c r="L43" s="49">
        <f t="shared" si="23"/>
        <v>2.068076386678044E-2</v>
      </c>
      <c r="M43" s="59">
        <f t="shared" ref="M43:M51" si="24">SUM(H43:L43)</f>
        <v>5.9874162589816399E-2</v>
      </c>
    </row>
    <row r="44" spans="1:34" x14ac:dyDescent="0.25">
      <c r="A44" s="53">
        <f t="shared" si="21"/>
        <v>15</v>
      </c>
      <c r="B44" s="48">
        <v>1</v>
      </c>
      <c r="C44" s="58">
        <f t="shared" si="22"/>
        <v>8.4251456133233159E-3</v>
      </c>
      <c r="D44" s="58">
        <f t="shared" si="22"/>
        <v>1.6561599281883266E-2</v>
      </c>
      <c r="E44" s="58">
        <f t="shared" si="22"/>
        <v>9.92676665605461E-4</v>
      </c>
      <c r="F44" s="58">
        <f t="shared" si="22"/>
        <v>1.6561599281883266E-2</v>
      </c>
      <c r="G44" s="58">
        <f t="shared" si="22"/>
        <v>4.963383328027305E-4</v>
      </c>
      <c r="H44" s="49">
        <f t="shared" si="23"/>
        <v>1.3164290020817681E-2</v>
      </c>
      <c r="I44" s="49">
        <f t="shared" si="23"/>
        <v>2.5877498877942603E-2</v>
      </c>
      <c r="J44" s="49">
        <f t="shared" si="23"/>
        <v>2.3265859350127992E-2</v>
      </c>
      <c r="K44" s="49">
        <f t="shared" si="23"/>
        <v>2.5877498877942603E-2</v>
      </c>
      <c r="L44" s="49">
        <f t="shared" si="23"/>
        <v>4.6531718700255985E-2</v>
      </c>
      <c r="M44" s="59">
        <f t="shared" si="24"/>
        <v>0.13471686582708686</v>
      </c>
    </row>
    <row r="45" spans="1:34" x14ac:dyDescent="0.25">
      <c r="A45" s="53">
        <f t="shared" si="21"/>
        <v>20</v>
      </c>
      <c r="B45" s="48">
        <v>1</v>
      </c>
      <c r="C45" s="58">
        <f t="shared" si="22"/>
        <v>8.4251456133233159E-3</v>
      </c>
      <c r="D45" s="58">
        <f t="shared" si="22"/>
        <v>1.6561599281883266E-2</v>
      </c>
      <c r="E45" s="58">
        <f t="shared" si="22"/>
        <v>9.92676665605461E-4</v>
      </c>
      <c r="F45" s="58">
        <f t="shared" si="22"/>
        <v>1.6561599281883266E-2</v>
      </c>
      <c r="G45" s="58">
        <f t="shared" si="22"/>
        <v>4.963383328027305E-4</v>
      </c>
      <c r="H45" s="49">
        <f t="shared" si="23"/>
        <v>2.3403182259231436E-2</v>
      </c>
      <c r="I45" s="49">
        <f t="shared" si="23"/>
        <v>4.6004442449675748E-2</v>
      </c>
      <c r="J45" s="49">
        <f t="shared" si="23"/>
        <v>4.1361527733560881E-2</v>
      </c>
      <c r="K45" s="49">
        <f t="shared" si="23"/>
        <v>4.6004442449675748E-2</v>
      </c>
      <c r="L45" s="49">
        <f t="shared" si="23"/>
        <v>8.2723055467121762E-2</v>
      </c>
      <c r="M45" s="59">
        <f t="shared" si="24"/>
        <v>0.23949665035926559</v>
      </c>
    </row>
    <row r="46" spans="1:34" x14ac:dyDescent="0.25">
      <c r="A46" s="53">
        <f t="shared" si="21"/>
        <v>25</v>
      </c>
      <c r="B46" s="48">
        <v>1</v>
      </c>
      <c r="C46" s="58">
        <f t="shared" si="22"/>
        <v>8.4251456133233159E-3</v>
      </c>
      <c r="D46" s="58">
        <f t="shared" si="22"/>
        <v>1.6561599281883266E-2</v>
      </c>
      <c r="E46" s="58">
        <f t="shared" si="22"/>
        <v>9.92676665605461E-4</v>
      </c>
      <c r="F46" s="58">
        <f t="shared" si="22"/>
        <v>1.6561599281883266E-2</v>
      </c>
      <c r="G46" s="58">
        <f t="shared" si="22"/>
        <v>4.963383328027305E-4</v>
      </c>
      <c r="H46" s="49">
        <f t="shared" si="23"/>
        <v>3.6567472280049119E-2</v>
      </c>
      <c r="I46" s="49">
        <f t="shared" si="23"/>
        <v>7.1881941327618354E-2</v>
      </c>
      <c r="J46" s="49">
        <f t="shared" si="23"/>
        <v>6.4627387083688884E-2</v>
      </c>
      <c r="K46" s="49">
        <f t="shared" si="23"/>
        <v>7.1881941327618354E-2</v>
      </c>
      <c r="L46" s="49">
        <f t="shared" si="23"/>
        <v>0.12925477416737777</v>
      </c>
      <c r="M46" s="59">
        <f t="shared" si="24"/>
        <v>0.37421351618635246</v>
      </c>
    </row>
    <row r="47" spans="1:34" x14ac:dyDescent="0.25">
      <c r="A47" s="53">
        <f t="shared" si="21"/>
        <v>30</v>
      </c>
      <c r="B47" s="48">
        <v>1</v>
      </c>
      <c r="C47" s="58">
        <f t="shared" si="22"/>
        <v>8.4251456133233159E-3</v>
      </c>
      <c r="D47" s="58">
        <f t="shared" si="22"/>
        <v>1.6561599281883266E-2</v>
      </c>
      <c r="E47" s="58">
        <f t="shared" si="22"/>
        <v>9.92676665605461E-4</v>
      </c>
      <c r="F47" s="58">
        <f t="shared" si="22"/>
        <v>1.6561599281883266E-2</v>
      </c>
      <c r="G47" s="58">
        <f t="shared" si="22"/>
        <v>4.963383328027305E-4</v>
      </c>
      <c r="H47" s="49">
        <f t="shared" si="23"/>
        <v>5.2657160083270725E-2</v>
      </c>
      <c r="I47" s="49">
        <f t="shared" si="23"/>
        <v>0.10350999551177041</v>
      </c>
      <c r="J47" s="49">
        <f t="shared" si="23"/>
        <v>9.306343740051197E-2</v>
      </c>
      <c r="K47" s="49">
        <f t="shared" si="23"/>
        <v>0.10350999551177041</v>
      </c>
      <c r="L47" s="49">
        <f t="shared" si="23"/>
        <v>0.18612687480102394</v>
      </c>
      <c r="M47" s="59">
        <f t="shared" si="24"/>
        <v>0.53886746330834745</v>
      </c>
    </row>
    <row r="48" spans="1:34" x14ac:dyDescent="0.25">
      <c r="A48" s="53">
        <f t="shared" si="21"/>
        <v>35</v>
      </c>
      <c r="B48" s="48">
        <v>1</v>
      </c>
      <c r="C48" s="58">
        <f t="shared" si="22"/>
        <v>8.4251456133233159E-3</v>
      </c>
      <c r="D48" s="58">
        <f t="shared" si="22"/>
        <v>1.6561599281883266E-2</v>
      </c>
      <c r="E48" s="58">
        <f t="shared" si="22"/>
        <v>9.92676665605461E-4</v>
      </c>
      <c r="F48" s="58">
        <f t="shared" si="22"/>
        <v>1.6561599281883266E-2</v>
      </c>
      <c r="G48" s="58">
        <f t="shared" si="22"/>
        <v>4.963383328027305E-4</v>
      </c>
      <c r="H48" s="49">
        <f t="shared" si="23"/>
        <v>7.1672245668896253E-2</v>
      </c>
      <c r="I48" s="49">
        <f t="shared" si="23"/>
        <v>0.14088860500213193</v>
      </c>
      <c r="J48" s="49">
        <f t="shared" si="23"/>
        <v>0.12666967868403017</v>
      </c>
      <c r="K48" s="49">
        <f t="shared" si="23"/>
        <v>0.14088860500213193</v>
      </c>
      <c r="L48" s="49">
        <f t="shared" si="23"/>
        <v>0.25333935736806035</v>
      </c>
      <c r="M48" s="59">
        <f t="shared" si="24"/>
        <v>0.73345849172525068</v>
      </c>
    </row>
    <row r="49" spans="1:23" x14ac:dyDescent="0.25">
      <c r="A49" s="53">
        <f t="shared" si="21"/>
        <v>40</v>
      </c>
      <c r="B49" s="48">
        <v>1</v>
      </c>
      <c r="C49" s="58">
        <f t="shared" si="22"/>
        <v>8.4251456133233159E-3</v>
      </c>
      <c r="D49" s="58">
        <f t="shared" si="22"/>
        <v>1.6561599281883266E-2</v>
      </c>
      <c r="E49" s="58">
        <f t="shared" si="22"/>
        <v>9.92676665605461E-4</v>
      </c>
      <c r="F49" s="58">
        <f t="shared" si="22"/>
        <v>1.6561599281883266E-2</v>
      </c>
      <c r="G49" s="58">
        <f t="shared" si="22"/>
        <v>4.963383328027305E-4</v>
      </c>
      <c r="H49" s="49">
        <f t="shared" si="23"/>
        <v>9.3612729036925746E-2</v>
      </c>
      <c r="I49" s="49">
        <f t="shared" si="23"/>
        <v>0.18401776979870299</v>
      </c>
      <c r="J49" s="49">
        <f t="shared" si="23"/>
        <v>0.16544611093424352</v>
      </c>
      <c r="K49" s="49">
        <f t="shared" si="23"/>
        <v>0.18401776979870299</v>
      </c>
      <c r="L49" s="49">
        <f t="shared" si="23"/>
        <v>0.33089222186848705</v>
      </c>
      <c r="M49" s="59">
        <f t="shared" si="24"/>
        <v>0.95798660143706238</v>
      </c>
    </row>
    <row r="50" spans="1:23" x14ac:dyDescent="0.25">
      <c r="A50" s="53">
        <f t="shared" si="21"/>
        <v>45</v>
      </c>
      <c r="B50" s="54">
        <v>1</v>
      </c>
      <c r="C50" s="49">
        <f t="shared" si="22"/>
        <v>8.4251456133233159E-3</v>
      </c>
      <c r="D50" s="49">
        <f t="shared" si="22"/>
        <v>1.6561599281883266E-2</v>
      </c>
      <c r="E50" s="49">
        <f t="shared" si="22"/>
        <v>9.92676665605461E-4</v>
      </c>
      <c r="F50" s="49">
        <f t="shared" si="22"/>
        <v>1.6561599281883266E-2</v>
      </c>
      <c r="G50" s="49">
        <f t="shared" si="22"/>
        <v>4.963383328027305E-4</v>
      </c>
      <c r="H50" s="49">
        <f t="shared" si="23"/>
        <v>0.11847861018735913</v>
      </c>
      <c r="I50" s="49">
        <f t="shared" si="23"/>
        <v>0.23289748990148343</v>
      </c>
      <c r="J50" s="49">
        <f t="shared" si="23"/>
        <v>0.20939273415115192</v>
      </c>
      <c r="K50" s="49">
        <f t="shared" si="23"/>
        <v>0.23289748990148343</v>
      </c>
      <c r="L50" s="49">
        <f t="shared" si="23"/>
        <v>0.41878546830230384</v>
      </c>
      <c r="M50" s="59">
        <f t="shared" si="24"/>
        <v>1.2124517924437817</v>
      </c>
    </row>
    <row r="51" spans="1:23" x14ac:dyDescent="0.25">
      <c r="A51" s="53">
        <f t="shared" si="21"/>
        <v>50</v>
      </c>
      <c r="B51" s="48">
        <v>1</v>
      </c>
      <c r="C51" s="49">
        <f t="shared" si="22"/>
        <v>8.4251456133233159E-3</v>
      </c>
      <c r="D51" s="49">
        <f t="shared" si="22"/>
        <v>1.6561599281883266E-2</v>
      </c>
      <c r="E51" s="49">
        <f t="shared" si="22"/>
        <v>9.92676665605461E-4</v>
      </c>
      <c r="F51" s="49">
        <f t="shared" si="22"/>
        <v>1.6561599281883266E-2</v>
      </c>
      <c r="G51" s="49">
        <f t="shared" si="22"/>
        <v>4.963383328027305E-4</v>
      </c>
      <c r="H51" s="49">
        <f t="shared" si="23"/>
        <v>0.14626988912019648</v>
      </c>
      <c r="I51" s="49">
        <f t="shared" si="23"/>
        <v>0.28752776531047342</v>
      </c>
      <c r="J51" s="49">
        <f t="shared" si="23"/>
        <v>0.25850954833475553</v>
      </c>
      <c r="K51" s="49">
        <f t="shared" si="23"/>
        <v>0.28752776531047342</v>
      </c>
      <c r="L51" s="49">
        <f t="shared" si="23"/>
        <v>0.51701909666951107</v>
      </c>
      <c r="M51" s="59">
        <f t="shared" si="24"/>
        <v>1.4968540647454098</v>
      </c>
    </row>
    <row r="52" spans="1:23" ht="14.4" thickBot="1" x14ac:dyDescent="0.3">
      <c r="A52" s="53">
        <f t="shared" si="21"/>
        <v>125</v>
      </c>
      <c r="B52" s="48">
        <v>1</v>
      </c>
      <c r="C52" s="49">
        <f>(1/($S$2*((N$11*$B52)/S$11)*($F$2-$G$2)))</f>
        <v>8.4251456133233159E-3</v>
      </c>
      <c r="D52" s="49">
        <f>(1/($S$2*((O$11*$B52)/T$11)*($F$2-$G$2)))</f>
        <v>1.6561599281883266E-2</v>
      </c>
      <c r="E52" s="49">
        <f>(1/($S$2*((P$11*$B52)/U$11)*($F$2-$G$2)))</f>
        <v>9.92676665605461E-4</v>
      </c>
      <c r="F52" s="49">
        <f>(1/($S$2*((Q$11*$B52)/V$11)*($F$2-$G$2)))</f>
        <v>1.6561599281883266E-2</v>
      </c>
      <c r="G52" s="49">
        <f>(1/($S$2*((R$11*$B52)/W$11)*($F$2-$G$2)))</f>
        <v>4.963383328027305E-4</v>
      </c>
      <c r="H52" s="49">
        <f>D22^2*C52</f>
        <v>0.91418680700122767</v>
      </c>
      <c r="I52" s="49">
        <f>E22^2*D52</f>
        <v>1.7970485331904584</v>
      </c>
      <c r="J52" s="49">
        <f>F22^2*E52</f>
        <v>1.6156846770922217</v>
      </c>
      <c r="K52" s="49">
        <f>G22^2*F52</f>
        <v>1.7970485331904584</v>
      </c>
      <c r="L52" s="49">
        <f>H22^2*G52</f>
        <v>3.2313693541844435</v>
      </c>
      <c r="M52" s="59">
        <f>SUM(H52:L52)</f>
        <v>9.3553379046588105</v>
      </c>
    </row>
    <row r="53" spans="1:23" ht="28.2" thickBot="1" x14ac:dyDescent="0.3">
      <c r="A53" s="73" t="s">
        <v>115</v>
      </c>
      <c r="W53" s="72"/>
    </row>
    <row r="54" spans="1:23" ht="14.4" thickBot="1" x14ac:dyDescent="0.3"/>
    <row r="55" spans="1:23" ht="28.2" thickBot="1" x14ac:dyDescent="0.3">
      <c r="A55" s="66" t="s">
        <v>17</v>
      </c>
      <c r="B55" s="65" t="s">
        <v>93</v>
      </c>
      <c r="C55" s="60" t="s">
        <v>121</v>
      </c>
      <c r="D55" s="60" t="s">
        <v>122</v>
      </c>
      <c r="E55" s="60" t="s">
        <v>123</v>
      </c>
      <c r="F55" s="60" t="s">
        <v>124</v>
      </c>
      <c r="G55" s="60" t="s">
        <v>125</v>
      </c>
      <c r="H55" s="60" t="s">
        <v>116</v>
      </c>
      <c r="I55" s="60" t="s">
        <v>117</v>
      </c>
      <c r="J55" s="60" t="s">
        <v>118</v>
      </c>
      <c r="K55" s="60" t="s">
        <v>119</v>
      </c>
      <c r="L55" s="60" t="s">
        <v>120</v>
      </c>
    </row>
    <row r="56" spans="1:23" x14ac:dyDescent="0.25">
      <c r="A56" s="53">
        <f>A42</f>
        <v>5</v>
      </c>
      <c r="B56" s="48">
        <f>B42</f>
        <v>1</v>
      </c>
      <c r="C56" s="49">
        <f t="shared" ref="C56:G65" si="25">$C$2*N$11*$B56*S$11*I12</f>
        <v>6.0575428634147009E-9</v>
      </c>
      <c r="D56" s="49">
        <f t="shared" si="25"/>
        <v>6.163134346457016E-9</v>
      </c>
      <c r="E56" s="49">
        <f t="shared" si="25"/>
        <v>5.141218933769157E-8</v>
      </c>
      <c r="F56" s="49">
        <f t="shared" si="25"/>
        <v>6.163134346457016E-9</v>
      </c>
      <c r="G56" s="49">
        <f t="shared" si="25"/>
        <v>1.0282437867538314E-7</v>
      </c>
      <c r="H56" s="49">
        <f t="shared" ref="H56:L65" si="26">(D12*I12*$M$2*C56)/$T$2</f>
        <v>1.1581149608514762E-2</v>
      </c>
      <c r="I56" s="49">
        <f t="shared" si="26"/>
        <v>2.3566050635738814E-2</v>
      </c>
      <c r="J56" s="49">
        <f t="shared" si="26"/>
        <v>0.38068599847211759</v>
      </c>
      <c r="K56" s="49">
        <f t="shared" si="26"/>
        <v>2.3566050635738814E-2</v>
      </c>
      <c r="L56" s="49">
        <f t="shared" si="26"/>
        <v>1.5227439938884704</v>
      </c>
      <c r="M56" s="59">
        <f>SUM(H56,I56,K56)</f>
        <v>5.8713250879992393E-2</v>
      </c>
    </row>
    <row r="57" spans="1:23" x14ac:dyDescent="0.25">
      <c r="A57" s="53">
        <f t="shared" ref="A57:B66" si="27">A43</f>
        <v>10</v>
      </c>
      <c r="B57" s="48">
        <f t="shared" si="27"/>
        <v>1</v>
      </c>
      <c r="C57" s="49">
        <f t="shared" si="25"/>
        <v>6.0575428634147009E-9</v>
      </c>
      <c r="D57" s="49">
        <f t="shared" si="25"/>
        <v>6.163134346457016E-9</v>
      </c>
      <c r="E57" s="49">
        <f t="shared" si="25"/>
        <v>5.141218933769157E-8</v>
      </c>
      <c r="F57" s="49">
        <f t="shared" si="25"/>
        <v>6.163134346457016E-9</v>
      </c>
      <c r="G57" s="49">
        <f t="shared" si="25"/>
        <v>1.0282437867538314E-7</v>
      </c>
      <c r="H57" s="49">
        <f t="shared" si="26"/>
        <v>2.3162299217029524E-2</v>
      </c>
      <c r="I57" s="49">
        <f t="shared" si="26"/>
        <v>4.7132101271477628E-2</v>
      </c>
      <c r="J57" s="49">
        <f t="shared" si="26"/>
        <v>0.76137199694423519</v>
      </c>
      <c r="K57" s="49">
        <f t="shared" si="26"/>
        <v>4.7132101271477628E-2</v>
      </c>
      <c r="L57" s="49">
        <f t="shared" si="26"/>
        <v>3.0454879877769407</v>
      </c>
      <c r="M57" s="59">
        <f t="shared" ref="M57:M65" si="28">SUM(H57,I57,K57)</f>
        <v>0.11742650175998479</v>
      </c>
    </row>
    <row r="58" spans="1:23" x14ac:dyDescent="0.25">
      <c r="A58" s="53">
        <f t="shared" si="27"/>
        <v>15</v>
      </c>
      <c r="B58" s="48">
        <f t="shared" si="27"/>
        <v>1</v>
      </c>
      <c r="C58" s="49">
        <f t="shared" si="25"/>
        <v>6.0575428634147009E-9</v>
      </c>
      <c r="D58" s="49">
        <f t="shared" si="25"/>
        <v>6.163134346457016E-9</v>
      </c>
      <c r="E58" s="49">
        <f t="shared" si="25"/>
        <v>5.141218933769157E-8</v>
      </c>
      <c r="F58" s="49">
        <f t="shared" si="25"/>
        <v>6.163134346457016E-9</v>
      </c>
      <c r="G58" s="49">
        <f t="shared" si="25"/>
        <v>1.0282437867538314E-7</v>
      </c>
      <c r="H58" s="49">
        <f t="shared" si="26"/>
        <v>3.4743448825544289E-2</v>
      </c>
      <c r="I58" s="49">
        <f t="shared" si="26"/>
        <v>7.0698151907216428E-2</v>
      </c>
      <c r="J58" s="49">
        <f t="shared" si="26"/>
        <v>1.1420579954163528</v>
      </c>
      <c r="K58" s="49">
        <f t="shared" si="26"/>
        <v>7.0698151907216428E-2</v>
      </c>
      <c r="L58" s="49">
        <f t="shared" si="26"/>
        <v>4.5682319816654111</v>
      </c>
      <c r="M58" s="59">
        <f t="shared" si="28"/>
        <v>0.17613975263997714</v>
      </c>
    </row>
    <row r="59" spans="1:23" x14ac:dyDescent="0.25">
      <c r="A59" s="53">
        <f t="shared" si="27"/>
        <v>20</v>
      </c>
      <c r="B59" s="48">
        <f t="shared" si="27"/>
        <v>1</v>
      </c>
      <c r="C59" s="49">
        <f t="shared" si="25"/>
        <v>6.0575428634147009E-9</v>
      </c>
      <c r="D59" s="49">
        <f t="shared" si="25"/>
        <v>6.163134346457016E-9</v>
      </c>
      <c r="E59" s="49">
        <f t="shared" si="25"/>
        <v>5.141218933769157E-8</v>
      </c>
      <c r="F59" s="49">
        <f t="shared" si="25"/>
        <v>6.163134346457016E-9</v>
      </c>
      <c r="G59" s="49">
        <f t="shared" si="25"/>
        <v>1.0282437867538314E-7</v>
      </c>
      <c r="H59" s="49">
        <f t="shared" si="26"/>
        <v>4.6324598434059047E-2</v>
      </c>
      <c r="I59" s="49">
        <f t="shared" si="26"/>
        <v>9.4264202542955255E-2</v>
      </c>
      <c r="J59" s="49">
        <f t="shared" si="26"/>
        <v>1.5227439938884704</v>
      </c>
      <c r="K59" s="49">
        <f t="shared" si="26"/>
        <v>9.4264202542955255E-2</v>
      </c>
      <c r="L59" s="49">
        <f t="shared" si="26"/>
        <v>6.0909759755538815</v>
      </c>
      <c r="M59" s="59">
        <f t="shared" si="28"/>
        <v>0.23485300351996957</v>
      </c>
    </row>
    <row r="60" spans="1:23" x14ac:dyDescent="0.25">
      <c r="A60" s="53">
        <f t="shared" si="27"/>
        <v>25</v>
      </c>
      <c r="B60" s="48">
        <f t="shared" si="27"/>
        <v>1</v>
      </c>
      <c r="C60" s="49">
        <f t="shared" si="25"/>
        <v>6.0575428634147009E-9</v>
      </c>
      <c r="D60" s="49">
        <f t="shared" si="25"/>
        <v>6.163134346457016E-9</v>
      </c>
      <c r="E60" s="49">
        <f t="shared" si="25"/>
        <v>5.141218933769157E-8</v>
      </c>
      <c r="F60" s="49">
        <f t="shared" si="25"/>
        <v>6.163134346457016E-9</v>
      </c>
      <c r="G60" s="49">
        <f t="shared" si="25"/>
        <v>1.0282437867538314E-7</v>
      </c>
      <c r="H60" s="49">
        <f t="shared" si="26"/>
        <v>5.7905748042573812E-2</v>
      </c>
      <c r="I60" s="49">
        <f t="shared" si="26"/>
        <v>0.11783025317869407</v>
      </c>
      <c r="J60" s="49">
        <f t="shared" si="26"/>
        <v>1.903429992360588</v>
      </c>
      <c r="K60" s="49">
        <f t="shared" si="26"/>
        <v>0.11783025317869407</v>
      </c>
      <c r="L60" s="49">
        <f t="shared" si="26"/>
        <v>7.6137199694423519</v>
      </c>
      <c r="M60" s="59">
        <f t="shared" si="28"/>
        <v>0.29356625439996192</v>
      </c>
    </row>
    <row r="61" spans="1:23" x14ac:dyDescent="0.25">
      <c r="A61" s="53">
        <f t="shared" si="27"/>
        <v>30</v>
      </c>
      <c r="B61" s="48">
        <f t="shared" si="27"/>
        <v>1</v>
      </c>
      <c r="C61" s="49">
        <f t="shared" si="25"/>
        <v>6.0575428634147009E-9</v>
      </c>
      <c r="D61" s="49">
        <f t="shared" si="25"/>
        <v>6.163134346457016E-9</v>
      </c>
      <c r="E61" s="49">
        <f t="shared" si="25"/>
        <v>5.141218933769157E-8</v>
      </c>
      <c r="F61" s="49">
        <f t="shared" si="25"/>
        <v>6.163134346457016E-9</v>
      </c>
      <c r="G61" s="49">
        <f t="shared" si="25"/>
        <v>1.0282437867538314E-7</v>
      </c>
      <c r="H61" s="49">
        <f t="shared" si="26"/>
        <v>6.9486897651088578E-2</v>
      </c>
      <c r="I61" s="49">
        <f t="shared" si="26"/>
        <v>0.14139630381443286</v>
      </c>
      <c r="J61" s="49">
        <f t="shared" si="26"/>
        <v>2.2841159908327056</v>
      </c>
      <c r="K61" s="49">
        <f t="shared" si="26"/>
        <v>0.14139630381443286</v>
      </c>
      <c r="L61" s="49">
        <f t="shared" si="26"/>
        <v>9.1364639633308222</v>
      </c>
      <c r="M61" s="59">
        <f t="shared" si="28"/>
        <v>0.35227950527995427</v>
      </c>
    </row>
    <row r="62" spans="1:23" x14ac:dyDescent="0.25">
      <c r="A62" s="53">
        <f t="shared" si="27"/>
        <v>35</v>
      </c>
      <c r="B62" s="48">
        <f t="shared" si="27"/>
        <v>1</v>
      </c>
      <c r="C62" s="49">
        <f t="shared" si="25"/>
        <v>6.0575428634147009E-9</v>
      </c>
      <c r="D62" s="49">
        <f t="shared" si="25"/>
        <v>6.163134346457016E-9</v>
      </c>
      <c r="E62" s="49">
        <f t="shared" si="25"/>
        <v>5.141218933769157E-8</v>
      </c>
      <c r="F62" s="49">
        <f t="shared" si="25"/>
        <v>6.163134346457016E-9</v>
      </c>
      <c r="G62" s="49">
        <f t="shared" si="25"/>
        <v>1.0282437867538314E-7</v>
      </c>
      <c r="H62" s="49">
        <f t="shared" si="26"/>
        <v>8.1068047259603329E-2</v>
      </c>
      <c r="I62" s="49">
        <f t="shared" si="26"/>
        <v>0.16496235445017166</v>
      </c>
      <c r="J62" s="49">
        <f t="shared" si="26"/>
        <v>2.6648019893048231</v>
      </c>
      <c r="K62" s="49">
        <f t="shared" si="26"/>
        <v>0.16496235445017166</v>
      </c>
      <c r="L62" s="49">
        <f t="shared" si="26"/>
        <v>10.659207957219293</v>
      </c>
      <c r="M62" s="59">
        <f t="shared" si="28"/>
        <v>0.41099275615994663</v>
      </c>
    </row>
    <row r="63" spans="1:23" x14ac:dyDescent="0.25">
      <c r="A63" s="53">
        <f t="shared" si="27"/>
        <v>40</v>
      </c>
      <c r="B63" s="48">
        <f t="shared" si="27"/>
        <v>1</v>
      </c>
      <c r="C63" s="49">
        <f t="shared" si="25"/>
        <v>6.0575428634147009E-9</v>
      </c>
      <c r="D63" s="49">
        <f t="shared" si="25"/>
        <v>6.163134346457016E-9</v>
      </c>
      <c r="E63" s="49">
        <f t="shared" si="25"/>
        <v>5.141218933769157E-8</v>
      </c>
      <c r="F63" s="49">
        <f t="shared" si="25"/>
        <v>6.163134346457016E-9</v>
      </c>
      <c r="G63" s="49">
        <f t="shared" si="25"/>
        <v>1.0282437867538314E-7</v>
      </c>
      <c r="H63" s="49">
        <f t="shared" si="26"/>
        <v>9.2649196868118094E-2</v>
      </c>
      <c r="I63" s="49">
        <f t="shared" si="26"/>
        <v>0.18852840508591051</v>
      </c>
      <c r="J63" s="49">
        <f t="shared" si="26"/>
        <v>3.0454879877769407</v>
      </c>
      <c r="K63" s="49">
        <f t="shared" si="26"/>
        <v>0.18852840508591051</v>
      </c>
      <c r="L63" s="49">
        <f t="shared" si="26"/>
        <v>12.181951951107763</v>
      </c>
      <c r="M63" s="59">
        <f t="shared" si="28"/>
        <v>0.46970600703993914</v>
      </c>
    </row>
    <row r="64" spans="1:23" x14ac:dyDescent="0.25">
      <c r="A64" s="53">
        <f t="shared" si="27"/>
        <v>45</v>
      </c>
      <c r="B64" s="48">
        <f t="shared" si="27"/>
        <v>1</v>
      </c>
      <c r="C64" s="49">
        <f t="shared" si="25"/>
        <v>6.0575428634147009E-9</v>
      </c>
      <c r="D64" s="49">
        <f t="shared" si="25"/>
        <v>6.163134346457016E-9</v>
      </c>
      <c r="E64" s="49">
        <f t="shared" si="25"/>
        <v>5.141218933769157E-8</v>
      </c>
      <c r="F64" s="49">
        <f t="shared" si="25"/>
        <v>6.163134346457016E-9</v>
      </c>
      <c r="G64" s="49">
        <f t="shared" si="25"/>
        <v>1.0282437867538314E-7</v>
      </c>
      <c r="H64" s="49">
        <f t="shared" si="26"/>
        <v>0.10423034647663287</v>
      </c>
      <c r="I64" s="49">
        <f t="shared" si="26"/>
        <v>0.21209445572164928</v>
      </c>
      <c r="J64" s="49">
        <f t="shared" si="26"/>
        <v>3.4261739862490574</v>
      </c>
      <c r="K64" s="49">
        <f t="shared" si="26"/>
        <v>0.21209445572164928</v>
      </c>
      <c r="L64" s="49">
        <f t="shared" si="26"/>
        <v>13.70469594499623</v>
      </c>
      <c r="M64" s="59">
        <f t="shared" si="28"/>
        <v>0.5284192579199315</v>
      </c>
    </row>
    <row r="65" spans="1:14" x14ac:dyDescent="0.25">
      <c r="A65" s="53">
        <f t="shared" si="27"/>
        <v>50</v>
      </c>
      <c r="B65" s="48">
        <f t="shared" si="27"/>
        <v>1</v>
      </c>
      <c r="C65" s="49">
        <f t="shared" si="25"/>
        <v>6.0575428634147009E-9</v>
      </c>
      <c r="D65" s="49">
        <f t="shared" si="25"/>
        <v>6.163134346457016E-9</v>
      </c>
      <c r="E65" s="49">
        <f t="shared" si="25"/>
        <v>5.141218933769157E-8</v>
      </c>
      <c r="F65" s="49">
        <f t="shared" si="25"/>
        <v>6.163134346457016E-9</v>
      </c>
      <c r="G65" s="49">
        <f t="shared" si="25"/>
        <v>1.0282437867538314E-7</v>
      </c>
      <c r="H65" s="49">
        <f t="shared" si="26"/>
        <v>0.11581149608514762</v>
      </c>
      <c r="I65" s="49">
        <f t="shared" si="26"/>
        <v>0.23566050635738814</v>
      </c>
      <c r="J65" s="49">
        <f t="shared" si="26"/>
        <v>3.8068599847211759</v>
      </c>
      <c r="K65" s="49">
        <f t="shared" si="26"/>
        <v>0.23566050635738814</v>
      </c>
      <c r="L65" s="49">
        <f t="shared" si="26"/>
        <v>15.227439938884704</v>
      </c>
      <c r="M65" s="59">
        <f t="shared" si="28"/>
        <v>0.58713250879992385</v>
      </c>
    </row>
    <row r="66" spans="1:14" ht="14.4" thickBot="1" x14ac:dyDescent="0.3">
      <c r="A66" s="53">
        <f t="shared" si="27"/>
        <v>125</v>
      </c>
      <c r="B66" s="48">
        <f t="shared" si="27"/>
        <v>1</v>
      </c>
      <c r="C66" s="49">
        <f>$C$2*N$11*$B66*S$11*I22</f>
        <v>6.0575428634147009E-9</v>
      </c>
      <c r="D66" s="49">
        <f>$C$2*O$11*$B66*T$11*J22</f>
        <v>6.163134346457016E-9</v>
      </c>
      <c r="E66" s="49">
        <f>$C$2*P$11*$B66*U$11*K22</f>
        <v>5.141218933769157E-8</v>
      </c>
      <c r="F66" s="49">
        <f>$C$2*Q$11*$B66*V$11*L22</f>
        <v>6.163134346457016E-9</v>
      </c>
      <c r="G66" s="49">
        <f>$C$2*R$11*$B66*W$11*M22</f>
        <v>1.0282437867538314E-7</v>
      </c>
      <c r="H66" s="49">
        <f>(D22*I22*$M$2*C66)/$T$2</f>
        <v>0.28952874021286906</v>
      </c>
      <c r="I66" s="49">
        <f>(E22*J22*$M$2*D66)/$T$2</f>
        <v>0.58915126589347022</v>
      </c>
      <c r="J66" s="49">
        <f>(F22*K22*$M$2*E66)/$T$2</f>
        <v>9.5171499618029394</v>
      </c>
      <c r="K66" s="49">
        <f>(G22*L22*$M$2*F66)/$T$2</f>
        <v>0.58915126589347022</v>
      </c>
      <c r="L66" s="49">
        <f>(H22*M22*$M$2*G66)/$T$2</f>
        <v>38.068599847211757</v>
      </c>
      <c r="M66" s="59">
        <f>SUM(H66,I66,K66)</f>
        <v>1.4678312719998097</v>
      </c>
    </row>
    <row r="67" spans="1:14" ht="42" thickBot="1" x14ac:dyDescent="0.3">
      <c r="A67" s="73" t="s">
        <v>126</v>
      </c>
    </row>
    <row r="68" spans="1:14" ht="14.4" thickBot="1" x14ac:dyDescent="0.3"/>
    <row r="69" spans="1:14" ht="28.2" thickBot="1" x14ac:dyDescent="0.3">
      <c r="A69" s="66" t="s">
        <v>17</v>
      </c>
      <c r="B69" s="65" t="s">
        <v>93</v>
      </c>
      <c r="C69" s="60" t="s">
        <v>127</v>
      </c>
      <c r="D69" s="60" t="s">
        <v>128</v>
      </c>
      <c r="E69" s="60" t="s">
        <v>129</v>
      </c>
      <c r="F69" s="60" t="s">
        <v>130</v>
      </c>
      <c r="G69" s="60" t="s">
        <v>131</v>
      </c>
      <c r="H69" s="60" t="s">
        <v>132</v>
      </c>
      <c r="I69" s="60" t="s">
        <v>133</v>
      </c>
      <c r="J69" s="60" t="s">
        <v>134</v>
      </c>
      <c r="K69" s="60" t="s">
        <v>135</v>
      </c>
      <c r="L69" s="60" t="s">
        <v>136</v>
      </c>
    </row>
    <row r="70" spans="1:14" x14ac:dyDescent="0.25">
      <c r="A70" s="53">
        <f>A56</f>
        <v>5</v>
      </c>
      <c r="B70" s="48">
        <f t="shared" ref="B70:B80" si="29">B42</f>
        <v>1</v>
      </c>
      <c r="C70" s="49">
        <f>$C$2*N$11*$B70*S$11*$F$2</f>
        <v>1.892982144817094E-9</v>
      </c>
      <c r="D70" s="49">
        <f t="shared" ref="D70:G79" si="30">$C$2*O$11*$B70*T$11*$F$2</f>
        <v>9.6298974163390865E-10</v>
      </c>
      <c r="E70" s="49">
        <f t="shared" si="30"/>
        <v>1.6066309168028615E-8</v>
      </c>
      <c r="F70" s="49">
        <f t="shared" si="30"/>
        <v>9.6298974163390865E-10</v>
      </c>
      <c r="G70" s="49">
        <f t="shared" si="30"/>
        <v>3.2132618336057229E-8</v>
      </c>
      <c r="H70" s="49">
        <f t="shared" ref="H70:L79" si="31">C70*$M$2*$F$2</f>
        <v>6.6254375068598298E-3</v>
      </c>
      <c r="I70" s="49">
        <f t="shared" si="31"/>
        <v>3.3704640957186809E-3</v>
      </c>
      <c r="J70" s="49">
        <f t="shared" si="31"/>
        <v>5.6232082088100162E-2</v>
      </c>
      <c r="K70" s="49">
        <f t="shared" si="31"/>
        <v>3.3704640957186809E-3</v>
      </c>
      <c r="L70" s="49">
        <f t="shared" si="31"/>
        <v>0.11246416417620032</v>
      </c>
      <c r="M70" s="59">
        <f>SUM(H70:L70)</f>
        <v>0.18206261196259768</v>
      </c>
      <c r="N70" s="59"/>
    </row>
    <row r="71" spans="1:14" x14ac:dyDescent="0.25">
      <c r="A71" s="53">
        <f t="shared" ref="A71:A80" si="32">A57</f>
        <v>10</v>
      </c>
      <c r="B71" s="48">
        <f t="shared" si="29"/>
        <v>1</v>
      </c>
      <c r="C71" s="49">
        <f t="shared" ref="C71:C79" si="33">$C$2*N$11*$B71*S$11*$F$2</f>
        <v>1.892982144817094E-9</v>
      </c>
      <c r="D71" s="49">
        <f t="shared" si="30"/>
        <v>9.6298974163390865E-10</v>
      </c>
      <c r="E71" s="49">
        <f t="shared" si="30"/>
        <v>1.6066309168028615E-8</v>
      </c>
      <c r="F71" s="49">
        <f t="shared" si="30"/>
        <v>9.6298974163390865E-10</v>
      </c>
      <c r="G71" s="49">
        <f t="shared" si="30"/>
        <v>3.2132618336057229E-8</v>
      </c>
      <c r="H71" s="49">
        <f t="shared" si="31"/>
        <v>6.6254375068598298E-3</v>
      </c>
      <c r="I71" s="49">
        <f t="shared" si="31"/>
        <v>3.3704640957186809E-3</v>
      </c>
      <c r="J71" s="49">
        <f t="shared" si="31"/>
        <v>5.6232082088100162E-2</v>
      </c>
      <c r="K71" s="49">
        <f t="shared" si="31"/>
        <v>3.3704640957186809E-3</v>
      </c>
      <c r="L71" s="49">
        <f t="shared" si="31"/>
        <v>0.11246416417620032</v>
      </c>
      <c r="M71" s="59">
        <f t="shared" ref="M71:M79" si="34">SUM(H71:L71)</f>
        <v>0.18206261196259768</v>
      </c>
    </row>
    <row r="72" spans="1:14" x14ac:dyDescent="0.25">
      <c r="A72" s="53">
        <f t="shared" si="32"/>
        <v>15</v>
      </c>
      <c r="B72" s="48">
        <f t="shared" si="29"/>
        <v>1</v>
      </c>
      <c r="C72" s="49">
        <f t="shared" si="33"/>
        <v>1.892982144817094E-9</v>
      </c>
      <c r="D72" s="49">
        <f t="shared" si="30"/>
        <v>9.6298974163390865E-10</v>
      </c>
      <c r="E72" s="49">
        <f t="shared" si="30"/>
        <v>1.6066309168028615E-8</v>
      </c>
      <c r="F72" s="49">
        <f t="shared" si="30"/>
        <v>9.6298974163390865E-10</v>
      </c>
      <c r="G72" s="49">
        <f t="shared" si="30"/>
        <v>3.2132618336057229E-8</v>
      </c>
      <c r="H72" s="49">
        <f t="shared" si="31"/>
        <v>6.6254375068598298E-3</v>
      </c>
      <c r="I72" s="49">
        <f t="shared" si="31"/>
        <v>3.3704640957186809E-3</v>
      </c>
      <c r="J72" s="49">
        <f t="shared" si="31"/>
        <v>5.6232082088100162E-2</v>
      </c>
      <c r="K72" s="49">
        <f t="shared" si="31"/>
        <v>3.3704640957186809E-3</v>
      </c>
      <c r="L72" s="49">
        <f t="shared" si="31"/>
        <v>0.11246416417620032</v>
      </c>
      <c r="M72" s="59">
        <f t="shared" si="34"/>
        <v>0.18206261196259768</v>
      </c>
    </row>
    <row r="73" spans="1:14" x14ac:dyDescent="0.25">
      <c r="A73" s="53">
        <f t="shared" si="32"/>
        <v>20</v>
      </c>
      <c r="B73" s="48">
        <f t="shared" si="29"/>
        <v>1</v>
      </c>
      <c r="C73" s="49">
        <f t="shared" si="33"/>
        <v>1.892982144817094E-9</v>
      </c>
      <c r="D73" s="49">
        <f t="shared" si="30"/>
        <v>9.6298974163390865E-10</v>
      </c>
      <c r="E73" s="49">
        <f t="shared" si="30"/>
        <v>1.6066309168028615E-8</v>
      </c>
      <c r="F73" s="49">
        <f t="shared" si="30"/>
        <v>9.6298974163390865E-10</v>
      </c>
      <c r="G73" s="49">
        <f t="shared" si="30"/>
        <v>3.2132618336057229E-8</v>
      </c>
      <c r="H73" s="49">
        <f t="shared" si="31"/>
        <v>6.6254375068598298E-3</v>
      </c>
      <c r="I73" s="49">
        <f t="shared" si="31"/>
        <v>3.3704640957186809E-3</v>
      </c>
      <c r="J73" s="49">
        <f t="shared" si="31"/>
        <v>5.6232082088100162E-2</v>
      </c>
      <c r="K73" s="49">
        <f t="shared" si="31"/>
        <v>3.3704640957186809E-3</v>
      </c>
      <c r="L73" s="49">
        <f t="shared" si="31"/>
        <v>0.11246416417620032</v>
      </c>
      <c r="M73" s="59">
        <f t="shared" si="34"/>
        <v>0.18206261196259768</v>
      </c>
    </row>
    <row r="74" spans="1:14" x14ac:dyDescent="0.25">
      <c r="A74" s="53">
        <f t="shared" si="32"/>
        <v>25</v>
      </c>
      <c r="B74" s="48">
        <f t="shared" si="29"/>
        <v>1</v>
      </c>
      <c r="C74" s="49">
        <f t="shared" si="33"/>
        <v>1.892982144817094E-9</v>
      </c>
      <c r="D74" s="49">
        <f t="shared" si="30"/>
        <v>9.6298974163390865E-10</v>
      </c>
      <c r="E74" s="49">
        <f t="shared" si="30"/>
        <v>1.6066309168028615E-8</v>
      </c>
      <c r="F74" s="49">
        <f t="shared" si="30"/>
        <v>9.6298974163390865E-10</v>
      </c>
      <c r="G74" s="49">
        <f t="shared" si="30"/>
        <v>3.2132618336057229E-8</v>
      </c>
      <c r="H74" s="49">
        <f t="shared" si="31"/>
        <v>6.6254375068598298E-3</v>
      </c>
      <c r="I74" s="49">
        <f t="shared" si="31"/>
        <v>3.3704640957186809E-3</v>
      </c>
      <c r="J74" s="49">
        <f t="shared" si="31"/>
        <v>5.6232082088100162E-2</v>
      </c>
      <c r="K74" s="49">
        <f t="shared" si="31"/>
        <v>3.3704640957186809E-3</v>
      </c>
      <c r="L74" s="49">
        <f t="shared" si="31"/>
        <v>0.11246416417620032</v>
      </c>
      <c r="M74" s="59">
        <f t="shared" si="34"/>
        <v>0.18206261196259768</v>
      </c>
    </row>
    <row r="75" spans="1:14" x14ac:dyDescent="0.25">
      <c r="A75" s="53">
        <f t="shared" si="32"/>
        <v>30</v>
      </c>
      <c r="B75" s="48">
        <f t="shared" si="29"/>
        <v>1</v>
      </c>
      <c r="C75" s="49">
        <f t="shared" si="33"/>
        <v>1.892982144817094E-9</v>
      </c>
      <c r="D75" s="49">
        <f t="shared" si="30"/>
        <v>9.6298974163390865E-10</v>
      </c>
      <c r="E75" s="49">
        <f t="shared" si="30"/>
        <v>1.6066309168028615E-8</v>
      </c>
      <c r="F75" s="49">
        <f t="shared" si="30"/>
        <v>9.6298974163390865E-10</v>
      </c>
      <c r="G75" s="49">
        <f t="shared" si="30"/>
        <v>3.2132618336057229E-8</v>
      </c>
      <c r="H75" s="49">
        <f t="shared" si="31"/>
        <v>6.6254375068598298E-3</v>
      </c>
      <c r="I75" s="49">
        <f t="shared" si="31"/>
        <v>3.3704640957186809E-3</v>
      </c>
      <c r="J75" s="49">
        <f t="shared" si="31"/>
        <v>5.6232082088100162E-2</v>
      </c>
      <c r="K75" s="49">
        <f t="shared" si="31"/>
        <v>3.3704640957186809E-3</v>
      </c>
      <c r="L75" s="49">
        <f t="shared" si="31"/>
        <v>0.11246416417620032</v>
      </c>
      <c r="M75" s="59">
        <f t="shared" si="34"/>
        <v>0.18206261196259768</v>
      </c>
    </row>
    <row r="76" spans="1:14" x14ac:dyDescent="0.25">
      <c r="A76" s="53">
        <f t="shared" si="32"/>
        <v>35</v>
      </c>
      <c r="B76" s="48">
        <f t="shared" si="29"/>
        <v>1</v>
      </c>
      <c r="C76" s="49">
        <f t="shared" si="33"/>
        <v>1.892982144817094E-9</v>
      </c>
      <c r="D76" s="49">
        <f t="shared" si="30"/>
        <v>9.6298974163390865E-10</v>
      </c>
      <c r="E76" s="49">
        <f t="shared" si="30"/>
        <v>1.6066309168028615E-8</v>
      </c>
      <c r="F76" s="49">
        <f t="shared" si="30"/>
        <v>9.6298974163390865E-10</v>
      </c>
      <c r="G76" s="49">
        <f t="shared" si="30"/>
        <v>3.2132618336057229E-8</v>
      </c>
      <c r="H76" s="49">
        <f t="shared" si="31"/>
        <v>6.6254375068598298E-3</v>
      </c>
      <c r="I76" s="49">
        <f t="shared" si="31"/>
        <v>3.3704640957186809E-3</v>
      </c>
      <c r="J76" s="49">
        <f t="shared" si="31"/>
        <v>5.6232082088100162E-2</v>
      </c>
      <c r="K76" s="49">
        <f t="shared" si="31"/>
        <v>3.3704640957186809E-3</v>
      </c>
      <c r="L76" s="49">
        <f t="shared" si="31"/>
        <v>0.11246416417620032</v>
      </c>
      <c r="M76" s="59">
        <f t="shared" si="34"/>
        <v>0.18206261196259768</v>
      </c>
    </row>
    <row r="77" spans="1:14" x14ac:dyDescent="0.25">
      <c r="A77" s="53">
        <f t="shared" si="32"/>
        <v>40</v>
      </c>
      <c r="B77" s="48">
        <f t="shared" si="29"/>
        <v>1</v>
      </c>
      <c r="C77" s="49">
        <f t="shared" si="33"/>
        <v>1.892982144817094E-9</v>
      </c>
      <c r="D77" s="49">
        <f t="shared" si="30"/>
        <v>9.6298974163390865E-10</v>
      </c>
      <c r="E77" s="49">
        <f t="shared" si="30"/>
        <v>1.6066309168028615E-8</v>
      </c>
      <c r="F77" s="49">
        <f t="shared" si="30"/>
        <v>9.6298974163390865E-10</v>
      </c>
      <c r="G77" s="49">
        <f t="shared" si="30"/>
        <v>3.2132618336057229E-8</v>
      </c>
      <c r="H77" s="49">
        <f t="shared" si="31"/>
        <v>6.6254375068598298E-3</v>
      </c>
      <c r="I77" s="49">
        <f t="shared" si="31"/>
        <v>3.3704640957186809E-3</v>
      </c>
      <c r="J77" s="49">
        <f t="shared" si="31"/>
        <v>5.6232082088100162E-2</v>
      </c>
      <c r="K77" s="49">
        <f t="shared" si="31"/>
        <v>3.3704640957186809E-3</v>
      </c>
      <c r="L77" s="49">
        <f t="shared" si="31"/>
        <v>0.11246416417620032</v>
      </c>
      <c r="M77" s="59">
        <f t="shared" si="34"/>
        <v>0.18206261196259768</v>
      </c>
    </row>
    <row r="78" spans="1:14" x14ac:dyDescent="0.25">
      <c r="A78" s="53">
        <f t="shared" si="32"/>
        <v>45</v>
      </c>
      <c r="B78" s="48">
        <f t="shared" si="29"/>
        <v>1</v>
      </c>
      <c r="C78" s="49">
        <f t="shared" si="33"/>
        <v>1.892982144817094E-9</v>
      </c>
      <c r="D78" s="49">
        <f t="shared" si="30"/>
        <v>9.6298974163390865E-10</v>
      </c>
      <c r="E78" s="49">
        <f t="shared" si="30"/>
        <v>1.6066309168028615E-8</v>
      </c>
      <c r="F78" s="49">
        <f t="shared" si="30"/>
        <v>9.6298974163390865E-10</v>
      </c>
      <c r="G78" s="49">
        <f t="shared" si="30"/>
        <v>3.2132618336057229E-8</v>
      </c>
      <c r="H78" s="49">
        <f t="shared" si="31"/>
        <v>6.6254375068598298E-3</v>
      </c>
      <c r="I78" s="49">
        <f t="shared" si="31"/>
        <v>3.3704640957186809E-3</v>
      </c>
      <c r="J78" s="49">
        <f t="shared" si="31"/>
        <v>5.6232082088100162E-2</v>
      </c>
      <c r="K78" s="49">
        <f t="shared" si="31"/>
        <v>3.3704640957186809E-3</v>
      </c>
      <c r="L78" s="49">
        <f t="shared" si="31"/>
        <v>0.11246416417620032</v>
      </c>
      <c r="M78" s="59">
        <f t="shared" si="34"/>
        <v>0.18206261196259768</v>
      </c>
    </row>
    <row r="79" spans="1:14" x14ac:dyDescent="0.25">
      <c r="A79" s="53">
        <f t="shared" si="32"/>
        <v>50</v>
      </c>
      <c r="B79" s="48">
        <f t="shared" si="29"/>
        <v>1</v>
      </c>
      <c r="C79" s="49">
        <f t="shared" si="33"/>
        <v>1.892982144817094E-9</v>
      </c>
      <c r="D79" s="49">
        <f t="shared" si="30"/>
        <v>9.6298974163390865E-10</v>
      </c>
      <c r="E79" s="49">
        <f t="shared" si="30"/>
        <v>1.6066309168028615E-8</v>
      </c>
      <c r="F79" s="49">
        <f t="shared" si="30"/>
        <v>9.6298974163390865E-10</v>
      </c>
      <c r="G79" s="49">
        <f t="shared" si="30"/>
        <v>3.2132618336057229E-8</v>
      </c>
      <c r="H79" s="49">
        <f t="shared" si="31"/>
        <v>6.6254375068598298E-3</v>
      </c>
      <c r="I79" s="49">
        <f t="shared" si="31"/>
        <v>3.3704640957186809E-3</v>
      </c>
      <c r="J79" s="49">
        <f t="shared" si="31"/>
        <v>5.6232082088100162E-2</v>
      </c>
      <c r="K79" s="49">
        <f t="shared" si="31"/>
        <v>3.3704640957186809E-3</v>
      </c>
      <c r="L79" s="49">
        <f t="shared" si="31"/>
        <v>0.11246416417620032</v>
      </c>
      <c r="M79" s="59">
        <f t="shared" si="34"/>
        <v>0.18206261196259768</v>
      </c>
    </row>
    <row r="80" spans="1:14" x14ac:dyDescent="0.25">
      <c r="A80" s="53">
        <f t="shared" si="32"/>
        <v>125</v>
      </c>
      <c r="B80" s="48">
        <f t="shared" si="29"/>
        <v>1</v>
      </c>
      <c r="C80" s="49">
        <f>$C$2*N$11*$B80*S$11*$F$2</f>
        <v>1.892982144817094E-9</v>
      </c>
      <c r="D80" s="49">
        <f>$C$2*O$11*$B80*T$11*$F$2</f>
        <v>9.6298974163390865E-10</v>
      </c>
      <c r="E80" s="49">
        <f>$C$2*P$11*$B80*U$11*$F$2</f>
        <v>1.6066309168028615E-8</v>
      </c>
      <c r="F80" s="49">
        <f>$C$2*Q$11*$B80*V$11*$F$2</f>
        <v>9.6298974163390865E-10</v>
      </c>
      <c r="G80" s="49">
        <f>$C$2*R$11*$B80*W$11*$F$2</f>
        <v>3.2132618336057229E-8</v>
      </c>
      <c r="H80" s="49">
        <f>C80*$M$2*$F$2</f>
        <v>6.6254375068598298E-3</v>
      </c>
      <c r="I80" s="49">
        <f>D80*$M$2*$F$2</f>
        <v>3.3704640957186809E-3</v>
      </c>
      <c r="J80" s="49">
        <f>E80*$M$2*$F$2</f>
        <v>5.6232082088100162E-2</v>
      </c>
      <c r="K80" s="49">
        <f>F80*$M$2*$F$2</f>
        <v>3.3704640957186809E-3</v>
      </c>
      <c r="L80" s="49">
        <f>G80*$M$2*$F$2</f>
        <v>0.11246416417620032</v>
      </c>
      <c r="M80" s="59">
        <f>SUM(H80:L80)</f>
        <v>0.18206261196259768</v>
      </c>
    </row>
    <row r="82" spans="1:16" ht="14.4" thickBot="1" x14ac:dyDescent="0.3"/>
    <row r="83" spans="1:16" ht="42" thickBot="1" x14ac:dyDescent="0.3">
      <c r="A83" s="73" t="s">
        <v>137</v>
      </c>
    </row>
    <row r="84" spans="1:16" ht="14.4" thickBot="1" x14ac:dyDescent="0.3"/>
    <row r="85" spans="1:16" ht="28.2" thickBot="1" x14ac:dyDescent="0.3">
      <c r="A85" s="66" t="s">
        <v>17</v>
      </c>
      <c r="B85" s="65" t="s">
        <v>93</v>
      </c>
      <c r="C85" s="60" t="s">
        <v>138</v>
      </c>
      <c r="D85" s="60" t="s">
        <v>139</v>
      </c>
      <c r="E85" s="60" t="s">
        <v>140</v>
      </c>
      <c r="F85" s="60" t="s">
        <v>141</v>
      </c>
      <c r="G85" s="60" t="s">
        <v>142</v>
      </c>
      <c r="H85" s="60" t="s">
        <v>143</v>
      </c>
      <c r="I85" s="60" t="s">
        <v>144</v>
      </c>
      <c r="J85" s="60" t="s">
        <v>145</v>
      </c>
      <c r="K85" s="60" t="s">
        <v>146</v>
      </c>
      <c r="L85" s="60" t="s">
        <v>147</v>
      </c>
    </row>
    <row r="86" spans="1:16" x14ac:dyDescent="0.25">
      <c r="A86" s="53">
        <f>A70</f>
        <v>5</v>
      </c>
      <c r="B86" s="48">
        <f t="shared" ref="B86:B94" si="35">B42</f>
        <v>1</v>
      </c>
      <c r="C86" s="49">
        <f t="shared" ref="C86:G95" si="36">$D$2*I11*N$11*$B86*S$11</f>
        <v>4.255884915748034E-9</v>
      </c>
      <c r="D86" s="49">
        <f t="shared" si="36"/>
        <v>4.33007096940774E-9</v>
      </c>
      <c r="E86" s="49">
        <f t="shared" si="36"/>
        <v>3.6120976115474177E-8</v>
      </c>
      <c r="F86" s="49">
        <f t="shared" si="36"/>
        <v>4.33007096940774E-9</v>
      </c>
      <c r="G86" s="49">
        <f t="shared" si="36"/>
        <v>7.2241952230948354E-8</v>
      </c>
      <c r="H86" s="49">
        <f t="shared" ref="H86:L95" si="37">C86*I$11*$M$2*0.5</f>
        <v>2.3832955528188995E-2</v>
      </c>
      <c r="I86" s="49">
        <f t="shared" si="37"/>
        <v>4.8496794857366694E-2</v>
      </c>
      <c r="J86" s="49">
        <f t="shared" si="37"/>
        <v>0.20227746624665544</v>
      </c>
      <c r="K86" s="49">
        <f t="shared" si="37"/>
        <v>4.8496794857366694E-2</v>
      </c>
      <c r="L86" s="49">
        <f t="shared" si="37"/>
        <v>0.40455493249331087</v>
      </c>
      <c r="M86" s="49">
        <f t="shared" ref="M86:M95" si="38">SUM(H86:L86)</f>
        <v>0.72765894398288866</v>
      </c>
      <c r="P86" s="59"/>
    </row>
    <row r="87" spans="1:16" x14ac:dyDescent="0.25">
      <c r="A87" s="53">
        <f t="shared" ref="A87:A96" si="39">A71</f>
        <v>10</v>
      </c>
      <c r="B87" s="48">
        <f t="shared" si="35"/>
        <v>1</v>
      </c>
      <c r="C87" s="49">
        <f t="shared" si="36"/>
        <v>4.255884915748034E-9</v>
      </c>
      <c r="D87" s="49">
        <f t="shared" si="36"/>
        <v>4.33007096940774E-9</v>
      </c>
      <c r="E87" s="49">
        <f t="shared" si="36"/>
        <v>3.6120976115474177E-8</v>
      </c>
      <c r="F87" s="49">
        <f t="shared" si="36"/>
        <v>4.33007096940774E-9</v>
      </c>
      <c r="G87" s="49">
        <f t="shared" si="36"/>
        <v>7.2241952230948354E-8</v>
      </c>
      <c r="H87" s="49">
        <f t="shared" si="37"/>
        <v>2.3832955528188995E-2</v>
      </c>
      <c r="I87" s="49">
        <f t="shared" si="37"/>
        <v>4.8496794857366694E-2</v>
      </c>
      <c r="J87" s="49">
        <f t="shared" si="37"/>
        <v>0.20227746624665544</v>
      </c>
      <c r="K87" s="49">
        <f t="shared" si="37"/>
        <v>4.8496794857366694E-2</v>
      </c>
      <c r="L87" s="49">
        <f t="shared" si="37"/>
        <v>0.40455493249331087</v>
      </c>
      <c r="M87" s="49">
        <f t="shared" si="38"/>
        <v>0.72765894398288866</v>
      </c>
    </row>
    <row r="88" spans="1:16" x14ac:dyDescent="0.25">
      <c r="A88" s="53">
        <f t="shared" si="39"/>
        <v>15</v>
      </c>
      <c r="B88" s="48">
        <f t="shared" si="35"/>
        <v>1</v>
      </c>
      <c r="C88" s="49">
        <f t="shared" si="36"/>
        <v>4.255884915748034E-9</v>
      </c>
      <c r="D88" s="49">
        <f t="shared" si="36"/>
        <v>4.33007096940774E-9</v>
      </c>
      <c r="E88" s="49">
        <f t="shared" si="36"/>
        <v>3.6120976115474177E-8</v>
      </c>
      <c r="F88" s="49">
        <f t="shared" si="36"/>
        <v>4.33007096940774E-9</v>
      </c>
      <c r="G88" s="49">
        <f t="shared" si="36"/>
        <v>7.2241952230948354E-8</v>
      </c>
      <c r="H88" s="49">
        <f t="shared" si="37"/>
        <v>2.3832955528188995E-2</v>
      </c>
      <c r="I88" s="49">
        <f t="shared" si="37"/>
        <v>4.8496794857366694E-2</v>
      </c>
      <c r="J88" s="49">
        <f t="shared" si="37"/>
        <v>0.20227746624665544</v>
      </c>
      <c r="K88" s="49">
        <f t="shared" si="37"/>
        <v>4.8496794857366694E-2</v>
      </c>
      <c r="L88" s="49">
        <f t="shared" si="37"/>
        <v>0.40455493249331087</v>
      </c>
      <c r="M88" s="49">
        <f t="shared" si="38"/>
        <v>0.72765894398288866</v>
      </c>
    </row>
    <row r="89" spans="1:16" x14ac:dyDescent="0.25">
      <c r="A89" s="53">
        <f t="shared" si="39"/>
        <v>20</v>
      </c>
      <c r="B89" s="48">
        <f t="shared" si="35"/>
        <v>1</v>
      </c>
      <c r="C89" s="49">
        <f t="shared" si="36"/>
        <v>4.255884915748034E-9</v>
      </c>
      <c r="D89" s="49">
        <f t="shared" si="36"/>
        <v>4.33007096940774E-9</v>
      </c>
      <c r="E89" s="49">
        <f t="shared" si="36"/>
        <v>3.6120976115474177E-8</v>
      </c>
      <c r="F89" s="49">
        <f t="shared" si="36"/>
        <v>4.33007096940774E-9</v>
      </c>
      <c r="G89" s="49">
        <f t="shared" si="36"/>
        <v>7.2241952230948354E-8</v>
      </c>
      <c r="H89" s="49">
        <f t="shared" si="37"/>
        <v>2.3832955528188995E-2</v>
      </c>
      <c r="I89" s="49">
        <f t="shared" si="37"/>
        <v>4.8496794857366694E-2</v>
      </c>
      <c r="J89" s="49">
        <f t="shared" si="37"/>
        <v>0.20227746624665544</v>
      </c>
      <c r="K89" s="49">
        <f t="shared" si="37"/>
        <v>4.8496794857366694E-2</v>
      </c>
      <c r="L89" s="49">
        <f t="shared" si="37"/>
        <v>0.40455493249331087</v>
      </c>
      <c r="M89" s="49">
        <f t="shared" si="38"/>
        <v>0.72765894398288866</v>
      </c>
    </row>
    <row r="90" spans="1:16" x14ac:dyDescent="0.25">
      <c r="A90" s="53">
        <f t="shared" si="39"/>
        <v>25</v>
      </c>
      <c r="B90" s="48">
        <f t="shared" si="35"/>
        <v>1</v>
      </c>
      <c r="C90" s="49">
        <f t="shared" si="36"/>
        <v>4.255884915748034E-9</v>
      </c>
      <c r="D90" s="49">
        <f t="shared" si="36"/>
        <v>4.33007096940774E-9</v>
      </c>
      <c r="E90" s="49">
        <f t="shared" si="36"/>
        <v>3.6120976115474177E-8</v>
      </c>
      <c r="F90" s="49">
        <f t="shared" si="36"/>
        <v>4.33007096940774E-9</v>
      </c>
      <c r="G90" s="49">
        <f t="shared" si="36"/>
        <v>7.2241952230948354E-8</v>
      </c>
      <c r="H90" s="49">
        <f t="shared" si="37"/>
        <v>2.3832955528188995E-2</v>
      </c>
      <c r="I90" s="49">
        <f t="shared" si="37"/>
        <v>4.8496794857366694E-2</v>
      </c>
      <c r="J90" s="49">
        <f t="shared" si="37"/>
        <v>0.20227746624665544</v>
      </c>
      <c r="K90" s="49">
        <f t="shared" si="37"/>
        <v>4.8496794857366694E-2</v>
      </c>
      <c r="L90" s="49">
        <f t="shared" si="37"/>
        <v>0.40455493249331087</v>
      </c>
      <c r="M90" s="49">
        <f t="shared" si="38"/>
        <v>0.72765894398288866</v>
      </c>
    </row>
    <row r="91" spans="1:16" x14ac:dyDescent="0.25">
      <c r="A91" s="53">
        <f t="shared" si="39"/>
        <v>30</v>
      </c>
      <c r="B91" s="48">
        <f t="shared" si="35"/>
        <v>1</v>
      </c>
      <c r="C91" s="49">
        <f t="shared" si="36"/>
        <v>4.255884915748034E-9</v>
      </c>
      <c r="D91" s="49">
        <f t="shared" si="36"/>
        <v>4.33007096940774E-9</v>
      </c>
      <c r="E91" s="49">
        <f t="shared" si="36"/>
        <v>3.6120976115474177E-8</v>
      </c>
      <c r="F91" s="49">
        <f t="shared" si="36"/>
        <v>4.33007096940774E-9</v>
      </c>
      <c r="G91" s="49">
        <f t="shared" si="36"/>
        <v>7.2241952230948354E-8</v>
      </c>
      <c r="H91" s="49">
        <f t="shared" si="37"/>
        <v>2.3832955528188995E-2</v>
      </c>
      <c r="I91" s="49">
        <f t="shared" si="37"/>
        <v>4.8496794857366694E-2</v>
      </c>
      <c r="J91" s="49">
        <f t="shared" si="37"/>
        <v>0.20227746624665544</v>
      </c>
      <c r="K91" s="49">
        <f t="shared" si="37"/>
        <v>4.8496794857366694E-2</v>
      </c>
      <c r="L91" s="49">
        <f t="shared" si="37"/>
        <v>0.40455493249331087</v>
      </c>
      <c r="M91" s="49">
        <f t="shared" si="38"/>
        <v>0.72765894398288866</v>
      </c>
    </row>
    <row r="92" spans="1:16" x14ac:dyDescent="0.25">
      <c r="A92" s="53">
        <f t="shared" si="39"/>
        <v>35</v>
      </c>
      <c r="B92" s="48">
        <f t="shared" si="35"/>
        <v>1</v>
      </c>
      <c r="C92" s="49">
        <f t="shared" si="36"/>
        <v>4.255884915748034E-9</v>
      </c>
      <c r="D92" s="49">
        <f t="shared" si="36"/>
        <v>4.33007096940774E-9</v>
      </c>
      <c r="E92" s="49">
        <f t="shared" si="36"/>
        <v>3.6120976115474177E-8</v>
      </c>
      <c r="F92" s="49">
        <f t="shared" si="36"/>
        <v>4.33007096940774E-9</v>
      </c>
      <c r="G92" s="49">
        <f t="shared" si="36"/>
        <v>7.2241952230948354E-8</v>
      </c>
      <c r="H92" s="49">
        <f t="shared" si="37"/>
        <v>2.3832955528188995E-2</v>
      </c>
      <c r="I92" s="49">
        <f t="shared" si="37"/>
        <v>4.8496794857366694E-2</v>
      </c>
      <c r="J92" s="49">
        <f t="shared" si="37"/>
        <v>0.20227746624665544</v>
      </c>
      <c r="K92" s="49">
        <f t="shared" si="37"/>
        <v>4.8496794857366694E-2</v>
      </c>
      <c r="L92" s="49">
        <f t="shared" si="37"/>
        <v>0.40455493249331087</v>
      </c>
      <c r="M92" s="49">
        <f t="shared" si="38"/>
        <v>0.72765894398288866</v>
      </c>
    </row>
    <row r="93" spans="1:16" x14ac:dyDescent="0.25">
      <c r="A93" s="53">
        <f t="shared" si="39"/>
        <v>40</v>
      </c>
      <c r="B93" s="48">
        <f t="shared" si="35"/>
        <v>1</v>
      </c>
      <c r="C93" s="49">
        <f t="shared" si="36"/>
        <v>4.255884915748034E-9</v>
      </c>
      <c r="D93" s="49">
        <f t="shared" si="36"/>
        <v>4.33007096940774E-9</v>
      </c>
      <c r="E93" s="49">
        <f t="shared" si="36"/>
        <v>3.6120976115474177E-8</v>
      </c>
      <c r="F93" s="49">
        <f t="shared" si="36"/>
        <v>4.33007096940774E-9</v>
      </c>
      <c r="G93" s="49">
        <f t="shared" si="36"/>
        <v>7.2241952230948354E-8</v>
      </c>
      <c r="H93" s="49">
        <f t="shared" si="37"/>
        <v>2.3832955528188995E-2</v>
      </c>
      <c r="I93" s="49">
        <f t="shared" si="37"/>
        <v>4.8496794857366694E-2</v>
      </c>
      <c r="J93" s="49">
        <f t="shared" si="37"/>
        <v>0.20227746624665544</v>
      </c>
      <c r="K93" s="49">
        <f t="shared" si="37"/>
        <v>4.8496794857366694E-2</v>
      </c>
      <c r="L93" s="49">
        <f t="shared" si="37"/>
        <v>0.40455493249331087</v>
      </c>
      <c r="M93" s="49">
        <f t="shared" si="38"/>
        <v>0.72765894398288866</v>
      </c>
    </row>
    <row r="94" spans="1:16" x14ac:dyDescent="0.25">
      <c r="A94" s="53">
        <f t="shared" si="39"/>
        <v>45</v>
      </c>
      <c r="B94" s="48">
        <f t="shared" si="35"/>
        <v>1</v>
      </c>
      <c r="C94" s="49">
        <f t="shared" si="36"/>
        <v>4.255884915748034E-9</v>
      </c>
      <c r="D94" s="49">
        <f t="shared" si="36"/>
        <v>4.33007096940774E-9</v>
      </c>
      <c r="E94" s="49">
        <f t="shared" si="36"/>
        <v>3.6120976115474177E-8</v>
      </c>
      <c r="F94" s="49">
        <f t="shared" si="36"/>
        <v>4.33007096940774E-9</v>
      </c>
      <c r="G94" s="49">
        <f t="shared" si="36"/>
        <v>7.2241952230948354E-8</v>
      </c>
      <c r="H94" s="49">
        <f t="shared" si="37"/>
        <v>2.3832955528188995E-2</v>
      </c>
      <c r="I94" s="49">
        <f t="shared" si="37"/>
        <v>4.8496794857366694E-2</v>
      </c>
      <c r="J94" s="49">
        <f t="shared" si="37"/>
        <v>0.20227746624665544</v>
      </c>
      <c r="K94" s="49">
        <f t="shared" si="37"/>
        <v>4.8496794857366694E-2</v>
      </c>
      <c r="L94" s="49">
        <f t="shared" si="37"/>
        <v>0.40455493249331087</v>
      </c>
      <c r="M94" s="49">
        <f t="shared" si="38"/>
        <v>0.72765894398288866</v>
      </c>
    </row>
    <row r="95" spans="1:16" x14ac:dyDescent="0.25">
      <c r="A95" s="53">
        <f t="shared" si="39"/>
        <v>50</v>
      </c>
      <c r="B95" s="48">
        <v>1</v>
      </c>
      <c r="C95" s="49">
        <f t="shared" si="36"/>
        <v>4.255884915748034E-9</v>
      </c>
      <c r="D95" s="49">
        <f t="shared" si="36"/>
        <v>4.33007096940774E-9</v>
      </c>
      <c r="E95" s="49">
        <f t="shared" si="36"/>
        <v>3.6120976115474177E-8</v>
      </c>
      <c r="F95" s="49">
        <f t="shared" si="36"/>
        <v>4.33007096940774E-9</v>
      </c>
      <c r="G95" s="49">
        <f t="shared" si="36"/>
        <v>7.2241952230948354E-8</v>
      </c>
      <c r="H95" s="49">
        <f t="shared" si="37"/>
        <v>2.3832955528188995E-2</v>
      </c>
      <c r="I95" s="49">
        <f t="shared" si="37"/>
        <v>4.8496794857366694E-2</v>
      </c>
      <c r="J95" s="49">
        <f t="shared" si="37"/>
        <v>0.20227746624665544</v>
      </c>
      <c r="K95" s="49">
        <f t="shared" si="37"/>
        <v>4.8496794857366694E-2</v>
      </c>
      <c r="L95" s="49">
        <f t="shared" si="37"/>
        <v>0.40455493249331087</v>
      </c>
      <c r="M95" s="49">
        <f t="shared" si="38"/>
        <v>0.72765894398288866</v>
      </c>
    </row>
    <row r="96" spans="1:16" ht="14.4" thickBot="1" x14ac:dyDescent="0.3">
      <c r="A96" s="53">
        <f t="shared" si="39"/>
        <v>125</v>
      </c>
      <c r="B96" s="48">
        <v>1</v>
      </c>
      <c r="C96" s="49">
        <f>$D$2*I21*N$11*$B96*S$11</f>
        <v>4.255884915748034E-9</v>
      </c>
      <c r="D96" s="49">
        <f>$D$2*J21*O$11*$B96*T$11</f>
        <v>4.33007096940774E-9</v>
      </c>
      <c r="E96" s="49">
        <f>$D$2*K21*P$11*$B96*U$11</f>
        <v>3.6120976115474177E-8</v>
      </c>
      <c r="F96" s="49">
        <f>$D$2*L21*Q$11*$B96*V$11</f>
        <v>4.33007096940774E-9</v>
      </c>
      <c r="G96" s="49">
        <f>$D$2*M21*R$11*$B96*W$11</f>
        <v>7.2241952230948354E-8</v>
      </c>
      <c r="H96" s="49">
        <f>C96*I$11*$M$2*0.5</f>
        <v>2.3832955528188995E-2</v>
      </c>
      <c r="I96" s="49">
        <f>D96*J$11*$M$2*0.5</f>
        <v>4.8496794857366694E-2</v>
      </c>
      <c r="J96" s="49">
        <f>E96*K$11*$M$2*0.5</f>
        <v>0.20227746624665544</v>
      </c>
      <c r="K96" s="49">
        <f>F96*L$11*$M$2*0.5</f>
        <v>4.8496794857366694E-2</v>
      </c>
      <c r="L96" s="49">
        <f>G96*M$11*$M$2*0.5</f>
        <v>0.40455493249331087</v>
      </c>
      <c r="M96" s="49">
        <f>SUM(H96:L96)</f>
        <v>0.72765894398288866</v>
      </c>
    </row>
    <row r="97" spans="1:11" ht="28.2" thickBot="1" x14ac:dyDescent="0.3">
      <c r="A97" s="73" t="s">
        <v>163</v>
      </c>
    </row>
    <row r="98" spans="1:11" ht="14.4" thickBot="1" x14ac:dyDescent="0.3">
      <c r="A98" s="56"/>
      <c r="B98" s="56"/>
      <c r="C98" s="56"/>
      <c r="D98" s="48"/>
      <c r="E98" s="57"/>
      <c r="F98" s="57"/>
      <c r="G98" s="57"/>
      <c r="H98" s="57"/>
      <c r="I98" s="57"/>
      <c r="J98" s="57"/>
    </row>
    <row r="99" spans="1:11" ht="28.2" thickBot="1" x14ac:dyDescent="0.3">
      <c r="A99" s="60" t="s">
        <v>162</v>
      </c>
      <c r="B99" s="65" t="s">
        <v>93</v>
      </c>
      <c r="C99" s="60" t="s">
        <v>82</v>
      </c>
      <c r="D99" s="60" t="s">
        <v>84</v>
      </c>
      <c r="E99" s="60" t="s">
        <v>169</v>
      </c>
      <c r="F99" s="60" t="s">
        <v>168</v>
      </c>
      <c r="G99" s="60" t="s">
        <v>166</v>
      </c>
      <c r="H99" s="60" t="s">
        <v>167</v>
      </c>
      <c r="I99" s="60" t="s">
        <v>164</v>
      </c>
      <c r="J99" s="60" t="s">
        <v>165</v>
      </c>
    </row>
    <row r="100" spans="1:11" x14ac:dyDescent="0.25">
      <c r="A100" s="53">
        <f>A86</f>
        <v>5</v>
      </c>
      <c r="B100" s="48">
        <v>1</v>
      </c>
      <c r="C100" s="58">
        <f t="shared" ref="C100:C109" si="40">(1/($S$2*((P$11*$B100)/U$11)*($F$2-$G$2)))</f>
        <v>9.92676665605461E-4</v>
      </c>
      <c r="D100" s="58">
        <f t="shared" ref="D100:D109" si="41">(1/($S$2*((R$11*$B100)/W$11)*($F$2-$G$2)))</f>
        <v>4.963383328027305E-4</v>
      </c>
      <c r="E100" s="49">
        <f t="shared" ref="E100:E109" si="42">ABS($G$2+(F12*C100))</f>
        <v>2.1316019250808576</v>
      </c>
      <c r="F100" s="49">
        <f>ABS($G$2+H12*D100)</f>
        <v>2.1316019250808576</v>
      </c>
      <c r="G100" s="49">
        <v>2.0000000000000001E-9</v>
      </c>
      <c r="H100" s="49">
        <v>2.0000000000000001E-9</v>
      </c>
      <c r="I100" s="49">
        <f t="shared" ref="I100:I109" si="43">2*E100*F12*$M$2*G100</f>
        <v>9.6316018826788051E-3</v>
      </c>
      <c r="J100" s="59">
        <f t="shared" ref="J100:J109" si="44">2*F100*H12*$M$2*H100</f>
        <v>1.926320376535761E-2</v>
      </c>
      <c r="K100" s="59">
        <f>SUM(I100:J100)</f>
        <v>2.8894805648036415E-2</v>
      </c>
    </row>
    <row r="101" spans="1:11" x14ac:dyDescent="0.25">
      <c r="A101" s="53">
        <f t="shared" ref="A101:A110" si="45">A87</f>
        <v>10</v>
      </c>
      <c r="B101" s="48">
        <v>1</v>
      </c>
      <c r="C101" s="58">
        <f t="shared" si="40"/>
        <v>9.92676665605461E-4</v>
      </c>
      <c r="D101" s="58">
        <f t="shared" si="41"/>
        <v>4.963383328027305E-4</v>
      </c>
      <c r="E101" s="49">
        <f t="shared" si="42"/>
        <v>2.1332038501617157</v>
      </c>
      <c r="F101" s="49">
        <f t="shared" ref="F101:F109" si="46">ABS($G$2+H13*D101)</f>
        <v>2.1332038501617157</v>
      </c>
      <c r="G101" s="49">
        <v>2.0000000000000001E-9</v>
      </c>
      <c r="H101" s="49">
        <v>2.0000000000000001E-9</v>
      </c>
      <c r="I101" s="49">
        <f t="shared" si="43"/>
        <v>1.9277680300064361E-2</v>
      </c>
      <c r="J101" s="59">
        <f t="shared" si="44"/>
        <v>3.8555360600128721E-2</v>
      </c>
      <c r="K101" s="59">
        <f t="shared" ref="K101:K109" si="47">SUM(I101:J101)</f>
        <v>5.7833040900193082E-2</v>
      </c>
    </row>
    <row r="102" spans="1:11" x14ac:dyDescent="0.25">
      <c r="A102" s="53">
        <f t="shared" si="45"/>
        <v>15</v>
      </c>
      <c r="B102" s="48">
        <v>1</v>
      </c>
      <c r="C102" s="58">
        <f t="shared" si="40"/>
        <v>9.92676665605461E-4</v>
      </c>
      <c r="D102" s="58">
        <f t="shared" si="41"/>
        <v>4.963383328027305E-4</v>
      </c>
      <c r="E102" s="49">
        <f t="shared" si="42"/>
        <v>2.1348057752425733</v>
      </c>
      <c r="F102" s="49">
        <f t="shared" si="46"/>
        <v>2.1348057752425733</v>
      </c>
      <c r="G102" s="49">
        <v>2.0000000000000001E-9</v>
      </c>
      <c r="H102" s="49">
        <v>2.0000000000000001E-9</v>
      </c>
      <c r="I102" s="49">
        <f t="shared" si="43"/>
        <v>2.8938235252156656E-2</v>
      </c>
      <c r="J102" s="59">
        <f t="shared" si="44"/>
        <v>5.7876470504313313E-2</v>
      </c>
      <c r="K102" s="59">
        <f t="shared" si="47"/>
        <v>8.6814705756469962E-2</v>
      </c>
    </row>
    <row r="103" spans="1:11" x14ac:dyDescent="0.25">
      <c r="A103" s="53">
        <f t="shared" si="45"/>
        <v>20</v>
      </c>
      <c r="B103" s="48">
        <v>1</v>
      </c>
      <c r="C103" s="58">
        <f t="shared" si="40"/>
        <v>9.92676665605461E-4</v>
      </c>
      <c r="D103" s="58">
        <f t="shared" si="41"/>
        <v>4.963383328027305E-4</v>
      </c>
      <c r="E103" s="49">
        <f t="shared" si="42"/>
        <v>2.136407700323431</v>
      </c>
      <c r="F103" s="49">
        <f t="shared" si="46"/>
        <v>2.136407700323431</v>
      </c>
      <c r="G103" s="49">
        <v>2.0000000000000001E-9</v>
      </c>
      <c r="H103" s="49">
        <v>2.0000000000000001E-9</v>
      </c>
      <c r="I103" s="49">
        <f t="shared" si="43"/>
        <v>3.8613266738955702E-2</v>
      </c>
      <c r="J103" s="59">
        <f t="shared" si="44"/>
        <v>7.7226533477911405E-2</v>
      </c>
      <c r="K103" s="59">
        <f t="shared" si="47"/>
        <v>0.1158398002168671</v>
      </c>
    </row>
    <row r="104" spans="1:11" x14ac:dyDescent="0.25">
      <c r="A104" s="53">
        <f t="shared" si="45"/>
        <v>25</v>
      </c>
      <c r="B104" s="48">
        <v>1</v>
      </c>
      <c r="C104" s="58">
        <f t="shared" si="40"/>
        <v>9.92676665605461E-4</v>
      </c>
      <c r="D104" s="58">
        <f t="shared" si="41"/>
        <v>4.963383328027305E-4</v>
      </c>
      <c r="E104" s="49">
        <f>ABS($G$2+(F16*C104))</f>
        <v>2.1380096254042886</v>
      </c>
      <c r="F104" s="49">
        <f t="shared" si="46"/>
        <v>2.1380096254042886</v>
      </c>
      <c r="G104" s="49">
        <v>2.0000000000000001E-9</v>
      </c>
      <c r="H104" s="49">
        <v>2.0000000000000001E-9</v>
      </c>
      <c r="I104" s="49">
        <f t="shared" si="43"/>
        <v>4.8302774760461499E-2</v>
      </c>
      <c r="J104" s="59">
        <f t="shared" si="44"/>
        <v>9.6605549520922998E-2</v>
      </c>
      <c r="K104" s="59">
        <f t="shared" si="47"/>
        <v>0.1449083242813845</v>
      </c>
    </row>
    <row r="105" spans="1:11" x14ac:dyDescent="0.25">
      <c r="A105" s="53">
        <f t="shared" si="45"/>
        <v>30</v>
      </c>
      <c r="B105" s="48">
        <v>1</v>
      </c>
      <c r="C105" s="58">
        <f t="shared" si="40"/>
        <v>9.92676665605461E-4</v>
      </c>
      <c r="D105" s="58">
        <f t="shared" si="41"/>
        <v>4.963383328027305E-4</v>
      </c>
      <c r="E105" s="49">
        <f t="shared" si="42"/>
        <v>2.1396115504851467</v>
      </c>
      <c r="F105" s="49">
        <f t="shared" si="46"/>
        <v>2.1396115504851467</v>
      </c>
      <c r="G105" s="49">
        <v>2.0000000000000001E-9</v>
      </c>
      <c r="H105" s="49">
        <v>2.0000000000000001E-9</v>
      </c>
      <c r="I105" s="49">
        <f t="shared" si="43"/>
        <v>5.8006759316674032E-2</v>
      </c>
      <c r="J105" s="59">
        <f t="shared" si="44"/>
        <v>0.11601351863334806</v>
      </c>
      <c r="K105" s="59">
        <f t="shared" si="47"/>
        <v>0.17402027795002209</v>
      </c>
    </row>
    <row r="106" spans="1:11" x14ac:dyDescent="0.25">
      <c r="A106" s="53">
        <f t="shared" si="45"/>
        <v>35</v>
      </c>
      <c r="B106" s="48">
        <v>1</v>
      </c>
      <c r="C106" s="58">
        <f t="shared" si="40"/>
        <v>9.92676665605461E-4</v>
      </c>
      <c r="D106" s="58">
        <f t="shared" si="41"/>
        <v>4.963383328027305E-4</v>
      </c>
      <c r="E106" s="49">
        <f t="shared" si="42"/>
        <v>2.1412134755660044</v>
      </c>
      <c r="F106" s="49">
        <f t="shared" si="46"/>
        <v>2.1412134755660044</v>
      </c>
      <c r="G106" s="49">
        <v>2.0000000000000001E-9</v>
      </c>
      <c r="H106" s="49">
        <v>2.0000000000000001E-9</v>
      </c>
      <c r="I106" s="49">
        <f t="shared" si="43"/>
        <v>6.7725220407593309E-2</v>
      </c>
      <c r="J106" s="59">
        <f t="shared" si="44"/>
        <v>0.13545044081518662</v>
      </c>
      <c r="K106" s="59">
        <f t="shared" si="47"/>
        <v>0.20317566122277991</v>
      </c>
    </row>
    <row r="107" spans="1:11" x14ac:dyDescent="0.25">
      <c r="A107" s="53">
        <f t="shared" si="45"/>
        <v>40</v>
      </c>
      <c r="B107" s="48">
        <v>1</v>
      </c>
      <c r="C107" s="58">
        <f t="shared" si="40"/>
        <v>9.92676665605461E-4</v>
      </c>
      <c r="D107" s="58">
        <f t="shared" si="41"/>
        <v>4.963383328027305E-4</v>
      </c>
      <c r="E107" s="49">
        <f t="shared" si="42"/>
        <v>2.142815400646862</v>
      </c>
      <c r="F107" s="49">
        <f t="shared" si="46"/>
        <v>2.142815400646862</v>
      </c>
      <c r="G107" s="49">
        <v>2.0000000000000001E-9</v>
      </c>
      <c r="H107" s="49">
        <v>2.0000000000000001E-9</v>
      </c>
      <c r="I107" s="49">
        <f t="shared" si="43"/>
        <v>7.7458158033219343E-2</v>
      </c>
      <c r="J107" s="59">
        <f t="shared" si="44"/>
        <v>0.15491631606643869</v>
      </c>
      <c r="K107" s="59">
        <f t="shared" si="47"/>
        <v>0.23237447409965803</v>
      </c>
    </row>
    <row r="108" spans="1:11" x14ac:dyDescent="0.25">
      <c r="A108" s="53">
        <f t="shared" si="45"/>
        <v>45</v>
      </c>
      <c r="B108" s="54">
        <v>1</v>
      </c>
      <c r="C108" s="49">
        <f t="shared" si="40"/>
        <v>9.92676665605461E-4</v>
      </c>
      <c r="D108" s="49">
        <f t="shared" si="41"/>
        <v>4.963383328027305E-4</v>
      </c>
      <c r="E108" s="49">
        <f t="shared" si="42"/>
        <v>2.1444173257277197</v>
      </c>
      <c r="F108" s="49">
        <f t="shared" si="46"/>
        <v>2.1444173257277197</v>
      </c>
      <c r="G108" s="49">
        <v>2.0000000000000001E-9</v>
      </c>
      <c r="H108" s="49">
        <v>2.0000000000000001E-9</v>
      </c>
      <c r="I108" s="49">
        <f t="shared" si="43"/>
        <v>8.7205572193552114E-2</v>
      </c>
      <c r="J108" s="59">
        <f t="shared" si="44"/>
        <v>0.17441114438710423</v>
      </c>
      <c r="K108" s="59">
        <f t="shared" si="47"/>
        <v>0.26161671658065633</v>
      </c>
    </row>
    <row r="109" spans="1:11" x14ac:dyDescent="0.25">
      <c r="A109" s="53">
        <f t="shared" si="45"/>
        <v>50</v>
      </c>
      <c r="B109" s="48">
        <v>1</v>
      </c>
      <c r="C109" s="49">
        <f t="shared" si="40"/>
        <v>9.92676665605461E-4</v>
      </c>
      <c r="D109" s="49">
        <f t="shared" si="41"/>
        <v>4.963383328027305E-4</v>
      </c>
      <c r="E109" s="49">
        <f t="shared" si="42"/>
        <v>2.1460192508085778</v>
      </c>
      <c r="F109" s="49">
        <f t="shared" si="46"/>
        <v>2.1460192508085778</v>
      </c>
      <c r="G109" s="49">
        <v>2.0000000000000001E-9</v>
      </c>
      <c r="H109" s="49">
        <v>2.0000000000000001E-9</v>
      </c>
      <c r="I109" s="49">
        <f t="shared" si="43"/>
        <v>9.6967462888591649E-2</v>
      </c>
      <c r="J109" s="59">
        <f t="shared" si="44"/>
        <v>0.1939349257771833</v>
      </c>
      <c r="K109" s="59">
        <f t="shared" si="47"/>
        <v>0.29090238866577495</v>
      </c>
    </row>
    <row r="110" spans="1:11" x14ac:dyDescent="0.25">
      <c r="A110" s="53">
        <f t="shared" si="45"/>
        <v>125</v>
      </c>
      <c r="B110" s="48">
        <v>1</v>
      </c>
      <c r="C110" s="49">
        <f>(1/($S$2*((P$11*$B110)/U$11)*($F$2-$G$2)))</f>
        <v>9.92676665605461E-4</v>
      </c>
      <c r="D110" s="49">
        <f>(1/($S$2*((R$11*$B110)/W$11)*($F$2-$G$2)))</f>
        <v>4.963383328027305E-4</v>
      </c>
      <c r="E110" s="49">
        <f>ABS($G$2+(F22*C110))</f>
        <v>2.1700481270214445</v>
      </c>
      <c r="F110" s="49">
        <f>ABS($G$2+H22*D110)</f>
        <v>2.1700481270214445</v>
      </c>
      <c r="G110" s="49">
        <v>2.0000000000000001E-9</v>
      </c>
      <c r="H110" s="49">
        <v>2.0000000000000001E-9</v>
      </c>
      <c r="I110" s="49">
        <f>2*E110*F22*$M$2*G110</f>
        <v>0.24513300747899408</v>
      </c>
      <c r="J110" s="59">
        <f>2*F110*H22*$M$2*H110</f>
        <v>0.49026601495798816</v>
      </c>
      <c r="K110" s="59">
        <f>SUM(I110:J110)</f>
        <v>0.73539902243698219</v>
      </c>
    </row>
    <row r="112" spans="1:11" ht="14.4" thickBot="1" x14ac:dyDescent="0.3"/>
    <row r="113" spans="1:12" ht="42" thickBot="1" x14ac:dyDescent="0.3">
      <c r="B113" s="65" t="s">
        <v>93</v>
      </c>
      <c r="C113" s="60" t="s">
        <v>179</v>
      </c>
      <c r="D113" s="60" t="s">
        <v>180</v>
      </c>
      <c r="E113" s="60" t="s">
        <v>175</v>
      </c>
      <c r="F113" s="60" t="s">
        <v>178</v>
      </c>
      <c r="G113" s="60" t="s">
        <v>182</v>
      </c>
      <c r="H113" s="60" t="s">
        <v>183</v>
      </c>
      <c r="I113" s="55" t="s">
        <v>155</v>
      </c>
      <c r="J113" s="60" t="s">
        <v>181</v>
      </c>
    </row>
    <row r="114" spans="1:12" x14ac:dyDescent="0.25">
      <c r="A114" s="48">
        <f t="shared" ref="A114:A124" si="48">A86</f>
        <v>5</v>
      </c>
      <c r="B114" s="48">
        <f t="shared" ref="B114:B122" si="49">B42</f>
        <v>1</v>
      </c>
      <c r="C114" s="49">
        <f t="shared" ref="C114:C123" si="50">M42</f>
        <v>1.49685406474541E-2</v>
      </c>
      <c r="D114" s="49">
        <f>SUM(M56,M70,M86)</f>
        <v>0.96843480682547867</v>
      </c>
      <c r="E114" s="49">
        <f>J27</f>
        <v>2.281746031746032E-2</v>
      </c>
      <c r="F114" s="50">
        <f>(A114*1)/(A114*1+SUM(M42,M56,M70,M86))*100</f>
        <v>83.564481777945502</v>
      </c>
      <c r="G114" s="50">
        <f t="shared" ref="G114:G123" si="51">(SUM($N$11*$S$11+$O$11*$T$11+$P$11*$U$11+$Q$11*$V$11+$R$11*$W$11)*B114)/0.000001</f>
        <v>48.728701763157623</v>
      </c>
      <c r="H114" s="50">
        <f>5*SUM(D27:E27)</f>
        <v>55</v>
      </c>
      <c r="I114" s="50">
        <f t="shared" ref="I114:I123" si="52">SUM(C114:E114)</f>
        <v>1.0062208077903931</v>
      </c>
      <c r="J114" s="59">
        <f t="shared" ref="J114:J123" si="53">((A114*1)/(A114*1+I114))*100</f>
        <v>83.247022712097589</v>
      </c>
      <c r="K114" s="72"/>
      <c r="L114" s="59"/>
    </row>
    <row r="115" spans="1:12" x14ac:dyDescent="0.25">
      <c r="A115" s="48">
        <f t="shared" si="48"/>
        <v>10</v>
      </c>
      <c r="B115" s="48">
        <f t="shared" si="49"/>
        <v>1</v>
      </c>
      <c r="C115" s="49">
        <f t="shared" si="50"/>
        <v>5.9874162589816399E-2</v>
      </c>
      <c r="D115" s="49">
        <f t="shared" ref="D115:D124" si="54">SUM(M57,M71,M87)</f>
        <v>1.027148057705471</v>
      </c>
      <c r="E115" s="49">
        <f t="shared" ref="E115:E123" si="55">J28</f>
        <v>9.1269841269841279E-2</v>
      </c>
      <c r="F115" s="50">
        <f t="shared" ref="F115:F123" si="56">(A115*1)/(A115*1+SUM(M43,M57,M71,M87))*100</f>
        <v>90.195543954936383</v>
      </c>
      <c r="G115" s="50">
        <f t="shared" si="51"/>
        <v>48.728701763157623</v>
      </c>
      <c r="H115" s="50">
        <f t="shared" ref="H115:H123" si="57">5*SUM(D28:E28)</f>
        <v>55</v>
      </c>
      <c r="I115" s="50">
        <f t="shared" si="52"/>
        <v>1.1782920615651289</v>
      </c>
      <c r="J115" s="59">
        <f t="shared" si="53"/>
        <v>89.459104708701346</v>
      </c>
      <c r="K115" s="59"/>
      <c r="L115" s="59"/>
    </row>
    <row r="116" spans="1:12" x14ac:dyDescent="0.25">
      <c r="A116" s="48">
        <f t="shared" si="48"/>
        <v>15</v>
      </c>
      <c r="B116" s="48">
        <f t="shared" si="49"/>
        <v>1</v>
      </c>
      <c r="C116" s="49">
        <f t="shared" si="50"/>
        <v>0.13471686582708686</v>
      </c>
      <c r="D116" s="49">
        <f t="shared" si="54"/>
        <v>1.0858613085854634</v>
      </c>
      <c r="E116" s="49">
        <f t="shared" si="55"/>
        <v>0.20535714285714285</v>
      </c>
      <c r="F116" s="50">
        <f t="shared" si="56"/>
        <v>92.475125354421863</v>
      </c>
      <c r="G116" s="50">
        <f t="shared" si="51"/>
        <v>48.728701763157623</v>
      </c>
      <c r="H116" s="50">
        <f t="shared" si="57"/>
        <v>55</v>
      </c>
      <c r="I116" s="50">
        <f t="shared" si="52"/>
        <v>1.4259353172696931</v>
      </c>
      <c r="J116" s="59">
        <f t="shared" si="53"/>
        <v>91.319000776957211</v>
      </c>
      <c r="K116" s="59"/>
      <c r="L116" s="59"/>
    </row>
    <row r="117" spans="1:12" x14ac:dyDescent="0.25">
      <c r="A117" s="48">
        <f t="shared" si="48"/>
        <v>20</v>
      </c>
      <c r="B117" s="48">
        <f t="shared" si="49"/>
        <v>1</v>
      </c>
      <c r="C117" s="49">
        <f t="shared" si="50"/>
        <v>0.23949665035926559</v>
      </c>
      <c r="D117" s="49">
        <f t="shared" si="54"/>
        <v>1.1445745594654559</v>
      </c>
      <c r="E117" s="49">
        <f t="shared" si="55"/>
        <v>0.36507936507936511</v>
      </c>
      <c r="F117" s="50">
        <f t="shared" si="56"/>
        <v>93.527559854043034</v>
      </c>
      <c r="G117" s="50">
        <f t="shared" si="51"/>
        <v>48.728701763157623</v>
      </c>
      <c r="H117" s="50">
        <f t="shared" si="57"/>
        <v>55</v>
      </c>
      <c r="I117" s="50">
        <f t="shared" si="52"/>
        <v>1.7491505749040868</v>
      </c>
      <c r="J117" s="59">
        <f t="shared" si="53"/>
        <v>91.957614303694257</v>
      </c>
      <c r="K117" s="59"/>
      <c r="L117" s="59"/>
    </row>
    <row r="118" spans="1:12" x14ac:dyDescent="0.25">
      <c r="A118" s="48">
        <f t="shared" si="48"/>
        <v>25</v>
      </c>
      <c r="B118" s="48">
        <f t="shared" si="49"/>
        <v>1</v>
      </c>
      <c r="C118" s="49">
        <f t="shared" si="50"/>
        <v>0.37421351618635246</v>
      </c>
      <c r="D118" s="49">
        <f t="shared" si="54"/>
        <v>1.2032878103454483</v>
      </c>
      <c r="E118" s="49">
        <f t="shared" si="55"/>
        <v>0.57043650793650802</v>
      </c>
      <c r="F118" s="50">
        <f t="shared" si="56"/>
        <v>94.064523571457741</v>
      </c>
      <c r="G118" s="50">
        <f t="shared" si="51"/>
        <v>48.728701763157623</v>
      </c>
      <c r="H118" s="50">
        <f t="shared" si="57"/>
        <v>55</v>
      </c>
      <c r="I118" s="50">
        <f t="shared" si="52"/>
        <v>2.1479378344683089</v>
      </c>
      <c r="J118" s="59">
        <f t="shared" si="53"/>
        <v>92.088025810412816</v>
      </c>
      <c r="K118" s="59"/>
      <c r="L118" s="59"/>
    </row>
    <row r="119" spans="1:12" x14ac:dyDescent="0.25">
      <c r="A119" s="48">
        <f t="shared" si="48"/>
        <v>30</v>
      </c>
      <c r="B119" s="48">
        <f t="shared" si="49"/>
        <v>1</v>
      </c>
      <c r="C119" s="49">
        <f t="shared" si="50"/>
        <v>0.53886746330834745</v>
      </c>
      <c r="D119" s="49">
        <f t="shared" si="54"/>
        <v>1.2620010612254406</v>
      </c>
      <c r="E119" s="49">
        <f t="shared" si="55"/>
        <v>0.8214285714285714</v>
      </c>
      <c r="F119" s="50">
        <f t="shared" si="56"/>
        <v>94.337046099403082</v>
      </c>
      <c r="G119" s="50">
        <f t="shared" si="51"/>
        <v>48.728701763157623</v>
      </c>
      <c r="H119" s="50">
        <f t="shared" si="57"/>
        <v>55</v>
      </c>
      <c r="I119" s="50">
        <f t="shared" si="52"/>
        <v>2.6222970959623595</v>
      </c>
      <c r="J119" s="59">
        <f t="shared" si="53"/>
        <v>91.961641792886127</v>
      </c>
      <c r="K119" s="59"/>
      <c r="L119" s="59"/>
    </row>
    <row r="120" spans="1:12" x14ac:dyDescent="0.25">
      <c r="A120" s="48">
        <f t="shared" si="48"/>
        <v>35</v>
      </c>
      <c r="B120" s="48">
        <f t="shared" si="49"/>
        <v>1</v>
      </c>
      <c r="C120" s="49">
        <f t="shared" si="50"/>
        <v>0.73345849172525068</v>
      </c>
      <c r="D120" s="49">
        <f t="shared" si="54"/>
        <v>1.320714312105433</v>
      </c>
      <c r="E120" s="49">
        <f t="shared" si="55"/>
        <v>1.1180555555555554</v>
      </c>
      <c r="F120" s="50">
        <f t="shared" si="56"/>
        <v>94.456298310299019</v>
      </c>
      <c r="G120" s="50">
        <f t="shared" si="51"/>
        <v>48.728701763157623</v>
      </c>
      <c r="H120" s="50">
        <f t="shared" si="57"/>
        <v>55</v>
      </c>
      <c r="I120" s="50">
        <f t="shared" si="52"/>
        <v>3.172228359386239</v>
      </c>
      <c r="J120" s="59">
        <f t="shared" si="53"/>
        <v>91.689695635475758</v>
      </c>
      <c r="K120" s="59"/>
      <c r="L120" s="59"/>
    </row>
    <row r="121" spans="1:12" x14ac:dyDescent="0.25">
      <c r="A121" s="48">
        <f t="shared" si="48"/>
        <v>40</v>
      </c>
      <c r="B121" s="48">
        <f t="shared" si="49"/>
        <v>1</v>
      </c>
      <c r="C121" s="49">
        <f t="shared" si="50"/>
        <v>0.95798660143706238</v>
      </c>
      <c r="D121" s="49">
        <f t="shared" si="54"/>
        <v>1.3794275629854256</v>
      </c>
      <c r="E121" s="49">
        <f t="shared" si="55"/>
        <v>1.4603174603174605</v>
      </c>
      <c r="F121" s="50">
        <f t="shared" si="56"/>
        <v>94.479081421116419</v>
      </c>
      <c r="G121" s="50">
        <f t="shared" si="51"/>
        <v>48.728701763157623</v>
      </c>
      <c r="H121" s="50">
        <f t="shared" si="57"/>
        <v>55</v>
      </c>
      <c r="I121" s="50">
        <f t="shared" si="52"/>
        <v>3.7977316247399484</v>
      </c>
      <c r="J121" s="59">
        <f t="shared" si="53"/>
        <v>91.328930782810843</v>
      </c>
      <c r="K121" s="59"/>
      <c r="L121" s="59"/>
    </row>
    <row r="122" spans="1:12" x14ac:dyDescent="0.25">
      <c r="A122" s="48">
        <f t="shared" si="48"/>
        <v>45</v>
      </c>
      <c r="B122" s="48">
        <f t="shared" si="49"/>
        <v>1</v>
      </c>
      <c r="C122" s="49">
        <f t="shared" si="50"/>
        <v>1.2124517924437817</v>
      </c>
      <c r="D122" s="49">
        <f t="shared" si="54"/>
        <v>1.4381408138654179</v>
      </c>
      <c r="E122" s="49">
        <f t="shared" si="55"/>
        <v>1.8482142857142858</v>
      </c>
      <c r="F122" s="50">
        <f t="shared" si="56"/>
        <v>94.437440415046908</v>
      </c>
      <c r="G122" s="50">
        <f t="shared" si="51"/>
        <v>48.728701763157623</v>
      </c>
      <c r="H122" s="50">
        <f t="shared" si="57"/>
        <v>55</v>
      </c>
      <c r="I122" s="50">
        <f t="shared" si="52"/>
        <v>4.4988068920234854</v>
      </c>
      <c r="J122" s="59">
        <f t="shared" si="53"/>
        <v>90.911282161129321</v>
      </c>
      <c r="K122" s="59"/>
      <c r="L122" s="59"/>
    </row>
    <row r="123" spans="1:12" x14ac:dyDescent="0.25">
      <c r="A123" s="48">
        <f t="shared" si="48"/>
        <v>50</v>
      </c>
      <c r="B123" s="48">
        <v>1</v>
      </c>
      <c r="C123" s="49">
        <f t="shared" si="50"/>
        <v>1.4968540647454098</v>
      </c>
      <c r="D123" s="49">
        <f t="shared" si="54"/>
        <v>1.4968540647454103</v>
      </c>
      <c r="E123" s="49">
        <f t="shared" si="55"/>
        <v>2.2817460317460321</v>
      </c>
      <c r="F123" s="50">
        <f t="shared" si="56"/>
        <v>94.35082345591735</v>
      </c>
      <c r="G123" s="50">
        <f t="shared" si="51"/>
        <v>48.728701763157623</v>
      </c>
      <c r="H123" s="50">
        <f t="shared" si="57"/>
        <v>55</v>
      </c>
      <c r="I123" s="50">
        <f t="shared" si="52"/>
        <v>5.2754541612368522</v>
      </c>
      <c r="J123" s="59">
        <f t="shared" si="53"/>
        <v>90.456063651962936</v>
      </c>
      <c r="K123" s="59"/>
      <c r="L123" s="59"/>
    </row>
    <row r="124" spans="1:12" x14ac:dyDescent="0.25">
      <c r="A124" s="48">
        <f t="shared" si="48"/>
        <v>125</v>
      </c>
      <c r="B124" s="48">
        <v>1</v>
      </c>
      <c r="C124" s="49">
        <f>M52</f>
        <v>9.3553379046588105</v>
      </c>
      <c r="D124" s="49">
        <f t="shared" si="54"/>
        <v>2.377552827945296</v>
      </c>
      <c r="E124" s="49">
        <f>J37</f>
        <v>14.260912698412696</v>
      </c>
      <c r="F124" s="50">
        <f>(A124*1)/(A124*1+SUM(M52,M66,M80,M96))*100</f>
        <v>91.419116008050281</v>
      </c>
      <c r="G124" s="50">
        <f>(SUM($N$11*$S$11+$O$11*$T$11+$P$11*$U$11+$Q$11*$V$11+$R$11*$W$11)*B124)/0.000001</f>
        <v>48.728701763157623</v>
      </c>
      <c r="H124" s="50">
        <f>5*SUM(D37:E37)</f>
        <v>55</v>
      </c>
      <c r="I124" s="50">
        <f>SUM(C124:E124)</f>
        <v>25.993803431016801</v>
      </c>
      <c r="J124" s="59">
        <f>((A124*1)/(A124*1+I124))*100</f>
        <v>82.784854185826006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E22B-F92B-4EB1-81AF-5F2EFAEA0DB7}">
  <dimension ref="A1:AJ124"/>
  <sheetViews>
    <sheetView topLeftCell="A81" zoomScale="83" workbookViewId="0">
      <selection activeCell="C9" sqref="C9"/>
    </sheetView>
  </sheetViews>
  <sheetFormatPr defaultRowHeight="13.8" x14ac:dyDescent="0.25"/>
  <cols>
    <col min="1" max="1" width="13.21875" style="53" customWidth="1"/>
    <col min="2" max="2" width="13" style="53" customWidth="1"/>
    <col min="3" max="3" width="12.109375" style="53" customWidth="1"/>
    <col min="4" max="4" width="10.5546875" style="53" customWidth="1"/>
    <col min="5" max="5" width="10.77734375" style="53" customWidth="1"/>
    <col min="6" max="6" width="9.33203125" style="53" customWidth="1"/>
    <col min="7" max="11" width="10.77734375" style="53" customWidth="1"/>
    <col min="12" max="12" width="10.6640625" style="53" customWidth="1"/>
    <col min="13" max="13" width="10.88671875" style="53" customWidth="1"/>
    <col min="14" max="14" width="12.6640625" style="53" bestFit="1" customWidth="1"/>
    <col min="15" max="15" width="14.6640625" style="53" bestFit="1" customWidth="1"/>
    <col min="16" max="16" width="10.21875" style="53" customWidth="1"/>
    <col min="17" max="17" width="13.44140625" style="53" bestFit="1" customWidth="1"/>
    <col min="18" max="19" width="12.6640625" style="53" customWidth="1"/>
    <col min="20" max="20" width="12.5546875" style="53" bestFit="1" customWidth="1"/>
    <col min="21" max="21" width="12.6640625" style="53" bestFit="1" customWidth="1"/>
    <col min="22" max="22" width="11.21875" style="53" customWidth="1"/>
    <col min="23" max="23" width="9.6640625" style="53" bestFit="1" customWidth="1"/>
    <col min="24" max="24" width="11.88671875" style="53" bestFit="1" customWidth="1"/>
    <col min="25" max="25" width="10.33203125" style="53" customWidth="1"/>
    <col min="26" max="26" width="9.77734375" style="53" customWidth="1"/>
    <col min="27" max="27" width="9.6640625" style="53" bestFit="1" customWidth="1"/>
    <col min="28" max="28" width="10.21875" style="53" customWidth="1"/>
    <col min="29" max="29" width="9.33203125" style="53" bestFit="1" customWidth="1"/>
    <col min="30" max="30" width="39.5546875" style="53" customWidth="1"/>
    <col min="31" max="31" width="9.33203125" style="53" bestFit="1" customWidth="1"/>
    <col min="32" max="32" width="9.6640625" style="53" bestFit="1" customWidth="1"/>
    <col min="33" max="34" width="9.33203125" style="53" bestFit="1" customWidth="1"/>
    <col min="35" max="35" width="9.6640625" style="53" bestFit="1" customWidth="1"/>
    <col min="36" max="36" width="10.44140625" style="53" bestFit="1" customWidth="1"/>
    <col min="37" max="38" width="9.6640625" style="53" bestFit="1" customWidth="1"/>
    <col min="39" max="39" width="10.109375" style="53" customWidth="1"/>
    <col min="40" max="41" width="9.44140625" style="53" bestFit="1" customWidth="1"/>
    <col min="42" max="42" width="12.109375" style="53" bestFit="1" customWidth="1"/>
    <col min="43" max="43" width="9.44140625" style="53" bestFit="1" customWidth="1"/>
    <col min="44" max="44" width="12.44140625" style="53" bestFit="1" customWidth="1"/>
    <col min="45" max="45" width="10.77734375" style="53" customWidth="1"/>
    <col min="46" max="16384" width="8.88671875" style="53"/>
  </cols>
  <sheetData>
    <row r="1" spans="1:36" s="57" customFormat="1" ht="61.2" customHeight="1" thickBot="1" x14ac:dyDescent="0.35">
      <c r="A1" s="60" t="str">
        <f>Sheet1!A1</f>
        <v>Output Current (A)</v>
      </c>
      <c r="B1" s="60" t="str">
        <f>Sheet1!B1</f>
        <v>Technology</v>
      </c>
      <c r="C1" s="60" t="str">
        <f>Sheet1!C1</f>
        <v>Cgs0</v>
      </c>
      <c r="D1" s="60" t="str">
        <f>Sheet1!D1</f>
        <v>Coss0</v>
      </c>
      <c r="E1" s="60" t="str">
        <f>Sheet1!E1</f>
        <v>u</v>
      </c>
      <c r="F1" s="60" t="str">
        <f>Sheet1!F1</f>
        <v>Vg</v>
      </c>
      <c r="G1" s="60" t="str">
        <f>Sheet1!G1</f>
        <v>Vth</v>
      </c>
      <c r="H1" s="60" t="str">
        <f>Sheet1!H1</f>
        <v>Vpl</v>
      </c>
      <c r="I1" s="60" t="str">
        <f>Sheet1!I1</f>
        <v>Rg</v>
      </c>
      <c r="J1" s="60" t="str">
        <f>Sheet1!J1</f>
        <v>Rdr</v>
      </c>
      <c r="K1" s="60" t="s">
        <v>176</v>
      </c>
      <c r="L1" s="75" t="s">
        <v>177</v>
      </c>
      <c r="M1" s="60" t="str">
        <f>Sheet1!K1</f>
        <v>Fsw</v>
      </c>
      <c r="N1" s="60" t="str">
        <f>Sheet1!L1</f>
        <v>Vin</v>
      </c>
      <c r="O1" s="60" t="str">
        <f>Sheet1!M1</f>
        <v>Vout</v>
      </c>
      <c r="P1" s="60" t="str">
        <f>Sheet1!N1</f>
        <v>D</v>
      </c>
      <c r="Q1" s="60" t="str">
        <f>Sheet1!O1</f>
        <v>Tox</v>
      </c>
      <c r="R1" s="60" t="str">
        <f>Sheet1!P1</f>
        <v>Cox</v>
      </c>
      <c r="S1" s="60" t="str">
        <f>Sheet1!Q1</f>
        <v>Kp</v>
      </c>
      <c r="T1" s="60" t="s">
        <v>48</v>
      </c>
      <c r="U1" s="60" t="s">
        <v>166</v>
      </c>
      <c r="V1" s="60" t="s">
        <v>167</v>
      </c>
      <c r="AD1" s="63"/>
      <c r="AJ1" s="64"/>
    </row>
    <row r="2" spans="1:36" ht="27.6" x14ac:dyDescent="0.25">
      <c r="A2" s="48">
        <v>125</v>
      </c>
      <c r="B2" s="57" t="str">
        <f>Sheet1!B2</f>
        <v>130nm-12V_LDMOS</v>
      </c>
      <c r="C2" s="49">
        <f>Sheet1!C2</f>
        <v>2.1349999999999999E-4</v>
      </c>
      <c r="D2" s="49">
        <f>Sheet1!D2</f>
        <v>1.5000000000000001E-4</v>
      </c>
      <c r="E2" s="49"/>
      <c r="F2" s="48">
        <v>5</v>
      </c>
      <c r="G2" s="48">
        <f>Sheet1!G2</f>
        <v>2.13</v>
      </c>
      <c r="H2" s="48">
        <f>Sheet1!H2</f>
        <v>2.5</v>
      </c>
      <c r="I2" s="48">
        <f>Sheet1!I2</f>
        <v>0.4</v>
      </c>
      <c r="J2" s="48">
        <f>Sheet1!J2</f>
        <v>0.7</v>
      </c>
      <c r="K2" s="63">
        <v>2.4999999999999999E-7</v>
      </c>
      <c r="L2" s="49">
        <v>2.4999999999999999E-7</v>
      </c>
      <c r="M2" s="49">
        <f>(((N2/3)-2*O2)*P2)/(0.1*A2*K2)</f>
        <v>280000</v>
      </c>
      <c r="N2" s="48">
        <v>48</v>
      </c>
      <c r="O2" s="48">
        <f>Sheet1!M2</f>
        <v>1</v>
      </c>
      <c r="P2" s="48">
        <f>(O2/N2)*3</f>
        <v>6.25E-2</v>
      </c>
      <c r="Q2" s="48"/>
      <c r="R2" s="49"/>
      <c r="S2" s="49">
        <f>Sheet1!Q2</f>
        <v>67.400000000000006</v>
      </c>
      <c r="T2" s="50">
        <f>(F2-0.5*(G2+H2))/(I2+J2)</f>
        <v>2.4409090909090909</v>
      </c>
      <c r="U2" s="49">
        <v>2.0000000000000001E-9</v>
      </c>
      <c r="V2" s="49">
        <v>2.0000000000000001E-9</v>
      </c>
    </row>
    <row r="3" spans="1:36" x14ac:dyDescent="0.25">
      <c r="A3" s="48"/>
      <c r="B3" s="48"/>
      <c r="C3" s="49"/>
      <c r="D3" s="49"/>
      <c r="E3" s="49"/>
      <c r="F3" s="48"/>
      <c r="G3" s="50"/>
      <c r="H3" s="50"/>
      <c r="I3" s="50"/>
      <c r="J3" s="50"/>
      <c r="K3" s="49"/>
      <c r="L3" s="48"/>
      <c r="M3" s="48"/>
      <c r="N3" s="52"/>
      <c r="O3" s="50"/>
    </row>
    <row r="4" spans="1:36" x14ac:dyDescent="0.25">
      <c r="A4" s="54"/>
    </row>
    <row r="5" spans="1:36" x14ac:dyDescent="0.25">
      <c r="A5" s="54"/>
    </row>
    <row r="6" spans="1:36" x14ac:dyDescent="0.25">
      <c r="A6" s="54"/>
    </row>
    <row r="7" spans="1:36" x14ac:dyDescent="0.25">
      <c r="A7" s="54"/>
    </row>
    <row r="8" spans="1:36" x14ac:dyDescent="0.25">
      <c r="A8" s="54"/>
    </row>
    <row r="9" spans="1:36" ht="14.4" thickBot="1" x14ac:dyDescent="0.3">
      <c r="C9" s="72"/>
      <c r="AD9" s="77" t="s">
        <v>109</v>
      </c>
      <c r="AE9" s="78" t="s">
        <v>157</v>
      </c>
      <c r="AF9" s="78" t="s">
        <v>158</v>
      </c>
    </row>
    <row r="10" spans="1:36" ht="28.2" thickBot="1" x14ac:dyDescent="0.3">
      <c r="A10" s="55" t="s">
        <v>17</v>
      </c>
      <c r="B10" s="62" t="s">
        <v>53</v>
      </c>
      <c r="C10" s="62" t="s">
        <v>54</v>
      </c>
      <c r="D10" s="60" t="s">
        <v>55</v>
      </c>
      <c r="E10" s="60" t="s">
        <v>56</v>
      </c>
      <c r="F10" s="60" t="s">
        <v>57</v>
      </c>
      <c r="G10" s="60" t="s">
        <v>58</v>
      </c>
      <c r="H10" s="60" t="s">
        <v>59</v>
      </c>
      <c r="I10" s="60" t="s">
        <v>60</v>
      </c>
      <c r="J10" s="60" t="s">
        <v>61</v>
      </c>
      <c r="K10" s="60" t="s">
        <v>62</v>
      </c>
      <c r="L10" s="60" t="s">
        <v>63</v>
      </c>
      <c r="M10" s="71" t="s">
        <v>64</v>
      </c>
      <c r="N10" s="71" t="s">
        <v>69</v>
      </c>
      <c r="O10" s="74" t="s">
        <v>70</v>
      </c>
      <c r="P10" s="74" t="s">
        <v>71</v>
      </c>
      <c r="Q10" s="74" t="s">
        <v>72</v>
      </c>
      <c r="R10" s="75" t="s">
        <v>73</v>
      </c>
      <c r="S10" s="74" t="s">
        <v>74</v>
      </c>
      <c r="T10" s="74" t="s">
        <v>75</v>
      </c>
      <c r="U10" s="74" t="s">
        <v>77</v>
      </c>
      <c r="V10" s="74" t="s">
        <v>76</v>
      </c>
      <c r="W10" s="74" t="s">
        <v>78</v>
      </c>
      <c r="X10" s="71" t="s">
        <v>148</v>
      </c>
      <c r="Y10" s="74" t="s">
        <v>149</v>
      </c>
      <c r="Z10" s="74" t="s">
        <v>150</v>
      </c>
      <c r="AA10" s="74" t="s">
        <v>151</v>
      </c>
      <c r="AB10" s="75" t="s">
        <v>152</v>
      </c>
      <c r="AD10" s="78" t="s">
        <v>67</v>
      </c>
      <c r="AE10" s="79"/>
      <c r="AF10" s="79"/>
    </row>
    <row r="11" spans="1:36" x14ac:dyDescent="0.25">
      <c r="A11" s="48">
        <f>A2</f>
        <v>125</v>
      </c>
      <c r="B11" s="50">
        <f>A11/3</f>
        <v>41.666666666666664</v>
      </c>
      <c r="C11" s="50">
        <f>(2*A11)/3</f>
        <v>83.333333333333329</v>
      </c>
      <c r="D11" s="50">
        <f>SQRT($P$2)*(C11/2)</f>
        <v>10.416666666666666</v>
      </c>
      <c r="E11" s="50">
        <f t="shared" ref="E11:E22" si="0">SQRT($P$2)*(B11)</f>
        <v>10.416666666666666</v>
      </c>
      <c r="F11" s="50">
        <f>SQRT(1-$P$2)*B11</f>
        <v>40.343576522993928</v>
      </c>
      <c r="G11" s="50">
        <f t="shared" ref="G11:G22" si="1">SQRT($P$2)*(C11/2)</f>
        <v>10.416666666666666</v>
      </c>
      <c r="H11" s="50">
        <f t="shared" ref="H11:H22" si="2">SQRT(1-$P$2)*C11</f>
        <v>80.687153045987856</v>
      </c>
      <c r="I11" s="48">
        <f t="shared" ref="I11:I22" si="3">$N$2/3</f>
        <v>16</v>
      </c>
      <c r="J11" s="48">
        <f t="shared" ref="J11:J22" si="4">(2*$N$2)/3</f>
        <v>32</v>
      </c>
      <c r="K11" s="48">
        <f t="shared" ref="K11:K22" si="5">$N$2/3</f>
        <v>16</v>
      </c>
      <c r="L11" s="48">
        <f t="shared" ref="L11:L22" si="6">(2*$N$2)/3</f>
        <v>32</v>
      </c>
      <c r="M11" s="48">
        <f t="shared" ref="M11:M22" si="7">$N$2/3</f>
        <v>16</v>
      </c>
      <c r="N11" s="49">
        <f>(D11/(I11))*SQRT(1/($M$2*($F$2-$G$2)*$S$2*((D11/$T$2)*$C$2+($D$2/(2))+(($F$2^2)/(I11^2))*$C$2)))</f>
        <v>2.7877314447007566E-3</v>
      </c>
      <c r="O11" s="49">
        <f>(E11/(J11))*SQRT(1/($M$2*($F$2-$G$2)*$S$2*((E11/$T$2)*$C$2+($D$2/(2))+(($F$2^2)/(J11^2))*$C$2)))</f>
        <v>1.4048160907469719E-3</v>
      </c>
      <c r="P11" s="49">
        <f>(F11/(K11))*SQRT((1)/($M$2*($F$2-$G$2)*$S$2*(($D$2/(2))+(($F$2^2)/(K11^2))*$C$2)))</f>
        <v>3.4995268331323402E-2</v>
      </c>
      <c r="Q11" s="49">
        <f>(G11/(L11))*SQRT(1/($M$2*($F$2-$G$2)*$S$2*((G11/$T$2)*$C$2+($D$2/(2))+(($F$2^2)/(L11^2))*$C$2)))</f>
        <v>1.4048160907469719E-3</v>
      </c>
      <c r="R11" s="49">
        <f>(H11/(M11))*SQRT((1)/($M$2*($F$2-$G$2)*$S$2*(($D$2/(2))+(($F$2^2)/(M11^2))*$C$2)))</f>
        <v>6.9990536662646805E-2</v>
      </c>
      <c r="S11" s="49">
        <v>1.6999999999999999E-3</v>
      </c>
      <c r="T11" s="49">
        <v>1.6999999999999999E-3</v>
      </c>
      <c r="U11" s="49">
        <v>1.6999999999999999E-3</v>
      </c>
      <c r="V11" s="49">
        <v>1.6999999999999999E-3</v>
      </c>
      <c r="W11" s="49">
        <v>1.6999999999999999E-3</v>
      </c>
      <c r="X11" s="59">
        <f>(2*D11*S11)/($S$2*($F$2-$G$2)^2)</f>
        <v>6.3794611061158168E-5</v>
      </c>
      <c r="Y11" s="59">
        <f>(2*E11*T11)/($S$2*($F$2-$G$2)^2)</f>
        <v>6.3794611061158168E-5</v>
      </c>
      <c r="Z11" s="59">
        <f>(2*F11*U11)/($S$2*($F$2-$G$2)^2)</f>
        <v>2.4707546621764503E-4</v>
      </c>
      <c r="AA11" s="59">
        <f>(2*G11*V11)/($S$2*($F$2-$G$2)^2)</f>
        <v>6.3794611061158168E-5</v>
      </c>
      <c r="AB11" s="59">
        <f>(2*H11*W11)/($S$2*($F$2-$G$2)^2)</f>
        <v>4.9415093243529006E-4</v>
      </c>
      <c r="AD11" s="77" t="str">
        <f>D1</f>
        <v>Coss0</v>
      </c>
      <c r="AE11" s="79"/>
      <c r="AF11" s="79"/>
    </row>
    <row r="12" spans="1:36" x14ac:dyDescent="0.25">
      <c r="A12" s="48">
        <v>5</v>
      </c>
      <c r="B12" s="50">
        <f t="shared" ref="B12:B22" si="8">A12/3</f>
        <v>1.6666666666666667</v>
      </c>
      <c r="C12" s="50">
        <f t="shared" ref="C12:C22" si="9">(2*A12)/3</f>
        <v>3.3333333333333335</v>
      </c>
      <c r="D12" s="50">
        <f t="shared" ref="D12:D22" si="10">SQRT($P$2)*(C12/2)</f>
        <v>0.41666666666666669</v>
      </c>
      <c r="E12" s="50">
        <f t="shared" si="0"/>
        <v>0.41666666666666669</v>
      </c>
      <c r="F12" s="50">
        <f t="shared" ref="F12:F22" si="11">SQRT(1-$P$2)*B12</f>
        <v>1.6137430609197572</v>
      </c>
      <c r="G12" s="50">
        <f t="shared" si="1"/>
        <v>0.41666666666666669</v>
      </c>
      <c r="H12" s="50">
        <f t="shared" si="2"/>
        <v>3.2274861218395143</v>
      </c>
      <c r="I12" s="48">
        <f t="shared" si="3"/>
        <v>16</v>
      </c>
      <c r="J12" s="48">
        <f t="shared" si="4"/>
        <v>32</v>
      </c>
      <c r="K12" s="48">
        <f t="shared" si="5"/>
        <v>16</v>
      </c>
      <c r="L12" s="48">
        <f t="shared" si="6"/>
        <v>32</v>
      </c>
      <c r="M12" s="48">
        <f t="shared" si="7"/>
        <v>16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AD12" s="78"/>
      <c r="AE12" s="79"/>
      <c r="AF12" s="79"/>
    </row>
    <row r="13" spans="1:36" x14ac:dyDescent="0.25">
      <c r="A13" s="48">
        <v>10</v>
      </c>
      <c r="B13" s="50">
        <f t="shared" si="8"/>
        <v>3.3333333333333335</v>
      </c>
      <c r="C13" s="50">
        <f t="shared" si="9"/>
        <v>6.666666666666667</v>
      </c>
      <c r="D13" s="50">
        <f t="shared" si="10"/>
        <v>0.83333333333333337</v>
      </c>
      <c r="E13" s="50">
        <f t="shared" si="0"/>
        <v>0.83333333333333337</v>
      </c>
      <c r="F13" s="50">
        <f t="shared" si="11"/>
        <v>3.2274861218395143</v>
      </c>
      <c r="G13" s="50">
        <f t="shared" si="1"/>
        <v>0.83333333333333337</v>
      </c>
      <c r="H13" s="50">
        <f t="shared" si="2"/>
        <v>6.4549722436790287</v>
      </c>
      <c r="I13" s="48">
        <f t="shared" si="3"/>
        <v>16</v>
      </c>
      <c r="J13" s="48">
        <f t="shared" si="4"/>
        <v>32</v>
      </c>
      <c r="K13" s="48">
        <f t="shared" si="5"/>
        <v>16</v>
      </c>
      <c r="L13" s="48">
        <f t="shared" si="6"/>
        <v>32</v>
      </c>
      <c r="M13" s="48">
        <f t="shared" si="7"/>
        <v>16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AD13" s="78"/>
      <c r="AE13" s="79"/>
      <c r="AF13" s="79"/>
    </row>
    <row r="14" spans="1:36" x14ac:dyDescent="0.25">
      <c r="A14" s="48">
        <v>15</v>
      </c>
      <c r="B14" s="50">
        <f t="shared" si="8"/>
        <v>5</v>
      </c>
      <c r="C14" s="50">
        <f t="shared" si="9"/>
        <v>10</v>
      </c>
      <c r="D14" s="50">
        <f t="shared" si="10"/>
        <v>1.25</v>
      </c>
      <c r="E14" s="50">
        <f t="shared" si="0"/>
        <v>1.25</v>
      </c>
      <c r="F14" s="50">
        <f t="shared" si="11"/>
        <v>4.8412291827592711</v>
      </c>
      <c r="G14" s="50">
        <f t="shared" si="1"/>
        <v>1.25</v>
      </c>
      <c r="H14" s="50">
        <f t="shared" si="2"/>
        <v>9.6824583655185421</v>
      </c>
      <c r="I14" s="48">
        <f t="shared" si="3"/>
        <v>16</v>
      </c>
      <c r="J14" s="48">
        <f t="shared" si="4"/>
        <v>32</v>
      </c>
      <c r="K14" s="48">
        <f t="shared" si="5"/>
        <v>16</v>
      </c>
      <c r="L14" s="48">
        <f t="shared" si="6"/>
        <v>32</v>
      </c>
      <c r="M14" s="48">
        <f t="shared" si="7"/>
        <v>16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AD14" s="78"/>
      <c r="AE14" s="79"/>
      <c r="AF14" s="79"/>
    </row>
    <row r="15" spans="1:36" x14ac:dyDescent="0.25">
      <c r="A15" s="48">
        <v>20</v>
      </c>
      <c r="B15" s="50">
        <f t="shared" si="8"/>
        <v>6.666666666666667</v>
      </c>
      <c r="C15" s="50">
        <f t="shared" si="9"/>
        <v>13.333333333333334</v>
      </c>
      <c r="D15" s="50">
        <f t="shared" si="10"/>
        <v>1.6666666666666667</v>
      </c>
      <c r="E15" s="50">
        <f t="shared" si="0"/>
        <v>1.6666666666666667</v>
      </c>
      <c r="F15" s="50">
        <f t="shared" si="11"/>
        <v>6.4549722436790287</v>
      </c>
      <c r="G15" s="50">
        <f t="shared" si="1"/>
        <v>1.6666666666666667</v>
      </c>
      <c r="H15" s="50">
        <f t="shared" si="2"/>
        <v>12.909944487358057</v>
      </c>
      <c r="I15" s="48">
        <f t="shared" si="3"/>
        <v>16</v>
      </c>
      <c r="J15" s="48">
        <f t="shared" si="4"/>
        <v>32</v>
      </c>
      <c r="K15" s="48">
        <f t="shared" si="5"/>
        <v>16</v>
      </c>
      <c r="L15" s="48">
        <f t="shared" si="6"/>
        <v>32</v>
      </c>
      <c r="M15" s="48">
        <f t="shared" si="7"/>
        <v>16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AD15" s="78"/>
      <c r="AE15" s="79"/>
      <c r="AF15" s="79"/>
    </row>
    <row r="16" spans="1:36" x14ac:dyDescent="0.25">
      <c r="A16" s="48">
        <v>25</v>
      </c>
      <c r="B16" s="50">
        <f t="shared" si="8"/>
        <v>8.3333333333333339</v>
      </c>
      <c r="C16" s="50">
        <f t="shared" si="9"/>
        <v>16.666666666666668</v>
      </c>
      <c r="D16" s="50">
        <f t="shared" si="10"/>
        <v>2.0833333333333335</v>
      </c>
      <c r="E16" s="50">
        <f t="shared" si="0"/>
        <v>2.0833333333333335</v>
      </c>
      <c r="F16" s="50">
        <f t="shared" si="11"/>
        <v>8.0687153045987863</v>
      </c>
      <c r="G16" s="50">
        <f t="shared" si="1"/>
        <v>2.0833333333333335</v>
      </c>
      <c r="H16" s="50">
        <f t="shared" si="2"/>
        <v>16.137430609197573</v>
      </c>
      <c r="I16" s="48">
        <f t="shared" si="3"/>
        <v>16</v>
      </c>
      <c r="J16" s="48">
        <f t="shared" si="4"/>
        <v>32</v>
      </c>
      <c r="K16" s="48">
        <f t="shared" si="5"/>
        <v>16</v>
      </c>
      <c r="L16" s="48">
        <f t="shared" si="6"/>
        <v>32</v>
      </c>
      <c r="M16" s="48">
        <f t="shared" si="7"/>
        <v>16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AD16" s="78"/>
      <c r="AE16" s="79"/>
      <c r="AF16" s="79"/>
    </row>
    <row r="17" spans="1:34" x14ac:dyDescent="0.25">
      <c r="A17" s="48">
        <v>30</v>
      </c>
      <c r="B17" s="50">
        <f t="shared" si="8"/>
        <v>10</v>
      </c>
      <c r="C17" s="50">
        <f t="shared" si="9"/>
        <v>20</v>
      </c>
      <c r="D17" s="50">
        <f t="shared" si="10"/>
        <v>2.5</v>
      </c>
      <c r="E17" s="50">
        <f t="shared" si="0"/>
        <v>2.5</v>
      </c>
      <c r="F17" s="50">
        <f t="shared" si="11"/>
        <v>9.6824583655185421</v>
      </c>
      <c r="G17" s="50">
        <f t="shared" si="1"/>
        <v>2.5</v>
      </c>
      <c r="H17" s="50">
        <f t="shared" si="2"/>
        <v>19.364916731037084</v>
      </c>
      <c r="I17" s="48">
        <f t="shared" si="3"/>
        <v>16</v>
      </c>
      <c r="J17" s="48">
        <f t="shared" si="4"/>
        <v>32</v>
      </c>
      <c r="K17" s="48">
        <f t="shared" si="5"/>
        <v>16</v>
      </c>
      <c r="L17" s="48">
        <f t="shared" si="6"/>
        <v>32</v>
      </c>
      <c r="M17" s="48">
        <f t="shared" si="7"/>
        <v>16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AD17" s="78"/>
      <c r="AE17" s="79"/>
      <c r="AF17" s="79"/>
    </row>
    <row r="18" spans="1:34" x14ac:dyDescent="0.25">
      <c r="A18" s="48">
        <v>35</v>
      </c>
      <c r="B18" s="50">
        <f t="shared" si="8"/>
        <v>11.666666666666666</v>
      </c>
      <c r="C18" s="50">
        <f t="shared" si="9"/>
        <v>23.333333333333332</v>
      </c>
      <c r="D18" s="50">
        <f t="shared" si="10"/>
        <v>2.9166666666666665</v>
      </c>
      <c r="E18" s="50">
        <f t="shared" si="0"/>
        <v>2.9166666666666665</v>
      </c>
      <c r="F18" s="50">
        <f t="shared" si="11"/>
        <v>11.2962014264383</v>
      </c>
      <c r="G18" s="50">
        <f t="shared" si="1"/>
        <v>2.9166666666666665</v>
      </c>
      <c r="H18" s="50">
        <f t="shared" si="2"/>
        <v>22.592402852876599</v>
      </c>
      <c r="I18" s="48">
        <f t="shared" si="3"/>
        <v>16</v>
      </c>
      <c r="J18" s="48">
        <f t="shared" si="4"/>
        <v>32</v>
      </c>
      <c r="K18" s="48">
        <f t="shared" si="5"/>
        <v>16</v>
      </c>
      <c r="L18" s="48">
        <f t="shared" si="6"/>
        <v>32</v>
      </c>
      <c r="M18" s="48">
        <f t="shared" si="7"/>
        <v>16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AD18" s="78"/>
      <c r="AE18" s="79"/>
      <c r="AF18" s="79"/>
    </row>
    <row r="19" spans="1:34" x14ac:dyDescent="0.25">
      <c r="A19" s="48">
        <v>40</v>
      </c>
      <c r="B19" s="50">
        <f t="shared" si="8"/>
        <v>13.333333333333334</v>
      </c>
      <c r="C19" s="50">
        <f t="shared" si="9"/>
        <v>26.666666666666668</v>
      </c>
      <c r="D19" s="50">
        <f t="shared" si="10"/>
        <v>3.3333333333333335</v>
      </c>
      <c r="E19" s="50">
        <f t="shared" si="0"/>
        <v>3.3333333333333335</v>
      </c>
      <c r="F19" s="50">
        <f t="shared" si="11"/>
        <v>12.909944487358057</v>
      </c>
      <c r="G19" s="50">
        <f t="shared" si="1"/>
        <v>3.3333333333333335</v>
      </c>
      <c r="H19" s="50">
        <f t="shared" si="2"/>
        <v>25.819888974716115</v>
      </c>
      <c r="I19" s="48">
        <f t="shared" si="3"/>
        <v>16</v>
      </c>
      <c r="J19" s="48">
        <f t="shared" si="4"/>
        <v>32</v>
      </c>
      <c r="K19" s="48">
        <f t="shared" si="5"/>
        <v>16</v>
      </c>
      <c r="L19" s="48">
        <f t="shared" si="6"/>
        <v>32</v>
      </c>
      <c r="M19" s="48">
        <f t="shared" si="7"/>
        <v>16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AD19" s="78"/>
      <c r="AE19" s="79"/>
      <c r="AF19" s="79"/>
    </row>
    <row r="20" spans="1:34" x14ac:dyDescent="0.25">
      <c r="A20" s="48">
        <v>45</v>
      </c>
      <c r="B20" s="50">
        <f t="shared" si="8"/>
        <v>15</v>
      </c>
      <c r="C20" s="50">
        <f t="shared" si="9"/>
        <v>30</v>
      </c>
      <c r="D20" s="50">
        <f t="shared" si="10"/>
        <v>3.75</v>
      </c>
      <c r="E20" s="50">
        <f t="shared" si="0"/>
        <v>3.75</v>
      </c>
      <c r="F20" s="50">
        <f t="shared" si="11"/>
        <v>14.523687548277813</v>
      </c>
      <c r="G20" s="50">
        <f t="shared" si="1"/>
        <v>3.75</v>
      </c>
      <c r="H20" s="50">
        <f t="shared" si="2"/>
        <v>29.047375096555626</v>
      </c>
      <c r="I20" s="48">
        <f t="shared" si="3"/>
        <v>16</v>
      </c>
      <c r="J20" s="48">
        <f t="shared" si="4"/>
        <v>32</v>
      </c>
      <c r="K20" s="48">
        <f t="shared" si="5"/>
        <v>16</v>
      </c>
      <c r="L20" s="48">
        <f t="shared" si="6"/>
        <v>32</v>
      </c>
      <c r="M20" s="48">
        <f t="shared" si="7"/>
        <v>16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AD20" s="78"/>
      <c r="AE20" s="79"/>
      <c r="AF20" s="79"/>
    </row>
    <row r="21" spans="1:34" x14ac:dyDescent="0.25">
      <c r="A21" s="48">
        <v>50</v>
      </c>
      <c r="B21" s="50">
        <f t="shared" si="8"/>
        <v>16.666666666666668</v>
      </c>
      <c r="C21" s="50">
        <f t="shared" si="9"/>
        <v>33.333333333333336</v>
      </c>
      <c r="D21" s="50">
        <f t="shared" si="10"/>
        <v>4.166666666666667</v>
      </c>
      <c r="E21" s="50">
        <f t="shared" si="0"/>
        <v>4.166666666666667</v>
      </c>
      <c r="F21" s="50">
        <f t="shared" si="11"/>
        <v>16.137430609197573</v>
      </c>
      <c r="G21" s="50">
        <f t="shared" si="1"/>
        <v>4.166666666666667</v>
      </c>
      <c r="H21" s="50">
        <f t="shared" si="2"/>
        <v>32.274861218395145</v>
      </c>
      <c r="I21" s="48">
        <f t="shared" si="3"/>
        <v>16</v>
      </c>
      <c r="J21" s="48">
        <f t="shared" si="4"/>
        <v>32</v>
      </c>
      <c r="K21" s="48">
        <f t="shared" si="5"/>
        <v>16</v>
      </c>
      <c r="L21" s="48">
        <f t="shared" si="6"/>
        <v>32</v>
      </c>
      <c r="M21" s="48">
        <f t="shared" si="7"/>
        <v>16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AD21" s="78"/>
      <c r="AE21" s="79"/>
      <c r="AF21" s="79"/>
    </row>
    <row r="22" spans="1:34" ht="14.4" thickBot="1" x14ac:dyDescent="0.3">
      <c r="A22" s="48">
        <v>125</v>
      </c>
      <c r="B22" s="50">
        <f t="shared" si="8"/>
        <v>41.666666666666664</v>
      </c>
      <c r="C22" s="50">
        <f t="shared" si="9"/>
        <v>83.333333333333329</v>
      </c>
      <c r="D22" s="50">
        <f t="shared" si="10"/>
        <v>10.416666666666666</v>
      </c>
      <c r="E22" s="50">
        <f t="shared" si="0"/>
        <v>10.416666666666666</v>
      </c>
      <c r="F22" s="50">
        <f t="shared" si="11"/>
        <v>40.343576522993928</v>
      </c>
      <c r="G22" s="50">
        <f t="shared" si="1"/>
        <v>10.416666666666666</v>
      </c>
      <c r="H22" s="50">
        <f t="shared" si="2"/>
        <v>80.687153045987856</v>
      </c>
      <c r="I22" s="48">
        <f t="shared" si="3"/>
        <v>16</v>
      </c>
      <c r="J22" s="48">
        <f t="shared" si="4"/>
        <v>32</v>
      </c>
      <c r="K22" s="48">
        <f t="shared" si="5"/>
        <v>16</v>
      </c>
      <c r="L22" s="48">
        <f t="shared" si="6"/>
        <v>32</v>
      </c>
      <c r="M22" s="48">
        <f t="shared" si="7"/>
        <v>16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AD22" s="78"/>
      <c r="AE22" s="79"/>
      <c r="AF22" s="79"/>
    </row>
    <row r="23" spans="1:34" ht="42" thickBot="1" x14ac:dyDescent="0.3">
      <c r="A23" s="73" t="s">
        <v>170</v>
      </c>
      <c r="B23" s="50"/>
      <c r="C23" s="50"/>
      <c r="D23" s="50"/>
      <c r="E23" s="50"/>
      <c r="F23" s="50"/>
      <c r="G23" s="50"/>
      <c r="H23" s="50"/>
      <c r="I23" s="48"/>
      <c r="J23" s="48"/>
      <c r="K23" s="48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49"/>
      <c r="W23" s="49"/>
      <c r="AD23" s="78"/>
      <c r="AE23" s="79"/>
      <c r="AF23" s="79"/>
    </row>
    <row r="24" spans="1:34" ht="14.4" thickBot="1" x14ac:dyDescent="0.3">
      <c r="A24" s="82"/>
      <c r="B24" s="50"/>
      <c r="C24" s="50"/>
      <c r="D24" s="50"/>
      <c r="E24" s="50"/>
      <c r="F24" s="50"/>
      <c r="G24" s="50"/>
      <c r="H24" s="50"/>
      <c r="I24" s="48"/>
      <c r="J24" s="48"/>
      <c r="K24" s="48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49"/>
      <c r="W24" s="49"/>
      <c r="AD24" s="78"/>
      <c r="AE24" s="79"/>
      <c r="AF24" s="79"/>
    </row>
    <row r="25" spans="1:34" ht="28.2" thickBot="1" x14ac:dyDescent="0.3">
      <c r="A25" s="83" t="s">
        <v>17</v>
      </c>
      <c r="B25" s="84" t="s">
        <v>53</v>
      </c>
      <c r="C25" s="84" t="s">
        <v>54</v>
      </c>
      <c r="D25" s="84" t="s">
        <v>184</v>
      </c>
      <c r="E25" s="84" t="s">
        <v>185</v>
      </c>
      <c r="F25" s="84" t="s">
        <v>171</v>
      </c>
      <c r="G25" s="84" t="s">
        <v>172</v>
      </c>
      <c r="H25" s="84" t="s">
        <v>173</v>
      </c>
      <c r="I25" s="84" t="s">
        <v>174</v>
      </c>
      <c r="J25" s="50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AF25" s="78"/>
      <c r="AG25" s="79"/>
      <c r="AH25" s="79"/>
    </row>
    <row r="26" spans="1:34" ht="14.4" thickBot="1" x14ac:dyDescent="0.3">
      <c r="A26" s="87">
        <f t="shared" ref="A26:A37" si="12">A11</f>
        <v>125</v>
      </c>
      <c r="B26" s="88">
        <f>A26/3</f>
        <v>41.666666666666664</v>
      </c>
      <c r="C26" s="88">
        <f>2*A26/3</f>
        <v>83.333333333333329</v>
      </c>
      <c r="D26" s="89">
        <f>IF(B26&gt;5, ROUNDUP(B26/5,0),1)</f>
        <v>9</v>
      </c>
      <c r="E26" s="89">
        <f>IF(C26&gt;5, ROUNDUP(C26/5,0),1)</f>
        <v>17</v>
      </c>
      <c r="F26" s="90">
        <f>0.01/D26</f>
        <v>1.1111111111111111E-3</v>
      </c>
      <c r="G26" s="90">
        <f>0.01/E26</f>
        <v>5.8823529411764712E-4</v>
      </c>
      <c r="H26" s="89"/>
      <c r="I26" s="85"/>
      <c r="J26" s="86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AF26" s="78"/>
      <c r="AG26" s="79"/>
      <c r="AH26" s="79"/>
    </row>
    <row r="27" spans="1:34" x14ac:dyDescent="0.25">
      <c r="A27" s="82">
        <f t="shared" si="12"/>
        <v>5</v>
      </c>
      <c r="B27" s="50">
        <f>A27/3</f>
        <v>1.6666666666666667</v>
      </c>
      <c r="C27" s="50">
        <f>(2*A27)/3</f>
        <v>3.3333333333333335</v>
      </c>
      <c r="D27" s="50">
        <f>$D$26</f>
        <v>9</v>
      </c>
      <c r="E27" s="50">
        <f>$E$26</f>
        <v>17</v>
      </c>
      <c r="F27" s="49">
        <f>$F$26</f>
        <v>1.1111111111111111E-3</v>
      </c>
      <c r="G27" s="49">
        <f>$G$26</f>
        <v>5.8823529411764712E-4</v>
      </c>
      <c r="H27" s="49">
        <f t="shared" ref="H27:I37" si="13">B27^2*F27</f>
        <v>3.08641975308642E-3</v>
      </c>
      <c r="I27" s="49">
        <f t="shared" si="13"/>
        <v>6.5359477124183017E-3</v>
      </c>
      <c r="J27" s="50">
        <f>SUM(H27:I27)</f>
        <v>9.6223674655047213E-3</v>
      </c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AF27" s="78"/>
      <c r="AG27" s="79"/>
      <c r="AH27" s="79"/>
    </row>
    <row r="28" spans="1:34" x14ac:dyDescent="0.25">
      <c r="A28" s="82">
        <f t="shared" si="12"/>
        <v>10</v>
      </c>
      <c r="B28" s="50">
        <f t="shared" ref="B28:B37" si="14">A28/3</f>
        <v>3.3333333333333335</v>
      </c>
      <c r="C28" s="50">
        <f t="shared" ref="C28:C37" si="15">(2*A28)/3</f>
        <v>6.666666666666667</v>
      </c>
      <c r="D28" s="50">
        <f t="shared" ref="D28:D37" si="16">$D$26</f>
        <v>9</v>
      </c>
      <c r="E28" s="50">
        <f t="shared" ref="E28:E37" si="17">$E$26</f>
        <v>17</v>
      </c>
      <c r="F28" s="49">
        <f t="shared" ref="F28:F37" si="18">$F$26</f>
        <v>1.1111111111111111E-3</v>
      </c>
      <c r="G28" s="49">
        <f t="shared" ref="G28:G37" si="19">$G$26</f>
        <v>5.8823529411764712E-4</v>
      </c>
      <c r="H28" s="49">
        <f t="shared" si="13"/>
        <v>1.234567901234568E-2</v>
      </c>
      <c r="I28" s="49">
        <f t="shared" si="13"/>
        <v>2.6143790849673207E-2</v>
      </c>
      <c r="J28" s="50">
        <f t="shared" ref="J28:J37" si="20">SUM(H28:I28)</f>
        <v>3.8489469862018885E-2</v>
      </c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AF28" s="78"/>
      <c r="AG28" s="79"/>
      <c r="AH28" s="79"/>
    </row>
    <row r="29" spans="1:34" x14ac:dyDescent="0.25">
      <c r="A29" s="82">
        <f t="shared" si="12"/>
        <v>15</v>
      </c>
      <c r="B29" s="50">
        <f t="shared" si="14"/>
        <v>5</v>
      </c>
      <c r="C29" s="50">
        <f t="shared" si="15"/>
        <v>10</v>
      </c>
      <c r="D29" s="50">
        <f t="shared" si="16"/>
        <v>9</v>
      </c>
      <c r="E29" s="50">
        <f t="shared" si="17"/>
        <v>17</v>
      </c>
      <c r="F29" s="49">
        <f t="shared" si="18"/>
        <v>1.1111111111111111E-3</v>
      </c>
      <c r="G29" s="49">
        <f t="shared" si="19"/>
        <v>5.8823529411764712E-4</v>
      </c>
      <c r="H29" s="49">
        <f t="shared" si="13"/>
        <v>2.7777777777777776E-2</v>
      </c>
      <c r="I29" s="49">
        <f t="shared" si="13"/>
        <v>5.8823529411764712E-2</v>
      </c>
      <c r="J29" s="50">
        <f t="shared" si="20"/>
        <v>8.6601307189542481E-2</v>
      </c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AF29" s="78"/>
      <c r="AG29" s="79"/>
      <c r="AH29" s="79"/>
    </row>
    <row r="30" spans="1:34" x14ac:dyDescent="0.25">
      <c r="A30" s="82">
        <f t="shared" si="12"/>
        <v>20</v>
      </c>
      <c r="B30" s="50">
        <f t="shared" si="14"/>
        <v>6.666666666666667</v>
      </c>
      <c r="C30" s="50">
        <f t="shared" si="15"/>
        <v>13.333333333333334</v>
      </c>
      <c r="D30" s="50">
        <f t="shared" si="16"/>
        <v>9</v>
      </c>
      <c r="E30" s="50">
        <f t="shared" si="17"/>
        <v>17</v>
      </c>
      <c r="F30" s="49">
        <f t="shared" si="18"/>
        <v>1.1111111111111111E-3</v>
      </c>
      <c r="G30" s="49">
        <f t="shared" si="19"/>
        <v>5.8823529411764712E-4</v>
      </c>
      <c r="H30" s="49">
        <f t="shared" si="13"/>
        <v>4.938271604938272E-2</v>
      </c>
      <c r="I30" s="49">
        <f t="shared" si="13"/>
        <v>0.10457516339869283</v>
      </c>
      <c r="J30" s="50">
        <f t="shared" si="20"/>
        <v>0.15395787944807554</v>
      </c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AF30" s="78"/>
      <c r="AG30" s="79"/>
      <c r="AH30" s="79"/>
    </row>
    <row r="31" spans="1:34" x14ac:dyDescent="0.25">
      <c r="A31" s="82">
        <f t="shared" si="12"/>
        <v>25</v>
      </c>
      <c r="B31" s="50">
        <f t="shared" si="14"/>
        <v>8.3333333333333339</v>
      </c>
      <c r="C31" s="50">
        <f t="shared" si="15"/>
        <v>16.666666666666668</v>
      </c>
      <c r="D31" s="50">
        <f t="shared" si="16"/>
        <v>9</v>
      </c>
      <c r="E31" s="50">
        <f t="shared" si="17"/>
        <v>17</v>
      </c>
      <c r="F31" s="49">
        <f t="shared" si="18"/>
        <v>1.1111111111111111E-3</v>
      </c>
      <c r="G31" s="49">
        <f t="shared" si="19"/>
        <v>5.8823529411764712E-4</v>
      </c>
      <c r="H31" s="49">
        <f t="shared" si="13"/>
        <v>7.7160493827160503E-2</v>
      </c>
      <c r="I31" s="49">
        <f t="shared" si="13"/>
        <v>0.16339869281045757</v>
      </c>
      <c r="J31" s="50">
        <f t="shared" si="20"/>
        <v>0.24055918663761808</v>
      </c>
      <c r="K31" s="50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AF31" s="78"/>
      <c r="AG31" s="79"/>
      <c r="AH31" s="79"/>
    </row>
    <row r="32" spans="1:34" x14ac:dyDescent="0.25">
      <c r="A32" s="82">
        <f t="shared" si="12"/>
        <v>30</v>
      </c>
      <c r="B32" s="50">
        <f t="shared" si="14"/>
        <v>10</v>
      </c>
      <c r="C32" s="50">
        <f t="shared" si="15"/>
        <v>20</v>
      </c>
      <c r="D32" s="50">
        <f t="shared" si="16"/>
        <v>9</v>
      </c>
      <c r="E32" s="50">
        <f t="shared" si="17"/>
        <v>17</v>
      </c>
      <c r="F32" s="49">
        <f t="shared" si="18"/>
        <v>1.1111111111111111E-3</v>
      </c>
      <c r="G32" s="49">
        <f t="shared" si="19"/>
        <v>5.8823529411764712E-4</v>
      </c>
      <c r="H32" s="49">
        <f t="shared" si="13"/>
        <v>0.1111111111111111</v>
      </c>
      <c r="I32" s="49">
        <f t="shared" si="13"/>
        <v>0.23529411764705885</v>
      </c>
      <c r="J32" s="50">
        <f t="shared" si="20"/>
        <v>0.34640522875816993</v>
      </c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AF32" s="78"/>
      <c r="AG32" s="79"/>
      <c r="AH32" s="79"/>
    </row>
    <row r="33" spans="1:34" x14ac:dyDescent="0.25">
      <c r="A33" s="82">
        <f t="shared" si="12"/>
        <v>35</v>
      </c>
      <c r="B33" s="50">
        <f t="shared" si="14"/>
        <v>11.666666666666666</v>
      </c>
      <c r="C33" s="50">
        <f t="shared" si="15"/>
        <v>23.333333333333332</v>
      </c>
      <c r="D33" s="50">
        <f t="shared" si="16"/>
        <v>9</v>
      </c>
      <c r="E33" s="50">
        <f t="shared" si="17"/>
        <v>17</v>
      </c>
      <c r="F33" s="49">
        <f t="shared" si="18"/>
        <v>1.1111111111111111E-3</v>
      </c>
      <c r="G33" s="49">
        <f t="shared" si="19"/>
        <v>5.8823529411764712E-4</v>
      </c>
      <c r="H33" s="49">
        <f t="shared" si="13"/>
        <v>0.15123456790123455</v>
      </c>
      <c r="I33" s="49">
        <f t="shared" si="13"/>
        <v>0.3202614379084967</v>
      </c>
      <c r="J33" s="50">
        <f t="shared" si="20"/>
        <v>0.47149600580973128</v>
      </c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AF33" s="78"/>
      <c r="AG33" s="79"/>
      <c r="AH33" s="79"/>
    </row>
    <row r="34" spans="1:34" x14ac:dyDescent="0.25">
      <c r="A34" s="82">
        <f t="shared" si="12"/>
        <v>40</v>
      </c>
      <c r="B34" s="50">
        <f t="shared" si="14"/>
        <v>13.333333333333334</v>
      </c>
      <c r="C34" s="50">
        <f t="shared" si="15"/>
        <v>26.666666666666668</v>
      </c>
      <c r="D34" s="50">
        <f t="shared" si="16"/>
        <v>9</v>
      </c>
      <c r="E34" s="50">
        <f t="shared" si="17"/>
        <v>17</v>
      </c>
      <c r="F34" s="49">
        <f t="shared" si="18"/>
        <v>1.1111111111111111E-3</v>
      </c>
      <c r="G34" s="49">
        <f t="shared" si="19"/>
        <v>5.8823529411764712E-4</v>
      </c>
      <c r="H34" s="49">
        <f t="shared" si="13"/>
        <v>0.19753086419753088</v>
      </c>
      <c r="I34" s="49">
        <f t="shared" si="13"/>
        <v>0.41830065359477131</v>
      </c>
      <c r="J34" s="50">
        <f t="shared" si="20"/>
        <v>0.61583151779230216</v>
      </c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AF34" s="78"/>
      <c r="AG34" s="79"/>
      <c r="AH34" s="79"/>
    </row>
    <row r="35" spans="1:34" x14ac:dyDescent="0.25">
      <c r="A35" s="82">
        <f t="shared" si="12"/>
        <v>45</v>
      </c>
      <c r="B35" s="50">
        <f t="shared" si="14"/>
        <v>15</v>
      </c>
      <c r="C35" s="50">
        <f t="shared" si="15"/>
        <v>30</v>
      </c>
      <c r="D35" s="50">
        <f t="shared" si="16"/>
        <v>9</v>
      </c>
      <c r="E35" s="50">
        <f t="shared" si="17"/>
        <v>17</v>
      </c>
      <c r="F35" s="49">
        <f t="shared" si="18"/>
        <v>1.1111111111111111E-3</v>
      </c>
      <c r="G35" s="49">
        <f t="shared" si="19"/>
        <v>5.8823529411764712E-4</v>
      </c>
      <c r="H35" s="49">
        <f t="shared" si="13"/>
        <v>0.25</v>
      </c>
      <c r="I35" s="49">
        <f t="shared" si="13"/>
        <v>0.52941176470588236</v>
      </c>
      <c r="J35" s="50">
        <f t="shared" si="20"/>
        <v>0.77941176470588236</v>
      </c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AF35" s="78"/>
      <c r="AG35" s="79"/>
      <c r="AH35" s="79"/>
    </row>
    <row r="36" spans="1:34" x14ac:dyDescent="0.25">
      <c r="A36" s="82">
        <f t="shared" si="12"/>
        <v>50</v>
      </c>
      <c r="B36" s="50">
        <f t="shared" si="14"/>
        <v>16.666666666666668</v>
      </c>
      <c r="C36" s="50">
        <f t="shared" si="15"/>
        <v>33.333333333333336</v>
      </c>
      <c r="D36" s="50">
        <f t="shared" si="16"/>
        <v>9</v>
      </c>
      <c r="E36" s="50">
        <f t="shared" si="17"/>
        <v>17</v>
      </c>
      <c r="F36" s="49">
        <f t="shared" si="18"/>
        <v>1.1111111111111111E-3</v>
      </c>
      <c r="G36" s="49">
        <f t="shared" si="19"/>
        <v>5.8823529411764712E-4</v>
      </c>
      <c r="H36" s="49">
        <f t="shared" si="13"/>
        <v>0.30864197530864201</v>
      </c>
      <c r="I36" s="49">
        <f t="shared" si="13"/>
        <v>0.6535947712418303</v>
      </c>
      <c r="J36" s="50">
        <f t="shared" si="20"/>
        <v>0.96223674655047231</v>
      </c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AF36" s="78"/>
      <c r="AG36" s="79"/>
      <c r="AH36" s="79"/>
    </row>
    <row r="37" spans="1:34" x14ac:dyDescent="0.25">
      <c r="A37" s="82">
        <f t="shared" si="12"/>
        <v>125</v>
      </c>
      <c r="B37" s="50">
        <f t="shared" si="14"/>
        <v>41.666666666666664</v>
      </c>
      <c r="C37" s="50">
        <f t="shared" si="15"/>
        <v>83.333333333333329</v>
      </c>
      <c r="D37" s="50">
        <f t="shared" si="16"/>
        <v>9</v>
      </c>
      <c r="E37" s="50">
        <f t="shared" si="17"/>
        <v>17</v>
      </c>
      <c r="F37" s="49">
        <f t="shared" si="18"/>
        <v>1.1111111111111111E-3</v>
      </c>
      <c r="G37" s="49">
        <f t="shared" si="19"/>
        <v>5.8823529411764712E-4</v>
      </c>
      <c r="H37" s="49">
        <f>B37^2*F37</f>
        <v>1.929012345679012</v>
      </c>
      <c r="I37" s="49">
        <f t="shared" si="13"/>
        <v>4.0849673202614376</v>
      </c>
      <c r="J37" s="50">
        <f t="shared" si="20"/>
        <v>6.0139796659404494</v>
      </c>
      <c r="K37" s="48"/>
      <c r="L37" s="48"/>
      <c r="M37" s="48"/>
      <c r="N37" s="49"/>
      <c r="O37" s="49"/>
      <c r="P37" s="49"/>
      <c r="Q37" s="49"/>
      <c r="R37" s="49"/>
      <c r="S37" s="49"/>
      <c r="T37" s="49"/>
      <c r="U37" s="49"/>
      <c r="V37" s="49"/>
      <c r="W37" s="49"/>
      <c r="AD37" s="78"/>
      <c r="AE37" s="79"/>
      <c r="AF37" s="79"/>
    </row>
    <row r="38" spans="1:34" ht="14.4" thickBot="1" x14ac:dyDescent="0.3">
      <c r="AD38" s="78" t="str">
        <f>I1</f>
        <v>Rg</v>
      </c>
      <c r="AE38" s="79"/>
      <c r="AF38" s="79"/>
    </row>
    <row r="39" spans="1:34" ht="28.2" thickBot="1" x14ac:dyDescent="0.3">
      <c r="A39" s="73" t="s">
        <v>97</v>
      </c>
      <c r="AD39" s="78" t="s">
        <v>38</v>
      </c>
      <c r="AE39" s="79"/>
      <c r="AF39" s="79"/>
    </row>
    <row r="40" spans="1:34" ht="15" thickBot="1" x14ac:dyDescent="0.3">
      <c r="A40" s="56"/>
      <c r="B40" s="56"/>
      <c r="C40" s="56"/>
      <c r="D40" s="48"/>
      <c r="E40" s="57"/>
      <c r="F40" s="57"/>
      <c r="G40" s="57"/>
      <c r="H40" s="57"/>
      <c r="I40" s="57"/>
      <c r="J40" s="57"/>
      <c r="AD40" s="80" t="s">
        <v>40</v>
      </c>
      <c r="AE40" s="79"/>
      <c r="AF40" s="79"/>
    </row>
    <row r="41" spans="1:34" ht="28.2" thickBot="1" x14ac:dyDescent="0.3">
      <c r="A41" s="81" t="s">
        <v>162</v>
      </c>
      <c r="B41" s="65" t="s">
        <v>93</v>
      </c>
      <c r="C41" s="60" t="s">
        <v>80</v>
      </c>
      <c r="D41" s="60" t="s">
        <v>81</v>
      </c>
      <c r="E41" s="60" t="s">
        <v>82</v>
      </c>
      <c r="F41" s="60" t="s">
        <v>83</v>
      </c>
      <c r="G41" s="60" t="s">
        <v>84</v>
      </c>
      <c r="H41" s="60" t="s">
        <v>110</v>
      </c>
      <c r="I41" s="60" t="s">
        <v>111</v>
      </c>
      <c r="J41" s="60" t="s">
        <v>112</v>
      </c>
      <c r="K41" s="60" t="s">
        <v>113</v>
      </c>
      <c r="L41" s="60" t="s">
        <v>114</v>
      </c>
      <c r="AD41" s="80" t="s">
        <v>156</v>
      </c>
      <c r="AE41" s="79"/>
      <c r="AF41" s="79"/>
    </row>
    <row r="42" spans="1:34" x14ac:dyDescent="0.25">
      <c r="A42" s="53">
        <f t="shared" ref="A42:A52" si="21">A12</f>
        <v>5</v>
      </c>
      <c r="B42" s="48">
        <v>1</v>
      </c>
      <c r="C42" s="58">
        <f>(1/($S$2*((N$11*$B42)/S$11)*($F$2-$G$2)))</f>
        <v>3.1525079779442374E-3</v>
      </c>
      <c r="D42" s="58">
        <f t="shared" ref="C42:G51" si="22">(1/($S$2*((O$11*$B42)/T$11)*($F$2-$G$2)))</f>
        <v>6.255869133099258E-3</v>
      </c>
      <c r="E42" s="58">
        <f t="shared" si="22"/>
        <v>2.5112953947316693E-4</v>
      </c>
      <c r="F42" s="58">
        <f t="shared" si="22"/>
        <v>6.255869133099258E-3</v>
      </c>
      <c r="G42" s="58">
        <f t="shared" si="22"/>
        <v>1.2556476973658347E-4</v>
      </c>
      <c r="H42" s="49">
        <f t="shared" ref="H42:L51" si="23">D12^2*C42</f>
        <v>5.4731041283754124E-4</v>
      </c>
      <c r="I42" s="49">
        <f t="shared" si="23"/>
        <v>1.0860883911630657E-3</v>
      </c>
      <c r="J42" s="49">
        <f t="shared" si="23"/>
        <v>6.5398317571137234E-4</v>
      </c>
      <c r="K42" s="49">
        <f t="shared" si="23"/>
        <v>1.0860883911630657E-3</v>
      </c>
      <c r="L42" s="49">
        <f t="shared" si="23"/>
        <v>1.3079663514227447E-3</v>
      </c>
      <c r="M42" s="59">
        <f>SUM(H42:L42)</f>
        <v>4.6814367222977899E-3</v>
      </c>
      <c r="O42" s="58"/>
      <c r="P42" s="58"/>
      <c r="Q42" s="58"/>
      <c r="R42" s="58"/>
      <c r="S42" s="58"/>
      <c r="T42" s="49"/>
      <c r="U42" s="49"/>
      <c r="V42" s="49"/>
      <c r="W42" s="49"/>
      <c r="X42" s="49"/>
      <c r="Y42" s="59"/>
    </row>
    <row r="43" spans="1:34" x14ac:dyDescent="0.25">
      <c r="A43" s="53">
        <f t="shared" si="21"/>
        <v>10</v>
      </c>
      <c r="B43" s="48">
        <v>1</v>
      </c>
      <c r="C43" s="58">
        <f t="shared" si="22"/>
        <v>3.1525079779442374E-3</v>
      </c>
      <c r="D43" s="58">
        <f t="shared" si="22"/>
        <v>6.255869133099258E-3</v>
      </c>
      <c r="E43" s="58">
        <f t="shared" si="22"/>
        <v>2.5112953947316693E-4</v>
      </c>
      <c r="F43" s="58">
        <f t="shared" si="22"/>
        <v>6.255869133099258E-3</v>
      </c>
      <c r="G43" s="58">
        <f t="shared" si="22"/>
        <v>1.2556476973658347E-4</v>
      </c>
      <c r="H43" s="49">
        <f t="shared" si="23"/>
        <v>2.189241651350165E-3</v>
      </c>
      <c r="I43" s="49">
        <f t="shared" si="23"/>
        <v>4.3443535646522629E-3</v>
      </c>
      <c r="J43" s="49">
        <f t="shared" si="23"/>
        <v>2.6159327028454893E-3</v>
      </c>
      <c r="K43" s="49">
        <f t="shared" si="23"/>
        <v>4.3443535646522629E-3</v>
      </c>
      <c r="L43" s="49">
        <f t="shared" si="23"/>
        <v>5.2318654056909787E-3</v>
      </c>
      <c r="M43" s="59">
        <f t="shared" ref="M43:M51" si="24">SUM(H43:L43)</f>
        <v>1.872574688919116E-2</v>
      </c>
    </row>
    <row r="44" spans="1:34" x14ac:dyDescent="0.25">
      <c r="A44" s="53">
        <f t="shared" si="21"/>
        <v>15</v>
      </c>
      <c r="B44" s="48">
        <v>1</v>
      </c>
      <c r="C44" s="58">
        <f t="shared" si="22"/>
        <v>3.1525079779442374E-3</v>
      </c>
      <c r="D44" s="58">
        <f t="shared" si="22"/>
        <v>6.255869133099258E-3</v>
      </c>
      <c r="E44" s="58">
        <f t="shared" si="22"/>
        <v>2.5112953947316693E-4</v>
      </c>
      <c r="F44" s="58">
        <f t="shared" si="22"/>
        <v>6.255869133099258E-3</v>
      </c>
      <c r="G44" s="58">
        <f t="shared" si="22"/>
        <v>1.2556476973658347E-4</v>
      </c>
      <c r="H44" s="49">
        <f t="shared" si="23"/>
        <v>4.9257937155378706E-3</v>
      </c>
      <c r="I44" s="49">
        <f t="shared" si="23"/>
        <v>9.7747955204675902E-3</v>
      </c>
      <c r="J44" s="49">
        <f t="shared" si="23"/>
        <v>5.8858485814023498E-3</v>
      </c>
      <c r="K44" s="49">
        <f t="shared" si="23"/>
        <v>9.7747955204675902E-3</v>
      </c>
      <c r="L44" s="49">
        <f t="shared" si="23"/>
        <v>1.17716971628047E-2</v>
      </c>
      <c r="M44" s="59">
        <f t="shared" si="24"/>
        <v>4.2132930500680101E-2</v>
      </c>
    </row>
    <row r="45" spans="1:34" x14ac:dyDescent="0.25">
      <c r="A45" s="53">
        <f t="shared" si="21"/>
        <v>20</v>
      </c>
      <c r="B45" s="48">
        <v>1</v>
      </c>
      <c r="C45" s="58">
        <f t="shared" si="22"/>
        <v>3.1525079779442374E-3</v>
      </c>
      <c r="D45" s="58">
        <f t="shared" si="22"/>
        <v>6.255869133099258E-3</v>
      </c>
      <c r="E45" s="58">
        <f t="shared" si="22"/>
        <v>2.5112953947316693E-4</v>
      </c>
      <c r="F45" s="58">
        <f t="shared" si="22"/>
        <v>6.255869133099258E-3</v>
      </c>
      <c r="G45" s="58">
        <f t="shared" si="22"/>
        <v>1.2556476973658347E-4</v>
      </c>
      <c r="H45" s="49">
        <f t="shared" si="23"/>
        <v>8.7569666054006599E-3</v>
      </c>
      <c r="I45" s="49">
        <f t="shared" si="23"/>
        <v>1.7377414258609052E-2</v>
      </c>
      <c r="J45" s="49">
        <f t="shared" si="23"/>
        <v>1.0463730811381957E-2</v>
      </c>
      <c r="K45" s="49">
        <f t="shared" si="23"/>
        <v>1.7377414258609052E-2</v>
      </c>
      <c r="L45" s="49">
        <f t="shared" si="23"/>
        <v>2.0927461622763915E-2</v>
      </c>
      <c r="M45" s="59">
        <f t="shared" si="24"/>
        <v>7.4902987556764639E-2</v>
      </c>
    </row>
    <row r="46" spans="1:34" x14ac:dyDescent="0.25">
      <c r="A46" s="53">
        <f t="shared" si="21"/>
        <v>25</v>
      </c>
      <c r="B46" s="48">
        <v>1</v>
      </c>
      <c r="C46" s="58">
        <f t="shared" si="22"/>
        <v>3.1525079779442374E-3</v>
      </c>
      <c r="D46" s="58">
        <f t="shared" si="22"/>
        <v>6.255869133099258E-3</v>
      </c>
      <c r="E46" s="58">
        <f t="shared" si="22"/>
        <v>2.5112953947316693E-4</v>
      </c>
      <c r="F46" s="58">
        <f t="shared" si="22"/>
        <v>6.255869133099258E-3</v>
      </c>
      <c r="G46" s="58">
        <f t="shared" si="22"/>
        <v>1.2556476973658347E-4</v>
      </c>
      <c r="H46" s="49">
        <f t="shared" si="23"/>
        <v>1.3682760320938533E-2</v>
      </c>
      <c r="I46" s="49">
        <f t="shared" si="23"/>
        <v>2.7152209779076647E-2</v>
      </c>
      <c r="J46" s="49">
        <f t="shared" si="23"/>
        <v>1.6349579392784312E-2</v>
      </c>
      <c r="K46" s="49">
        <f t="shared" si="23"/>
        <v>2.7152209779076647E-2</v>
      </c>
      <c r="L46" s="49">
        <f t="shared" si="23"/>
        <v>3.2699158785568623E-2</v>
      </c>
      <c r="M46" s="59">
        <f t="shared" si="24"/>
        <v>0.11703591805744476</v>
      </c>
    </row>
    <row r="47" spans="1:34" x14ac:dyDescent="0.25">
      <c r="A47" s="53">
        <f t="shared" si="21"/>
        <v>30</v>
      </c>
      <c r="B47" s="48">
        <v>1</v>
      </c>
      <c r="C47" s="58">
        <f t="shared" si="22"/>
        <v>3.1525079779442374E-3</v>
      </c>
      <c r="D47" s="58">
        <f t="shared" si="22"/>
        <v>6.255869133099258E-3</v>
      </c>
      <c r="E47" s="58">
        <f t="shared" si="22"/>
        <v>2.5112953947316693E-4</v>
      </c>
      <c r="F47" s="58">
        <f t="shared" si="22"/>
        <v>6.255869133099258E-3</v>
      </c>
      <c r="G47" s="58">
        <f t="shared" si="22"/>
        <v>1.2556476973658347E-4</v>
      </c>
      <c r="H47" s="49">
        <f t="shared" si="23"/>
        <v>1.9703174862151483E-2</v>
      </c>
      <c r="I47" s="49">
        <f t="shared" si="23"/>
        <v>3.9099182081870361E-2</v>
      </c>
      <c r="J47" s="49">
        <f t="shared" si="23"/>
        <v>2.3543394325609399E-2</v>
      </c>
      <c r="K47" s="49">
        <f t="shared" si="23"/>
        <v>3.9099182081870361E-2</v>
      </c>
      <c r="L47" s="49">
        <f t="shared" si="23"/>
        <v>4.7086788651218799E-2</v>
      </c>
      <c r="M47" s="59">
        <f t="shared" si="24"/>
        <v>0.1685317220027204</v>
      </c>
    </row>
    <row r="48" spans="1:34" x14ac:dyDescent="0.25">
      <c r="A48" s="53">
        <f t="shared" si="21"/>
        <v>35</v>
      </c>
      <c r="B48" s="48">
        <v>1</v>
      </c>
      <c r="C48" s="58">
        <f t="shared" si="22"/>
        <v>3.1525079779442374E-3</v>
      </c>
      <c r="D48" s="58">
        <f t="shared" si="22"/>
        <v>6.255869133099258E-3</v>
      </c>
      <c r="E48" s="58">
        <f t="shared" si="22"/>
        <v>2.5112953947316693E-4</v>
      </c>
      <c r="F48" s="58">
        <f t="shared" si="22"/>
        <v>6.255869133099258E-3</v>
      </c>
      <c r="G48" s="58">
        <f t="shared" si="22"/>
        <v>1.2556476973658347E-4</v>
      </c>
      <c r="H48" s="49">
        <f t="shared" si="23"/>
        <v>2.6818210229039515E-2</v>
      </c>
      <c r="I48" s="49">
        <f t="shared" si="23"/>
        <v>5.3218331166990207E-2</v>
      </c>
      <c r="J48" s="49">
        <f t="shared" si="23"/>
        <v>3.2045175609857243E-2</v>
      </c>
      <c r="K48" s="49">
        <f t="shared" si="23"/>
        <v>5.3218331166990207E-2</v>
      </c>
      <c r="L48" s="49">
        <f t="shared" si="23"/>
        <v>6.4090351219714486E-2</v>
      </c>
      <c r="M48" s="59">
        <f t="shared" si="24"/>
        <v>0.22939039939259168</v>
      </c>
    </row>
    <row r="49" spans="1:23" x14ac:dyDescent="0.25">
      <c r="A49" s="53">
        <f t="shared" si="21"/>
        <v>40</v>
      </c>
      <c r="B49" s="48">
        <v>1</v>
      </c>
      <c r="C49" s="58">
        <f t="shared" si="22"/>
        <v>3.1525079779442374E-3</v>
      </c>
      <c r="D49" s="58">
        <f t="shared" si="22"/>
        <v>6.255869133099258E-3</v>
      </c>
      <c r="E49" s="58">
        <f t="shared" si="22"/>
        <v>2.5112953947316693E-4</v>
      </c>
      <c r="F49" s="58">
        <f t="shared" si="22"/>
        <v>6.255869133099258E-3</v>
      </c>
      <c r="G49" s="58">
        <f t="shared" si="22"/>
        <v>1.2556476973658347E-4</v>
      </c>
      <c r="H49" s="49">
        <f t="shared" si="23"/>
        <v>3.5027866421602639E-2</v>
      </c>
      <c r="I49" s="49">
        <f t="shared" si="23"/>
        <v>6.9509657034436206E-2</v>
      </c>
      <c r="J49" s="49">
        <f t="shared" si="23"/>
        <v>4.1854923245527829E-2</v>
      </c>
      <c r="K49" s="49">
        <f t="shared" si="23"/>
        <v>6.9509657034436206E-2</v>
      </c>
      <c r="L49" s="49">
        <f t="shared" si="23"/>
        <v>8.3709846491055659E-2</v>
      </c>
      <c r="M49" s="59">
        <f t="shared" si="24"/>
        <v>0.29961195022705855</v>
      </c>
    </row>
    <row r="50" spans="1:23" x14ac:dyDescent="0.25">
      <c r="A50" s="53">
        <f t="shared" si="21"/>
        <v>45</v>
      </c>
      <c r="B50" s="54">
        <v>1</v>
      </c>
      <c r="C50" s="49">
        <f t="shared" si="22"/>
        <v>3.1525079779442374E-3</v>
      </c>
      <c r="D50" s="49">
        <f t="shared" si="22"/>
        <v>6.255869133099258E-3</v>
      </c>
      <c r="E50" s="49">
        <f t="shared" si="22"/>
        <v>2.5112953947316693E-4</v>
      </c>
      <c r="F50" s="49">
        <f t="shared" si="22"/>
        <v>6.255869133099258E-3</v>
      </c>
      <c r="G50" s="49">
        <f t="shared" si="22"/>
        <v>1.2556476973658347E-4</v>
      </c>
      <c r="H50" s="49">
        <f t="shared" si="23"/>
        <v>4.4332143439840842E-2</v>
      </c>
      <c r="I50" s="49">
        <f t="shared" si="23"/>
        <v>8.797315968420831E-2</v>
      </c>
      <c r="J50" s="49">
        <f t="shared" si="23"/>
        <v>5.2972637232621148E-2</v>
      </c>
      <c r="K50" s="49">
        <f t="shared" si="23"/>
        <v>8.797315968420831E-2</v>
      </c>
      <c r="L50" s="49">
        <f t="shared" si="23"/>
        <v>0.1059452744652423</v>
      </c>
      <c r="M50" s="59">
        <f t="shared" si="24"/>
        <v>0.37919637450612087</v>
      </c>
    </row>
    <row r="51" spans="1:23" x14ac:dyDescent="0.25">
      <c r="A51" s="53">
        <f t="shared" si="21"/>
        <v>50</v>
      </c>
      <c r="B51" s="48">
        <v>1</v>
      </c>
      <c r="C51" s="49">
        <f t="shared" si="22"/>
        <v>3.1525079779442374E-3</v>
      </c>
      <c r="D51" s="49">
        <f t="shared" si="22"/>
        <v>6.255869133099258E-3</v>
      </c>
      <c r="E51" s="49">
        <f t="shared" si="22"/>
        <v>2.5112953947316693E-4</v>
      </c>
      <c r="F51" s="49">
        <f t="shared" si="22"/>
        <v>6.255869133099258E-3</v>
      </c>
      <c r="G51" s="49">
        <f t="shared" si="22"/>
        <v>1.2556476973658347E-4</v>
      </c>
      <c r="H51" s="49">
        <f t="shared" si="23"/>
        <v>5.4731041283754132E-2</v>
      </c>
      <c r="I51" s="49">
        <f t="shared" si="23"/>
        <v>0.10860883911630659</v>
      </c>
      <c r="J51" s="49">
        <f t="shared" si="23"/>
        <v>6.5398317571137246E-2</v>
      </c>
      <c r="K51" s="49">
        <f t="shared" si="23"/>
        <v>0.10860883911630659</v>
      </c>
      <c r="L51" s="49">
        <f t="shared" si="23"/>
        <v>0.13079663514227449</v>
      </c>
      <c r="M51" s="59">
        <f t="shared" si="24"/>
        <v>0.46814367222977904</v>
      </c>
    </row>
    <row r="52" spans="1:23" ht="14.4" thickBot="1" x14ac:dyDescent="0.3">
      <c r="A52" s="53">
        <f t="shared" si="21"/>
        <v>125</v>
      </c>
      <c r="B52" s="48">
        <v>1</v>
      </c>
      <c r="C52" s="49">
        <f>(1/($S$2*((N$11*$B52)/S$11)*($F$2-$G$2)))</f>
        <v>3.1525079779442374E-3</v>
      </c>
      <c r="D52" s="49">
        <f>(1/($S$2*((O$11*$B52)/T$11)*($F$2-$G$2)))</f>
        <v>6.255869133099258E-3</v>
      </c>
      <c r="E52" s="49">
        <f>(1/($S$2*((P$11*$B52)/U$11)*($F$2-$G$2)))</f>
        <v>2.5112953947316693E-4</v>
      </c>
      <c r="F52" s="49">
        <f>(1/($S$2*((Q$11*$B52)/V$11)*($F$2-$G$2)))</f>
        <v>6.255869133099258E-3</v>
      </c>
      <c r="G52" s="49">
        <f>(1/($S$2*((R$11*$B52)/W$11)*($F$2-$G$2)))</f>
        <v>1.2556476973658347E-4</v>
      </c>
      <c r="H52" s="49">
        <f>D22^2*C52</f>
        <v>0.34206900802346324</v>
      </c>
      <c r="I52" s="49">
        <f>E22^2*D52</f>
        <v>0.67880524447691593</v>
      </c>
      <c r="J52" s="49">
        <f>F22^2*E52</f>
        <v>0.40873948481960765</v>
      </c>
      <c r="K52" s="49">
        <f>G22^2*F52</f>
        <v>0.67880524447691593</v>
      </c>
      <c r="L52" s="49">
        <f>H22^2*G52</f>
        <v>0.81747896963921529</v>
      </c>
      <c r="M52" s="59">
        <f>SUM(H52:L52)</f>
        <v>2.9258979514361183</v>
      </c>
    </row>
    <row r="53" spans="1:23" ht="28.2" thickBot="1" x14ac:dyDescent="0.3">
      <c r="A53" s="73" t="s">
        <v>115</v>
      </c>
      <c r="W53" s="72"/>
    </row>
    <row r="54" spans="1:23" ht="14.4" thickBot="1" x14ac:dyDescent="0.3"/>
    <row r="55" spans="1:23" ht="28.2" thickBot="1" x14ac:dyDescent="0.3">
      <c r="A55" s="66" t="s">
        <v>17</v>
      </c>
      <c r="B55" s="65" t="s">
        <v>93</v>
      </c>
      <c r="C55" s="60" t="s">
        <v>121</v>
      </c>
      <c r="D55" s="60" t="s">
        <v>122</v>
      </c>
      <c r="E55" s="60" t="s">
        <v>123</v>
      </c>
      <c r="F55" s="60" t="s">
        <v>124</v>
      </c>
      <c r="G55" s="60" t="s">
        <v>125</v>
      </c>
      <c r="H55" s="60" t="s">
        <v>116</v>
      </c>
      <c r="I55" s="60" t="s">
        <v>117</v>
      </c>
      <c r="J55" s="60" t="s">
        <v>118</v>
      </c>
      <c r="K55" s="60" t="s">
        <v>119</v>
      </c>
      <c r="L55" s="60" t="s">
        <v>120</v>
      </c>
    </row>
    <row r="56" spans="1:23" x14ac:dyDescent="0.25">
      <c r="A56" s="53">
        <f>A42</f>
        <v>5</v>
      </c>
      <c r="B56" s="48">
        <f>B42</f>
        <v>1</v>
      </c>
      <c r="C56" s="49">
        <f t="shared" ref="C56:G65" si="25">$C$2*N$11*$B56*S$11*I12</f>
        <v>1.6188914045666232E-8</v>
      </c>
      <c r="D56" s="49">
        <f t="shared" si="25"/>
        <v>1.6316096004371629E-8</v>
      </c>
      <c r="E56" s="49">
        <f t="shared" si="25"/>
        <v>2.0322452225366123E-7</v>
      </c>
      <c r="F56" s="49">
        <f t="shared" si="25"/>
        <v>1.6316096004371629E-8</v>
      </c>
      <c r="G56" s="49">
        <f t="shared" si="25"/>
        <v>4.0644904450732246E-7</v>
      </c>
      <c r="H56" s="49">
        <f t="shared" ref="H56:L65" si="26">(D12*I12*$M$2*C56)/$T$2</f>
        <v>1.2380348916363004E-2</v>
      </c>
      <c r="I56" s="49">
        <f t="shared" si="26"/>
        <v>2.495522070438963E-2</v>
      </c>
      <c r="J56" s="49">
        <f t="shared" si="26"/>
        <v>0.60191741425363543</v>
      </c>
      <c r="K56" s="49">
        <f t="shared" si="26"/>
        <v>2.495522070438963E-2</v>
      </c>
      <c r="L56" s="49">
        <f t="shared" si="26"/>
        <v>2.4076696570145417</v>
      </c>
      <c r="M56" s="59">
        <f>SUM(H56,I56,K56)</f>
        <v>6.2290790325142266E-2</v>
      </c>
    </row>
    <row r="57" spans="1:23" x14ac:dyDescent="0.25">
      <c r="A57" s="53">
        <f t="shared" ref="A57:B66" si="27">A43</f>
        <v>10</v>
      </c>
      <c r="B57" s="48">
        <f t="shared" si="27"/>
        <v>1</v>
      </c>
      <c r="C57" s="49">
        <f t="shared" si="25"/>
        <v>1.6188914045666232E-8</v>
      </c>
      <c r="D57" s="49">
        <f t="shared" si="25"/>
        <v>1.6316096004371629E-8</v>
      </c>
      <c r="E57" s="49">
        <f t="shared" si="25"/>
        <v>2.0322452225366123E-7</v>
      </c>
      <c r="F57" s="49">
        <f t="shared" si="25"/>
        <v>1.6316096004371629E-8</v>
      </c>
      <c r="G57" s="49">
        <f t="shared" si="25"/>
        <v>4.0644904450732246E-7</v>
      </c>
      <c r="H57" s="49">
        <f t="shared" si="26"/>
        <v>2.4760697832726008E-2</v>
      </c>
      <c r="I57" s="49">
        <f t="shared" si="26"/>
        <v>4.991044140877926E-2</v>
      </c>
      <c r="J57" s="49">
        <f t="shared" si="26"/>
        <v>1.2038348285072709</v>
      </c>
      <c r="K57" s="49">
        <f t="shared" si="26"/>
        <v>4.991044140877926E-2</v>
      </c>
      <c r="L57" s="49">
        <f t="shared" si="26"/>
        <v>4.8153393140290834</v>
      </c>
      <c r="M57" s="59">
        <f t="shared" ref="M57:M65" si="28">SUM(H57,I57,K57)</f>
        <v>0.12458158065028453</v>
      </c>
    </row>
    <row r="58" spans="1:23" x14ac:dyDescent="0.25">
      <c r="A58" s="53">
        <f t="shared" si="27"/>
        <v>15</v>
      </c>
      <c r="B58" s="48">
        <f t="shared" si="27"/>
        <v>1</v>
      </c>
      <c r="C58" s="49">
        <f t="shared" si="25"/>
        <v>1.6188914045666232E-8</v>
      </c>
      <c r="D58" s="49">
        <f t="shared" si="25"/>
        <v>1.6316096004371629E-8</v>
      </c>
      <c r="E58" s="49">
        <f t="shared" si="25"/>
        <v>2.0322452225366123E-7</v>
      </c>
      <c r="F58" s="49">
        <f t="shared" si="25"/>
        <v>1.6316096004371629E-8</v>
      </c>
      <c r="G58" s="49">
        <f t="shared" si="25"/>
        <v>4.0644904450732246E-7</v>
      </c>
      <c r="H58" s="49">
        <f t="shared" si="26"/>
        <v>3.714104674908901E-2</v>
      </c>
      <c r="I58" s="49">
        <f t="shared" si="26"/>
        <v>7.486566211316889E-2</v>
      </c>
      <c r="J58" s="49">
        <f t="shared" si="26"/>
        <v>1.8057522427609063</v>
      </c>
      <c r="K58" s="49">
        <f t="shared" si="26"/>
        <v>7.486566211316889E-2</v>
      </c>
      <c r="L58" s="49">
        <f t="shared" si="26"/>
        <v>7.2230089710436252</v>
      </c>
      <c r="M58" s="59">
        <f t="shared" si="28"/>
        <v>0.1868723709754268</v>
      </c>
    </row>
    <row r="59" spans="1:23" x14ac:dyDescent="0.25">
      <c r="A59" s="53">
        <f t="shared" si="27"/>
        <v>20</v>
      </c>
      <c r="B59" s="48">
        <f t="shared" si="27"/>
        <v>1</v>
      </c>
      <c r="C59" s="49">
        <f t="shared" si="25"/>
        <v>1.6188914045666232E-8</v>
      </c>
      <c r="D59" s="49">
        <f t="shared" si="25"/>
        <v>1.6316096004371629E-8</v>
      </c>
      <c r="E59" s="49">
        <f t="shared" si="25"/>
        <v>2.0322452225366123E-7</v>
      </c>
      <c r="F59" s="49">
        <f t="shared" si="25"/>
        <v>1.6316096004371629E-8</v>
      </c>
      <c r="G59" s="49">
        <f t="shared" si="25"/>
        <v>4.0644904450732246E-7</v>
      </c>
      <c r="H59" s="49">
        <f t="shared" si="26"/>
        <v>4.9521395665452016E-2</v>
      </c>
      <c r="I59" s="49">
        <f t="shared" si="26"/>
        <v>9.9820882817558521E-2</v>
      </c>
      <c r="J59" s="49">
        <f t="shared" si="26"/>
        <v>2.4076696570145417</v>
      </c>
      <c r="K59" s="49">
        <f t="shared" si="26"/>
        <v>9.9820882817558521E-2</v>
      </c>
      <c r="L59" s="49">
        <f t="shared" si="26"/>
        <v>9.6306786280581669</v>
      </c>
      <c r="M59" s="59">
        <f t="shared" si="28"/>
        <v>0.24916316130056906</v>
      </c>
    </row>
    <row r="60" spans="1:23" x14ac:dyDescent="0.25">
      <c r="A60" s="53">
        <f t="shared" si="27"/>
        <v>25</v>
      </c>
      <c r="B60" s="48">
        <f t="shared" si="27"/>
        <v>1</v>
      </c>
      <c r="C60" s="49">
        <f t="shared" si="25"/>
        <v>1.6188914045666232E-8</v>
      </c>
      <c r="D60" s="49">
        <f t="shared" si="25"/>
        <v>1.6316096004371629E-8</v>
      </c>
      <c r="E60" s="49">
        <f t="shared" si="25"/>
        <v>2.0322452225366123E-7</v>
      </c>
      <c r="F60" s="49">
        <f t="shared" si="25"/>
        <v>1.6316096004371629E-8</v>
      </c>
      <c r="G60" s="49">
        <f t="shared" si="25"/>
        <v>4.0644904450732246E-7</v>
      </c>
      <c r="H60" s="49">
        <f t="shared" si="26"/>
        <v>6.1901744581815021E-2</v>
      </c>
      <c r="I60" s="49">
        <f t="shared" si="26"/>
        <v>0.12477610352194815</v>
      </c>
      <c r="J60" s="49">
        <f t="shared" si="26"/>
        <v>3.0095870712681774</v>
      </c>
      <c r="K60" s="49">
        <f t="shared" si="26"/>
        <v>0.12477610352194815</v>
      </c>
      <c r="L60" s="49">
        <f t="shared" si="26"/>
        <v>12.038348285072709</v>
      </c>
      <c r="M60" s="59">
        <f t="shared" si="28"/>
        <v>0.31145395162571132</v>
      </c>
    </row>
    <row r="61" spans="1:23" x14ac:dyDescent="0.25">
      <c r="A61" s="53">
        <f t="shared" si="27"/>
        <v>30</v>
      </c>
      <c r="B61" s="48">
        <f t="shared" si="27"/>
        <v>1</v>
      </c>
      <c r="C61" s="49">
        <f t="shared" si="25"/>
        <v>1.6188914045666232E-8</v>
      </c>
      <c r="D61" s="49">
        <f t="shared" si="25"/>
        <v>1.6316096004371629E-8</v>
      </c>
      <c r="E61" s="49">
        <f t="shared" si="25"/>
        <v>2.0322452225366123E-7</v>
      </c>
      <c r="F61" s="49">
        <f t="shared" si="25"/>
        <v>1.6316096004371629E-8</v>
      </c>
      <c r="G61" s="49">
        <f t="shared" si="25"/>
        <v>4.0644904450732246E-7</v>
      </c>
      <c r="H61" s="49">
        <f t="shared" si="26"/>
        <v>7.428209349817802E-2</v>
      </c>
      <c r="I61" s="49">
        <f t="shared" si="26"/>
        <v>0.14973132422633778</v>
      </c>
      <c r="J61" s="49">
        <f t="shared" si="26"/>
        <v>3.6115044855218126</v>
      </c>
      <c r="K61" s="49">
        <f t="shared" si="26"/>
        <v>0.14973132422633778</v>
      </c>
      <c r="L61" s="49">
        <f t="shared" si="26"/>
        <v>14.44601794208725</v>
      </c>
      <c r="M61" s="59">
        <f t="shared" si="28"/>
        <v>0.37374474195085361</v>
      </c>
    </row>
    <row r="62" spans="1:23" x14ac:dyDescent="0.25">
      <c r="A62" s="53">
        <f t="shared" si="27"/>
        <v>35</v>
      </c>
      <c r="B62" s="48">
        <f t="shared" si="27"/>
        <v>1</v>
      </c>
      <c r="C62" s="49">
        <f t="shared" si="25"/>
        <v>1.6188914045666232E-8</v>
      </c>
      <c r="D62" s="49">
        <f t="shared" si="25"/>
        <v>1.6316096004371629E-8</v>
      </c>
      <c r="E62" s="49">
        <f t="shared" si="25"/>
        <v>2.0322452225366123E-7</v>
      </c>
      <c r="F62" s="49">
        <f t="shared" si="25"/>
        <v>1.6316096004371629E-8</v>
      </c>
      <c r="G62" s="49">
        <f t="shared" si="25"/>
        <v>4.0644904450732246E-7</v>
      </c>
      <c r="H62" s="49">
        <f t="shared" si="26"/>
        <v>8.6662442414541019E-2</v>
      </c>
      <c r="I62" s="49">
        <f t="shared" si="26"/>
        <v>0.17468654493072741</v>
      </c>
      <c r="J62" s="49">
        <f t="shared" si="26"/>
        <v>4.2134218997754482</v>
      </c>
      <c r="K62" s="49">
        <f t="shared" si="26"/>
        <v>0.17468654493072741</v>
      </c>
      <c r="L62" s="49">
        <f t="shared" si="26"/>
        <v>16.853687599101793</v>
      </c>
      <c r="M62" s="59">
        <f t="shared" si="28"/>
        <v>0.4360355322759959</v>
      </c>
    </row>
    <row r="63" spans="1:23" x14ac:dyDescent="0.25">
      <c r="A63" s="53">
        <f t="shared" si="27"/>
        <v>40</v>
      </c>
      <c r="B63" s="48">
        <f t="shared" si="27"/>
        <v>1</v>
      </c>
      <c r="C63" s="49">
        <f t="shared" si="25"/>
        <v>1.6188914045666232E-8</v>
      </c>
      <c r="D63" s="49">
        <f t="shared" si="25"/>
        <v>1.6316096004371629E-8</v>
      </c>
      <c r="E63" s="49">
        <f t="shared" si="25"/>
        <v>2.0322452225366123E-7</v>
      </c>
      <c r="F63" s="49">
        <f t="shared" si="25"/>
        <v>1.6316096004371629E-8</v>
      </c>
      <c r="G63" s="49">
        <f t="shared" si="25"/>
        <v>4.0644904450732246E-7</v>
      </c>
      <c r="H63" s="49">
        <f t="shared" si="26"/>
        <v>9.9042791330904031E-2</v>
      </c>
      <c r="I63" s="49">
        <f t="shared" si="26"/>
        <v>0.19964176563511704</v>
      </c>
      <c r="J63" s="49">
        <f t="shared" si="26"/>
        <v>4.8153393140290834</v>
      </c>
      <c r="K63" s="49">
        <f t="shared" si="26"/>
        <v>0.19964176563511704</v>
      </c>
      <c r="L63" s="49">
        <f t="shared" si="26"/>
        <v>19.261357256116334</v>
      </c>
      <c r="M63" s="59">
        <f t="shared" si="28"/>
        <v>0.49832632260113813</v>
      </c>
    </row>
    <row r="64" spans="1:23" x14ac:dyDescent="0.25">
      <c r="A64" s="53">
        <f t="shared" si="27"/>
        <v>45</v>
      </c>
      <c r="B64" s="48">
        <f t="shared" si="27"/>
        <v>1</v>
      </c>
      <c r="C64" s="49">
        <f t="shared" si="25"/>
        <v>1.6188914045666232E-8</v>
      </c>
      <c r="D64" s="49">
        <f t="shared" si="25"/>
        <v>1.6316096004371629E-8</v>
      </c>
      <c r="E64" s="49">
        <f t="shared" si="25"/>
        <v>2.0322452225366123E-7</v>
      </c>
      <c r="F64" s="49">
        <f t="shared" si="25"/>
        <v>1.6316096004371629E-8</v>
      </c>
      <c r="G64" s="49">
        <f t="shared" si="25"/>
        <v>4.0644904450732246E-7</v>
      </c>
      <c r="H64" s="49">
        <f t="shared" si="26"/>
        <v>0.11142314024726703</v>
      </c>
      <c r="I64" s="49">
        <f t="shared" si="26"/>
        <v>0.22459698633950664</v>
      </c>
      <c r="J64" s="49">
        <f t="shared" si="26"/>
        <v>5.4172567282827186</v>
      </c>
      <c r="K64" s="49">
        <f t="shared" si="26"/>
        <v>0.22459698633950664</v>
      </c>
      <c r="L64" s="49">
        <f t="shared" si="26"/>
        <v>21.669026913130875</v>
      </c>
      <c r="M64" s="59">
        <f t="shared" si="28"/>
        <v>0.56061711292628025</v>
      </c>
    </row>
    <row r="65" spans="1:14" x14ac:dyDescent="0.25">
      <c r="A65" s="53">
        <f t="shared" si="27"/>
        <v>50</v>
      </c>
      <c r="B65" s="48">
        <f t="shared" si="27"/>
        <v>1</v>
      </c>
      <c r="C65" s="49">
        <f t="shared" si="25"/>
        <v>1.6188914045666232E-8</v>
      </c>
      <c r="D65" s="49">
        <f t="shared" si="25"/>
        <v>1.6316096004371629E-8</v>
      </c>
      <c r="E65" s="49">
        <f t="shared" si="25"/>
        <v>2.0322452225366123E-7</v>
      </c>
      <c r="F65" s="49">
        <f t="shared" si="25"/>
        <v>1.6316096004371629E-8</v>
      </c>
      <c r="G65" s="49">
        <f t="shared" si="25"/>
        <v>4.0644904450732246E-7</v>
      </c>
      <c r="H65" s="49">
        <f t="shared" si="26"/>
        <v>0.12380348916363004</v>
      </c>
      <c r="I65" s="49">
        <f t="shared" si="26"/>
        <v>0.2495522070438963</v>
      </c>
      <c r="J65" s="49">
        <f t="shared" si="26"/>
        <v>6.0191741425363547</v>
      </c>
      <c r="K65" s="49">
        <f t="shared" si="26"/>
        <v>0.2495522070438963</v>
      </c>
      <c r="L65" s="49">
        <f t="shared" si="26"/>
        <v>24.076696570145419</v>
      </c>
      <c r="M65" s="59">
        <f t="shared" si="28"/>
        <v>0.62290790325142265</v>
      </c>
    </row>
    <row r="66" spans="1:14" ht="14.4" thickBot="1" x14ac:dyDescent="0.3">
      <c r="A66" s="53">
        <f t="shared" si="27"/>
        <v>125</v>
      </c>
      <c r="B66" s="48">
        <f t="shared" si="27"/>
        <v>1</v>
      </c>
      <c r="C66" s="49">
        <f>$C$2*N$11*$B66*S$11*I22</f>
        <v>1.6188914045666232E-8</v>
      </c>
      <c r="D66" s="49">
        <f>$C$2*O$11*$B66*T$11*J22</f>
        <v>1.6316096004371629E-8</v>
      </c>
      <c r="E66" s="49">
        <f>$C$2*P$11*$B66*U$11*K22</f>
        <v>2.0322452225366123E-7</v>
      </c>
      <c r="F66" s="49">
        <f>$C$2*Q$11*$B66*V$11*L22</f>
        <v>1.6316096004371629E-8</v>
      </c>
      <c r="G66" s="49">
        <f>$C$2*R$11*$B66*W$11*M22</f>
        <v>4.0644904450732246E-7</v>
      </c>
      <c r="H66" s="49">
        <f>(D22*I22*$M$2*C66)/$T$2</f>
        <v>0.30950872290907505</v>
      </c>
      <c r="I66" s="49">
        <f>(E22*J22*$M$2*D66)/$T$2</f>
        <v>0.62388051760974073</v>
      </c>
      <c r="J66" s="49">
        <f>(F22*K22*$M$2*E66)/$T$2</f>
        <v>15.047935356340886</v>
      </c>
      <c r="K66" s="49">
        <f>(G22*L22*$M$2*F66)/$T$2</f>
        <v>0.62388051760974073</v>
      </c>
      <c r="L66" s="49">
        <f>(H22*M22*$M$2*G66)/$T$2</f>
        <v>60.191741425363546</v>
      </c>
      <c r="M66" s="59">
        <f>SUM(H66,I66,K66)</f>
        <v>1.5572697581285566</v>
      </c>
    </row>
    <row r="67" spans="1:14" ht="42" thickBot="1" x14ac:dyDescent="0.3">
      <c r="A67" s="73" t="s">
        <v>126</v>
      </c>
    </row>
    <row r="68" spans="1:14" ht="14.4" thickBot="1" x14ac:dyDescent="0.3"/>
    <row r="69" spans="1:14" ht="28.2" thickBot="1" x14ac:dyDescent="0.3">
      <c r="A69" s="66" t="s">
        <v>17</v>
      </c>
      <c r="B69" s="65" t="s">
        <v>93</v>
      </c>
      <c r="C69" s="60" t="s">
        <v>127</v>
      </c>
      <c r="D69" s="60" t="s">
        <v>128</v>
      </c>
      <c r="E69" s="60" t="s">
        <v>129</v>
      </c>
      <c r="F69" s="60" t="s">
        <v>130</v>
      </c>
      <c r="G69" s="60" t="s">
        <v>131</v>
      </c>
      <c r="H69" s="60" t="s">
        <v>132</v>
      </c>
      <c r="I69" s="60" t="s">
        <v>133</v>
      </c>
      <c r="J69" s="60" t="s">
        <v>134</v>
      </c>
      <c r="K69" s="60" t="s">
        <v>135</v>
      </c>
      <c r="L69" s="60" t="s">
        <v>136</v>
      </c>
    </row>
    <row r="70" spans="1:14" x14ac:dyDescent="0.25">
      <c r="A70" s="53">
        <f>A56</f>
        <v>5</v>
      </c>
      <c r="B70" s="48">
        <f t="shared" ref="B70:B80" si="29">B42</f>
        <v>1</v>
      </c>
      <c r="C70" s="49">
        <f>$C$2*N$11*$B70*S$11*$F$2</f>
        <v>5.059035639270698E-9</v>
      </c>
      <c r="D70" s="49">
        <f t="shared" ref="D70:G79" si="30">$C$2*O$11*$B70*T$11*$F$2</f>
        <v>2.5493900006830672E-9</v>
      </c>
      <c r="E70" s="49">
        <f t="shared" si="30"/>
        <v>6.3507663204269139E-8</v>
      </c>
      <c r="F70" s="49">
        <f t="shared" si="30"/>
        <v>2.5493900006830672E-9</v>
      </c>
      <c r="G70" s="49">
        <f t="shared" si="30"/>
        <v>1.2701532640853828E-7</v>
      </c>
      <c r="H70" s="49">
        <f t="shared" ref="H70:L79" si="31">C70*$M$2*$F$2</f>
        <v>7.0826498949789771E-3</v>
      </c>
      <c r="I70" s="49">
        <f t="shared" si="31"/>
        <v>3.5691460009562937E-3</v>
      </c>
      <c r="J70" s="49">
        <f t="shared" si="31"/>
        <v>8.8910728485976795E-2</v>
      </c>
      <c r="K70" s="49">
        <f t="shared" si="31"/>
        <v>3.5691460009562937E-3</v>
      </c>
      <c r="L70" s="49">
        <f t="shared" si="31"/>
        <v>0.17782145697195359</v>
      </c>
      <c r="M70" s="59">
        <f>SUM(H70:L70)</f>
        <v>0.28095312735482197</v>
      </c>
      <c r="N70" s="59"/>
    </row>
    <row r="71" spans="1:14" x14ac:dyDescent="0.25">
      <c r="A71" s="53">
        <f t="shared" ref="A71:A80" si="32">A57</f>
        <v>10</v>
      </c>
      <c r="B71" s="48">
        <f t="shared" si="29"/>
        <v>1</v>
      </c>
      <c r="C71" s="49">
        <f t="shared" ref="C71:C79" si="33">$C$2*N$11*$B71*S$11*$F$2</f>
        <v>5.059035639270698E-9</v>
      </c>
      <c r="D71" s="49">
        <f t="shared" si="30"/>
        <v>2.5493900006830672E-9</v>
      </c>
      <c r="E71" s="49">
        <f t="shared" si="30"/>
        <v>6.3507663204269139E-8</v>
      </c>
      <c r="F71" s="49">
        <f t="shared" si="30"/>
        <v>2.5493900006830672E-9</v>
      </c>
      <c r="G71" s="49">
        <f t="shared" si="30"/>
        <v>1.2701532640853828E-7</v>
      </c>
      <c r="H71" s="49">
        <f t="shared" si="31"/>
        <v>7.0826498949789771E-3</v>
      </c>
      <c r="I71" s="49">
        <f t="shared" si="31"/>
        <v>3.5691460009562937E-3</v>
      </c>
      <c r="J71" s="49">
        <f t="shared" si="31"/>
        <v>8.8910728485976795E-2</v>
      </c>
      <c r="K71" s="49">
        <f t="shared" si="31"/>
        <v>3.5691460009562937E-3</v>
      </c>
      <c r="L71" s="49">
        <f t="shared" si="31"/>
        <v>0.17782145697195359</v>
      </c>
      <c r="M71" s="59">
        <f t="shared" ref="M71:M79" si="34">SUM(H71:L71)</f>
        <v>0.28095312735482197</v>
      </c>
    </row>
    <row r="72" spans="1:14" x14ac:dyDescent="0.25">
      <c r="A72" s="53">
        <f t="shared" si="32"/>
        <v>15</v>
      </c>
      <c r="B72" s="48">
        <f t="shared" si="29"/>
        <v>1</v>
      </c>
      <c r="C72" s="49">
        <f t="shared" si="33"/>
        <v>5.059035639270698E-9</v>
      </c>
      <c r="D72" s="49">
        <f t="shared" si="30"/>
        <v>2.5493900006830672E-9</v>
      </c>
      <c r="E72" s="49">
        <f t="shared" si="30"/>
        <v>6.3507663204269139E-8</v>
      </c>
      <c r="F72" s="49">
        <f t="shared" si="30"/>
        <v>2.5493900006830672E-9</v>
      </c>
      <c r="G72" s="49">
        <f t="shared" si="30"/>
        <v>1.2701532640853828E-7</v>
      </c>
      <c r="H72" s="49">
        <f t="shared" si="31"/>
        <v>7.0826498949789771E-3</v>
      </c>
      <c r="I72" s="49">
        <f t="shared" si="31"/>
        <v>3.5691460009562937E-3</v>
      </c>
      <c r="J72" s="49">
        <f t="shared" si="31"/>
        <v>8.8910728485976795E-2</v>
      </c>
      <c r="K72" s="49">
        <f t="shared" si="31"/>
        <v>3.5691460009562937E-3</v>
      </c>
      <c r="L72" s="49">
        <f t="shared" si="31"/>
        <v>0.17782145697195359</v>
      </c>
      <c r="M72" s="59">
        <f t="shared" si="34"/>
        <v>0.28095312735482197</v>
      </c>
    </row>
    <row r="73" spans="1:14" x14ac:dyDescent="0.25">
      <c r="A73" s="53">
        <f t="shared" si="32"/>
        <v>20</v>
      </c>
      <c r="B73" s="48">
        <f t="shared" si="29"/>
        <v>1</v>
      </c>
      <c r="C73" s="49">
        <f t="shared" si="33"/>
        <v>5.059035639270698E-9</v>
      </c>
      <c r="D73" s="49">
        <f t="shared" si="30"/>
        <v>2.5493900006830672E-9</v>
      </c>
      <c r="E73" s="49">
        <f t="shared" si="30"/>
        <v>6.3507663204269139E-8</v>
      </c>
      <c r="F73" s="49">
        <f t="shared" si="30"/>
        <v>2.5493900006830672E-9</v>
      </c>
      <c r="G73" s="49">
        <f t="shared" si="30"/>
        <v>1.2701532640853828E-7</v>
      </c>
      <c r="H73" s="49">
        <f t="shared" si="31"/>
        <v>7.0826498949789771E-3</v>
      </c>
      <c r="I73" s="49">
        <f t="shared" si="31"/>
        <v>3.5691460009562937E-3</v>
      </c>
      <c r="J73" s="49">
        <f t="shared" si="31"/>
        <v>8.8910728485976795E-2</v>
      </c>
      <c r="K73" s="49">
        <f t="shared" si="31"/>
        <v>3.5691460009562937E-3</v>
      </c>
      <c r="L73" s="49">
        <f t="shared" si="31"/>
        <v>0.17782145697195359</v>
      </c>
      <c r="M73" s="59">
        <f t="shared" si="34"/>
        <v>0.28095312735482197</v>
      </c>
    </row>
    <row r="74" spans="1:14" x14ac:dyDescent="0.25">
      <c r="A74" s="53">
        <f t="shared" si="32"/>
        <v>25</v>
      </c>
      <c r="B74" s="48">
        <f t="shared" si="29"/>
        <v>1</v>
      </c>
      <c r="C74" s="49">
        <f t="shared" si="33"/>
        <v>5.059035639270698E-9</v>
      </c>
      <c r="D74" s="49">
        <f t="shared" si="30"/>
        <v>2.5493900006830672E-9</v>
      </c>
      <c r="E74" s="49">
        <f t="shared" si="30"/>
        <v>6.3507663204269139E-8</v>
      </c>
      <c r="F74" s="49">
        <f t="shared" si="30"/>
        <v>2.5493900006830672E-9</v>
      </c>
      <c r="G74" s="49">
        <f t="shared" si="30"/>
        <v>1.2701532640853828E-7</v>
      </c>
      <c r="H74" s="49">
        <f t="shared" si="31"/>
        <v>7.0826498949789771E-3</v>
      </c>
      <c r="I74" s="49">
        <f t="shared" si="31"/>
        <v>3.5691460009562937E-3</v>
      </c>
      <c r="J74" s="49">
        <f t="shared" si="31"/>
        <v>8.8910728485976795E-2</v>
      </c>
      <c r="K74" s="49">
        <f t="shared" si="31"/>
        <v>3.5691460009562937E-3</v>
      </c>
      <c r="L74" s="49">
        <f t="shared" si="31"/>
        <v>0.17782145697195359</v>
      </c>
      <c r="M74" s="59">
        <f t="shared" si="34"/>
        <v>0.28095312735482197</v>
      </c>
    </row>
    <row r="75" spans="1:14" x14ac:dyDescent="0.25">
      <c r="A75" s="53">
        <f t="shared" si="32"/>
        <v>30</v>
      </c>
      <c r="B75" s="48">
        <f t="shared" si="29"/>
        <v>1</v>
      </c>
      <c r="C75" s="49">
        <f t="shared" si="33"/>
        <v>5.059035639270698E-9</v>
      </c>
      <c r="D75" s="49">
        <f t="shared" si="30"/>
        <v>2.5493900006830672E-9</v>
      </c>
      <c r="E75" s="49">
        <f t="shared" si="30"/>
        <v>6.3507663204269139E-8</v>
      </c>
      <c r="F75" s="49">
        <f t="shared" si="30"/>
        <v>2.5493900006830672E-9</v>
      </c>
      <c r="G75" s="49">
        <f t="shared" si="30"/>
        <v>1.2701532640853828E-7</v>
      </c>
      <c r="H75" s="49">
        <f t="shared" si="31"/>
        <v>7.0826498949789771E-3</v>
      </c>
      <c r="I75" s="49">
        <f t="shared" si="31"/>
        <v>3.5691460009562937E-3</v>
      </c>
      <c r="J75" s="49">
        <f t="shared" si="31"/>
        <v>8.8910728485976795E-2</v>
      </c>
      <c r="K75" s="49">
        <f t="shared" si="31"/>
        <v>3.5691460009562937E-3</v>
      </c>
      <c r="L75" s="49">
        <f t="shared" si="31"/>
        <v>0.17782145697195359</v>
      </c>
      <c r="M75" s="59">
        <f t="shared" si="34"/>
        <v>0.28095312735482197</v>
      </c>
    </row>
    <row r="76" spans="1:14" x14ac:dyDescent="0.25">
      <c r="A76" s="53">
        <f t="shared" si="32"/>
        <v>35</v>
      </c>
      <c r="B76" s="48">
        <f t="shared" si="29"/>
        <v>1</v>
      </c>
      <c r="C76" s="49">
        <f t="shared" si="33"/>
        <v>5.059035639270698E-9</v>
      </c>
      <c r="D76" s="49">
        <f t="shared" si="30"/>
        <v>2.5493900006830672E-9</v>
      </c>
      <c r="E76" s="49">
        <f t="shared" si="30"/>
        <v>6.3507663204269139E-8</v>
      </c>
      <c r="F76" s="49">
        <f t="shared" si="30"/>
        <v>2.5493900006830672E-9</v>
      </c>
      <c r="G76" s="49">
        <f t="shared" si="30"/>
        <v>1.2701532640853828E-7</v>
      </c>
      <c r="H76" s="49">
        <f t="shared" si="31"/>
        <v>7.0826498949789771E-3</v>
      </c>
      <c r="I76" s="49">
        <f t="shared" si="31"/>
        <v>3.5691460009562937E-3</v>
      </c>
      <c r="J76" s="49">
        <f t="shared" si="31"/>
        <v>8.8910728485976795E-2</v>
      </c>
      <c r="K76" s="49">
        <f t="shared" si="31"/>
        <v>3.5691460009562937E-3</v>
      </c>
      <c r="L76" s="49">
        <f t="shared" si="31"/>
        <v>0.17782145697195359</v>
      </c>
      <c r="M76" s="59">
        <f t="shared" si="34"/>
        <v>0.28095312735482197</v>
      </c>
    </row>
    <row r="77" spans="1:14" x14ac:dyDescent="0.25">
      <c r="A77" s="53">
        <f t="shared" si="32"/>
        <v>40</v>
      </c>
      <c r="B77" s="48">
        <f t="shared" si="29"/>
        <v>1</v>
      </c>
      <c r="C77" s="49">
        <f t="shared" si="33"/>
        <v>5.059035639270698E-9</v>
      </c>
      <c r="D77" s="49">
        <f t="shared" si="30"/>
        <v>2.5493900006830672E-9</v>
      </c>
      <c r="E77" s="49">
        <f t="shared" si="30"/>
        <v>6.3507663204269139E-8</v>
      </c>
      <c r="F77" s="49">
        <f t="shared" si="30"/>
        <v>2.5493900006830672E-9</v>
      </c>
      <c r="G77" s="49">
        <f t="shared" si="30"/>
        <v>1.2701532640853828E-7</v>
      </c>
      <c r="H77" s="49">
        <f t="shared" si="31"/>
        <v>7.0826498949789771E-3</v>
      </c>
      <c r="I77" s="49">
        <f t="shared" si="31"/>
        <v>3.5691460009562937E-3</v>
      </c>
      <c r="J77" s="49">
        <f t="shared" si="31"/>
        <v>8.8910728485976795E-2</v>
      </c>
      <c r="K77" s="49">
        <f t="shared" si="31"/>
        <v>3.5691460009562937E-3</v>
      </c>
      <c r="L77" s="49">
        <f t="shared" si="31"/>
        <v>0.17782145697195359</v>
      </c>
      <c r="M77" s="59">
        <f t="shared" si="34"/>
        <v>0.28095312735482197</v>
      </c>
    </row>
    <row r="78" spans="1:14" x14ac:dyDescent="0.25">
      <c r="A78" s="53">
        <f t="shared" si="32"/>
        <v>45</v>
      </c>
      <c r="B78" s="48">
        <f t="shared" si="29"/>
        <v>1</v>
      </c>
      <c r="C78" s="49">
        <f t="shared" si="33"/>
        <v>5.059035639270698E-9</v>
      </c>
      <c r="D78" s="49">
        <f t="shared" si="30"/>
        <v>2.5493900006830672E-9</v>
      </c>
      <c r="E78" s="49">
        <f t="shared" si="30"/>
        <v>6.3507663204269139E-8</v>
      </c>
      <c r="F78" s="49">
        <f t="shared" si="30"/>
        <v>2.5493900006830672E-9</v>
      </c>
      <c r="G78" s="49">
        <f t="shared" si="30"/>
        <v>1.2701532640853828E-7</v>
      </c>
      <c r="H78" s="49">
        <f t="shared" si="31"/>
        <v>7.0826498949789771E-3</v>
      </c>
      <c r="I78" s="49">
        <f t="shared" si="31"/>
        <v>3.5691460009562937E-3</v>
      </c>
      <c r="J78" s="49">
        <f t="shared" si="31"/>
        <v>8.8910728485976795E-2</v>
      </c>
      <c r="K78" s="49">
        <f t="shared" si="31"/>
        <v>3.5691460009562937E-3</v>
      </c>
      <c r="L78" s="49">
        <f t="shared" si="31"/>
        <v>0.17782145697195359</v>
      </c>
      <c r="M78" s="59">
        <f t="shared" si="34"/>
        <v>0.28095312735482197</v>
      </c>
    </row>
    <row r="79" spans="1:14" x14ac:dyDescent="0.25">
      <c r="A79" s="53">
        <f t="shared" si="32"/>
        <v>50</v>
      </c>
      <c r="B79" s="48">
        <f t="shared" si="29"/>
        <v>1</v>
      </c>
      <c r="C79" s="49">
        <f t="shared" si="33"/>
        <v>5.059035639270698E-9</v>
      </c>
      <c r="D79" s="49">
        <f t="shared" si="30"/>
        <v>2.5493900006830672E-9</v>
      </c>
      <c r="E79" s="49">
        <f t="shared" si="30"/>
        <v>6.3507663204269139E-8</v>
      </c>
      <c r="F79" s="49">
        <f t="shared" si="30"/>
        <v>2.5493900006830672E-9</v>
      </c>
      <c r="G79" s="49">
        <f t="shared" si="30"/>
        <v>1.2701532640853828E-7</v>
      </c>
      <c r="H79" s="49">
        <f t="shared" si="31"/>
        <v>7.0826498949789771E-3</v>
      </c>
      <c r="I79" s="49">
        <f t="shared" si="31"/>
        <v>3.5691460009562937E-3</v>
      </c>
      <c r="J79" s="49">
        <f t="shared" si="31"/>
        <v>8.8910728485976795E-2</v>
      </c>
      <c r="K79" s="49">
        <f t="shared" si="31"/>
        <v>3.5691460009562937E-3</v>
      </c>
      <c r="L79" s="49">
        <f t="shared" si="31"/>
        <v>0.17782145697195359</v>
      </c>
      <c r="M79" s="59">
        <f t="shared" si="34"/>
        <v>0.28095312735482197</v>
      </c>
    </row>
    <row r="80" spans="1:14" x14ac:dyDescent="0.25">
      <c r="A80" s="53">
        <f t="shared" si="32"/>
        <v>125</v>
      </c>
      <c r="B80" s="48">
        <f t="shared" si="29"/>
        <v>1</v>
      </c>
      <c r="C80" s="49">
        <f>$C$2*N$11*$B80*S$11*$F$2</f>
        <v>5.059035639270698E-9</v>
      </c>
      <c r="D80" s="49">
        <f>$C$2*O$11*$B80*T$11*$F$2</f>
        <v>2.5493900006830672E-9</v>
      </c>
      <c r="E80" s="49">
        <f>$C$2*P$11*$B80*U$11*$F$2</f>
        <v>6.3507663204269139E-8</v>
      </c>
      <c r="F80" s="49">
        <f>$C$2*Q$11*$B80*V$11*$F$2</f>
        <v>2.5493900006830672E-9</v>
      </c>
      <c r="G80" s="49">
        <f>$C$2*R$11*$B80*W$11*$F$2</f>
        <v>1.2701532640853828E-7</v>
      </c>
      <c r="H80" s="49">
        <f>C80*$M$2*$F$2</f>
        <v>7.0826498949789771E-3</v>
      </c>
      <c r="I80" s="49">
        <f>D80*$M$2*$F$2</f>
        <v>3.5691460009562937E-3</v>
      </c>
      <c r="J80" s="49">
        <f>E80*$M$2*$F$2</f>
        <v>8.8910728485976795E-2</v>
      </c>
      <c r="K80" s="49">
        <f>F80*$M$2*$F$2</f>
        <v>3.5691460009562937E-3</v>
      </c>
      <c r="L80" s="49">
        <f>G80*$M$2*$F$2</f>
        <v>0.17782145697195359</v>
      </c>
      <c r="M80" s="59">
        <f>SUM(H80:L80)</f>
        <v>0.28095312735482197</v>
      </c>
    </row>
    <row r="81" spans="1:16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9"/>
    </row>
    <row r="82" spans="1:16" ht="14.4" thickBot="1" x14ac:dyDescent="0.3"/>
    <row r="83" spans="1:16" ht="42" thickBot="1" x14ac:dyDescent="0.3">
      <c r="A83" s="73" t="s">
        <v>137</v>
      </c>
    </row>
    <row r="84" spans="1:16" ht="14.4" thickBot="1" x14ac:dyDescent="0.3"/>
    <row r="85" spans="1:16" ht="28.2" thickBot="1" x14ac:dyDescent="0.3">
      <c r="A85" s="66" t="s">
        <v>17</v>
      </c>
      <c r="B85" s="65" t="s">
        <v>93</v>
      </c>
      <c r="C85" s="60" t="s">
        <v>138</v>
      </c>
      <c r="D85" s="60" t="s">
        <v>139</v>
      </c>
      <c r="E85" s="60" t="s">
        <v>140</v>
      </c>
      <c r="F85" s="60" t="s">
        <v>141</v>
      </c>
      <c r="G85" s="60" t="s">
        <v>142</v>
      </c>
      <c r="H85" s="60" t="s">
        <v>143</v>
      </c>
      <c r="I85" s="60" t="s">
        <v>144</v>
      </c>
      <c r="J85" s="60" t="s">
        <v>145</v>
      </c>
      <c r="K85" s="60" t="s">
        <v>146</v>
      </c>
      <c r="L85" s="60" t="s">
        <v>147</v>
      </c>
    </row>
    <row r="86" spans="1:16" x14ac:dyDescent="0.25">
      <c r="A86" s="53">
        <f>A70</f>
        <v>5</v>
      </c>
      <c r="B86" s="48">
        <f t="shared" ref="B86:B94" si="35">B42</f>
        <v>1</v>
      </c>
      <c r="C86" s="49">
        <f t="shared" ref="C86:G95" si="36">$D$2*I11*N$11*$B86*S$11</f>
        <v>1.1373944294379088E-8</v>
      </c>
      <c r="D86" s="49">
        <f t="shared" si="36"/>
        <v>1.146329930049529E-8</v>
      </c>
      <c r="E86" s="49">
        <f t="shared" si="36"/>
        <v>1.4278069479179951E-7</v>
      </c>
      <c r="F86" s="49">
        <f t="shared" si="36"/>
        <v>1.146329930049529E-8</v>
      </c>
      <c r="G86" s="49">
        <f t="shared" si="36"/>
        <v>2.8556138958359901E-7</v>
      </c>
      <c r="H86" s="49">
        <f t="shared" ref="H86:L95" si="37">C86*I$11*$M$2*0.5</f>
        <v>2.5477635219409156E-2</v>
      </c>
      <c r="I86" s="49">
        <f t="shared" si="37"/>
        <v>5.13555808662189E-2</v>
      </c>
      <c r="J86" s="49">
        <f t="shared" si="37"/>
        <v>0.31982875633363089</v>
      </c>
      <c r="K86" s="49">
        <f t="shared" si="37"/>
        <v>5.13555808662189E-2</v>
      </c>
      <c r="L86" s="49">
        <f t="shared" si="37"/>
        <v>0.63965751266726179</v>
      </c>
      <c r="M86" s="49">
        <f t="shared" ref="M86:M95" si="38">SUM(H86:L86)</f>
        <v>1.0876750659527397</v>
      </c>
      <c r="P86" s="59"/>
    </row>
    <row r="87" spans="1:16" x14ac:dyDescent="0.25">
      <c r="A87" s="53">
        <f t="shared" ref="A87:A96" si="39">A71</f>
        <v>10</v>
      </c>
      <c r="B87" s="48">
        <f t="shared" si="35"/>
        <v>1</v>
      </c>
      <c r="C87" s="49">
        <f t="shared" si="36"/>
        <v>1.1373944294379088E-8</v>
      </c>
      <c r="D87" s="49">
        <f t="shared" si="36"/>
        <v>1.146329930049529E-8</v>
      </c>
      <c r="E87" s="49">
        <f t="shared" si="36"/>
        <v>1.4278069479179951E-7</v>
      </c>
      <c r="F87" s="49">
        <f t="shared" si="36"/>
        <v>1.146329930049529E-8</v>
      </c>
      <c r="G87" s="49">
        <f t="shared" si="36"/>
        <v>2.8556138958359901E-7</v>
      </c>
      <c r="H87" s="49">
        <f t="shared" si="37"/>
        <v>2.5477635219409156E-2</v>
      </c>
      <c r="I87" s="49">
        <f t="shared" si="37"/>
        <v>5.13555808662189E-2</v>
      </c>
      <c r="J87" s="49">
        <f t="shared" si="37"/>
        <v>0.31982875633363089</v>
      </c>
      <c r="K87" s="49">
        <f t="shared" si="37"/>
        <v>5.13555808662189E-2</v>
      </c>
      <c r="L87" s="49">
        <f t="shared" si="37"/>
        <v>0.63965751266726179</v>
      </c>
      <c r="M87" s="49">
        <f t="shared" si="38"/>
        <v>1.0876750659527397</v>
      </c>
    </row>
    <row r="88" spans="1:16" x14ac:dyDescent="0.25">
      <c r="A88" s="53">
        <f t="shared" si="39"/>
        <v>15</v>
      </c>
      <c r="B88" s="48">
        <f t="shared" si="35"/>
        <v>1</v>
      </c>
      <c r="C88" s="49">
        <f t="shared" si="36"/>
        <v>1.1373944294379088E-8</v>
      </c>
      <c r="D88" s="49">
        <f t="shared" si="36"/>
        <v>1.146329930049529E-8</v>
      </c>
      <c r="E88" s="49">
        <f t="shared" si="36"/>
        <v>1.4278069479179951E-7</v>
      </c>
      <c r="F88" s="49">
        <f t="shared" si="36"/>
        <v>1.146329930049529E-8</v>
      </c>
      <c r="G88" s="49">
        <f t="shared" si="36"/>
        <v>2.8556138958359901E-7</v>
      </c>
      <c r="H88" s="49">
        <f t="shared" si="37"/>
        <v>2.5477635219409156E-2</v>
      </c>
      <c r="I88" s="49">
        <f t="shared" si="37"/>
        <v>5.13555808662189E-2</v>
      </c>
      <c r="J88" s="49">
        <f t="shared" si="37"/>
        <v>0.31982875633363089</v>
      </c>
      <c r="K88" s="49">
        <f t="shared" si="37"/>
        <v>5.13555808662189E-2</v>
      </c>
      <c r="L88" s="49">
        <f t="shared" si="37"/>
        <v>0.63965751266726179</v>
      </c>
      <c r="M88" s="49">
        <f t="shared" si="38"/>
        <v>1.0876750659527397</v>
      </c>
    </row>
    <row r="89" spans="1:16" x14ac:dyDescent="0.25">
      <c r="A89" s="53">
        <f t="shared" si="39"/>
        <v>20</v>
      </c>
      <c r="B89" s="48">
        <f t="shared" si="35"/>
        <v>1</v>
      </c>
      <c r="C89" s="49">
        <f t="shared" si="36"/>
        <v>1.1373944294379088E-8</v>
      </c>
      <c r="D89" s="49">
        <f t="shared" si="36"/>
        <v>1.146329930049529E-8</v>
      </c>
      <c r="E89" s="49">
        <f t="shared" si="36"/>
        <v>1.4278069479179951E-7</v>
      </c>
      <c r="F89" s="49">
        <f t="shared" si="36"/>
        <v>1.146329930049529E-8</v>
      </c>
      <c r="G89" s="49">
        <f t="shared" si="36"/>
        <v>2.8556138958359901E-7</v>
      </c>
      <c r="H89" s="49">
        <f t="shared" si="37"/>
        <v>2.5477635219409156E-2</v>
      </c>
      <c r="I89" s="49">
        <f t="shared" si="37"/>
        <v>5.13555808662189E-2</v>
      </c>
      <c r="J89" s="49">
        <f t="shared" si="37"/>
        <v>0.31982875633363089</v>
      </c>
      <c r="K89" s="49">
        <f t="shared" si="37"/>
        <v>5.13555808662189E-2</v>
      </c>
      <c r="L89" s="49">
        <f t="shared" si="37"/>
        <v>0.63965751266726179</v>
      </c>
      <c r="M89" s="49">
        <f t="shared" si="38"/>
        <v>1.0876750659527397</v>
      </c>
    </row>
    <row r="90" spans="1:16" x14ac:dyDescent="0.25">
      <c r="A90" s="53">
        <f t="shared" si="39"/>
        <v>25</v>
      </c>
      <c r="B90" s="48">
        <f t="shared" si="35"/>
        <v>1</v>
      </c>
      <c r="C90" s="49">
        <f t="shared" si="36"/>
        <v>1.1373944294379088E-8</v>
      </c>
      <c r="D90" s="49">
        <f t="shared" si="36"/>
        <v>1.146329930049529E-8</v>
      </c>
      <c r="E90" s="49">
        <f t="shared" si="36"/>
        <v>1.4278069479179951E-7</v>
      </c>
      <c r="F90" s="49">
        <f t="shared" si="36"/>
        <v>1.146329930049529E-8</v>
      </c>
      <c r="G90" s="49">
        <f t="shared" si="36"/>
        <v>2.8556138958359901E-7</v>
      </c>
      <c r="H90" s="49">
        <f t="shared" si="37"/>
        <v>2.5477635219409156E-2</v>
      </c>
      <c r="I90" s="49">
        <f t="shared" si="37"/>
        <v>5.13555808662189E-2</v>
      </c>
      <c r="J90" s="49">
        <f t="shared" si="37"/>
        <v>0.31982875633363089</v>
      </c>
      <c r="K90" s="49">
        <f t="shared" si="37"/>
        <v>5.13555808662189E-2</v>
      </c>
      <c r="L90" s="49">
        <f t="shared" si="37"/>
        <v>0.63965751266726179</v>
      </c>
      <c r="M90" s="49">
        <f t="shared" si="38"/>
        <v>1.0876750659527397</v>
      </c>
    </row>
    <row r="91" spans="1:16" x14ac:dyDescent="0.25">
      <c r="A91" s="53">
        <f t="shared" si="39"/>
        <v>30</v>
      </c>
      <c r="B91" s="48">
        <f t="shared" si="35"/>
        <v>1</v>
      </c>
      <c r="C91" s="49">
        <f t="shared" si="36"/>
        <v>1.1373944294379088E-8</v>
      </c>
      <c r="D91" s="49">
        <f t="shared" si="36"/>
        <v>1.146329930049529E-8</v>
      </c>
      <c r="E91" s="49">
        <f t="shared" si="36"/>
        <v>1.4278069479179951E-7</v>
      </c>
      <c r="F91" s="49">
        <f t="shared" si="36"/>
        <v>1.146329930049529E-8</v>
      </c>
      <c r="G91" s="49">
        <f t="shared" si="36"/>
        <v>2.8556138958359901E-7</v>
      </c>
      <c r="H91" s="49">
        <f t="shared" si="37"/>
        <v>2.5477635219409156E-2</v>
      </c>
      <c r="I91" s="49">
        <f t="shared" si="37"/>
        <v>5.13555808662189E-2</v>
      </c>
      <c r="J91" s="49">
        <f t="shared" si="37"/>
        <v>0.31982875633363089</v>
      </c>
      <c r="K91" s="49">
        <f t="shared" si="37"/>
        <v>5.13555808662189E-2</v>
      </c>
      <c r="L91" s="49">
        <f t="shared" si="37"/>
        <v>0.63965751266726179</v>
      </c>
      <c r="M91" s="49">
        <f t="shared" si="38"/>
        <v>1.0876750659527397</v>
      </c>
    </row>
    <row r="92" spans="1:16" x14ac:dyDescent="0.25">
      <c r="A92" s="53">
        <f t="shared" si="39"/>
        <v>35</v>
      </c>
      <c r="B92" s="48">
        <f t="shared" si="35"/>
        <v>1</v>
      </c>
      <c r="C92" s="49">
        <f t="shared" si="36"/>
        <v>1.1373944294379088E-8</v>
      </c>
      <c r="D92" s="49">
        <f t="shared" si="36"/>
        <v>1.146329930049529E-8</v>
      </c>
      <c r="E92" s="49">
        <f t="shared" si="36"/>
        <v>1.4278069479179951E-7</v>
      </c>
      <c r="F92" s="49">
        <f t="shared" si="36"/>
        <v>1.146329930049529E-8</v>
      </c>
      <c r="G92" s="49">
        <f t="shared" si="36"/>
        <v>2.8556138958359901E-7</v>
      </c>
      <c r="H92" s="49">
        <f t="shared" si="37"/>
        <v>2.5477635219409156E-2</v>
      </c>
      <c r="I92" s="49">
        <f t="shared" si="37"/>
        <v>5.13555808662189E-2</v>
      </c>
      <c r="J92" s="49">
        <f t="shared" si="37"/>
        <v>0.31982875633363089</v>
      </c>
      <c r="K92" s="49">
        <f t="shared" si="37"/>
        <v>5.13555808662189E-2</v>
      </c>
      <c r="L92" s="49">
        <f t="shared" si="37"/>
        <v>0.63965751266726179</v>
      </c>
      <c r="M92" s="49">
        <f t="shared" si="38"/>
        <v>1.0876750659527397</v>
      </c>
    </row>
    <row r="93" spans="1:16" x14ac:dyDescent="0.25">
      <c r="A93" s="53">
        <f t="shared" si="39"/>
        <v>40</v>
      </c>
      <c r="B93" s="48">
        <f t="shared" si="35"/>
        <v>1</v>
      </c>
      <c r="C93" s="49">
        <f t="shared" si="36"/>
        <v>1.1373944294379088E-8</v>
      </c>
      <c r="D93" s="49">
        <f t="shared" si="36"/>
        <v>1.146329930049529E-8</v>
      </c>
      <c r="E93" s="49">
        <f t="shared" si="36"/>
        <v>1.4278069479179951E-7</v>
      </c>
      <c r="F93" s="49">
        <f t="shared" si="36"/>
        <v>1.146329930049529E-8</v>
      </c>
      <c r="G93" s="49">
        <f t="shared" si="36"/>
        <v>2.8556138958359901E-7</v>
      </c>
      <c r="H93" s="49">
        <f t="shared" si="37"/>
        <v>2.5477635219409156E-2</v>
      </c>
      <c r="I93" s="49">
        <f t="shared" si="37"/>
        <v>5.13555808662189E-2</v>
      </c>
      <c r="J93" s="49">
        <f t="shared" si="37"/>
        <v>0.31982875633363089</v>
      </c>
      <c r="K93" s="49">
        <f t="shared" si="37"/>
        <v>5.13555808662189E-2</v>
      </c>
      <c r="L93" s="49">
        <f t="shared" si="37"/>
        <v>0.63965751266726179</v>
      </c>
      <c r="M93" s="49">
        <f t="shared" si="38"/>
        <v>1.0876750659527397</v>
      </c>
    </row>
    <row r="94" spans="1:16" x14ac:dyDescent="0.25">
      <c r="A94" s="53">
        <f t="shared" si="39"/>
        <v>45</v>
      </c>
      <c r="B94" s="48">
        <f t="shared" si="35"/>
        <v>1</v>
      </c>
      <c r="C94" s="49">
        <f t="shared" si="36"/>
        <v>1.1373944294379088E-8</v>
      </c>
      <c r="D94" s="49">
        <f t="shared" si="36"/>
        <v>1.146329930049529E-8</v>
      </c>
      <c r="E94" s="49">
        <f t="shared" si="36"/>
        <v>1.4278069479179951E-7</v>
      </c>
      <c r="F94" s="49">
        <f t="shared" si="36"/>
        <v>1.146329930049529E-8</v>
      </c>
      <c r="G94" s="49">
        <f t="shared" si="36"/>
        <v>2.8556138958359901E-7</v>
      </c>
      <c r="H94" s="49">
        <f t="shared" si="37"/>
        <v>2.5477635219409156E-2</v>
      </c>
      <c r="I94" s="49">
        <f t="shared" si="37"/>
        <v>5.13555808662189E-2</v>
      </c>
      <c r="J94" s="49">
        <f t="shared" si="37"/>
        <v>0.31982875633363089</v>
      </c>
      <c r="K94" s="49">
        <f t="shared" si="37"/>
        <v>5.13555808662189E-2</v>
      </c>
      <c r="L94" s="49">
        <f t="shared" si="37"/>
        <v>0.63965751266726179</v>
      </c>
      <c r="M94" s="49">
        <f t="shared" si="38"/>
        <v>1.0876750659527397</v>
      </c>
    </row>
    <row r="95" spans="1:16" x14ac:dyDescent="0.25">
      <c r="A95" s="53">
        <f t="shared" si="39"/>
        <v>50</v>
      </c>
      <c r="B95" s="48">
        <v>1</v>
      </c>
      <c r="C95" s="49">
        <f t="shared" si="36"/>
        <v>1.1373944294379088E-8</v>
      </c>
      <c r="D95" s="49">
        <f t="shared" si="36"/>
        <v>1.146329930049529E-8</v>
      </c>
      <c r="E95" s="49">
        <f t="shared" si="36"/>
        <v>1.4278069479179951E-7</v>
      </c>
      <c r="F95" s="49">
        <f t="shared" si="36"/>
        <v>1.146329930049529E-8</v>
      </c>
      <c r="G95" s="49">
        <f t="shared" si="36"/>
        <v>2.8556138958359901E-7</v>
      </c>
      <c r="H95" s="49">
        <f t="shared" si="37"/>
        <v>2.5477635219409156E-2</v>
      </c>
      <c r="I95" s="49">
        <f t="shared" si="37"/>
        <v>5.13555808662189E-2</v>
      </c>
      <c r="J95" s="49">
        <f t="shared" si="37"/>
        <v>0.31982875633363089</v>
      </c>
      <c r="K95" s="49">
        <f t="shared" si="37"/>
        <v>5.13555808662189E-2</v>
      </c>
      <c r="L95" s="49">
        <f t="shared" si="37"/>
        <v>0.63965751266726179</v>
      </c>
      <c r="M95" s="49">
        <f t="shared" si="38"/>
        <v>1.0876750659527397</v>
      </c>
    </row>
    <row r="96" spans="1:16" ht="14.4" thickBot="1" x14ac:dyDescent="0.3">
      <c r="A96" s="53">
        <f t="shared" si="39"/>
        <v>125</v>
      </c>
      <c r="B96" s="48">
        <v>1</v>
      </c>
      <c r="C96" s="49">
        <f>$D$2*I21*N$11*$B96*S$11</f>
        <v>1.1373944294379088E-8</v>
      </c>
      <c r="D96" s="49">
        <f>$D$2*J21*O$11*$B96*T$11</f>
        <v>1.146329930049529E-8</v>
      </c>
      <c r="E96" s="49">
        <f>$D$2*K21*P$11*$B96*U$11</f>
        <v>1.4278069479179951E-7</v>
      </c>
      <c r="F96" s="49">
        <f>$D$2*L21*Q$11*$B96*V$11</f>
        <v>1.146329930049529E-8</v>
      </c>
      <c r="G96" s="49">
        <f>$D$2*M21*R$11*$B96*W$11</f>
        <v>2.8556138958359901E-7</v>
      </c>
      <c r="H96" s="49">
        <f>C96*I$11*$M$2*0.5</f>
        <v>2.5477635219409156E-2</v>
      </c>
      <c r="I96" s="49">
        <f>D96*J$11*$M$2*0.5</f>
        <v>5.13555808662189E-2</v>
      </c>
      <c r="J96" s="49">
        <f>E96*K$11*$M$2*0.5</f>
        <v>0.31982875633363089</v>
      </c>
      <c r="K96" s="49">
        <f>F96*L$11*$M$2*0.5</f>
        <v>5.13555808662189E-2</v>
      </c>
      <c r="L96" s="49">
        <f>G96*M$11*$M$2*0.5</f>
        <v>0.63965751266726179</v>
      </c>
      <c r="M96" s="49">
        <f>SUM(H96:L96)</f>
        <v>1.0876750659527397</v>
      </c>
    </row>
    <row r="97" spans="1:11" ht="28.2" thickBot="1" x14ac:dyDescent="0.3">
      <c r="A97" s="73" t="s">
        <v>163</v>
      </c>
    </row>
    <row r="98" spans="1:11" ht="14.4" thickBot="1" x14ac:dyDescent="0.3">
      <c r="A98" s="56"/>
      <c r="B98" s="56"/>
      <c r="C98" s="56"/>
      <c r="D98" s="48"/>
      <c r="E98" s="57"/>
      <c r="F98" s="57"/>
      <c r="G98" s="57"/>
      <c r="H98" s="57"/>
      <c r="I98" s="57"/>
      <c r="J98" s="57"/>
    </row>
    <row r="99" spans="1:11" ht="28.2" thickBot="1" x14ac:dyDescent="0.3">
      <c r="A99" s="60" t="s">
        <v>162</v>
      </c>
      <c r="B99" s="65" t="s">
        <v>93</v>
      </c>
      <c r="C99" s="60" t="s">
        <v>82</v>
      </c>
      <c r="D99" s="60" t="s">
        <v>84</v>
      </c>
      <c r="E99" s="60" t="s">
        <v>169</v>
      </c>
      <c r="F99" s="60" t="s">
        <v>168</v>
      </c>
      <c r="G99" s="60" t="s">
        <v>166</v>
      </c>
      <c r="H99" s="60" t="s">
        <v>167</v>
      </c>
      <c r="I99" s="60" t="s">
        <v>164</v>
      </c>
      <c r="J99" s="60" t="s">
        <v>165</v>
      </c>
    </row>
    <row r="100" spans="1:11" x14ac:dyDescent="0.25">
      <c r="A100" s="53">
        <f>A86</f>
        <v>5</v>
      </c>
      <c r="B100" s="48">
        <v>1</v>
      </c>
      <c r="C100" s="58">
        <f t="shared" ref="C100:C110" si="40">(1/($S$2*((P$11*$B100)/U$11)*($F$2-$G$2)))</f>
        <v>2.5112953947316693E-4</v>
      </c>
      <c r="D100" s="58">
        <f t="shared" ref="D100:D110" si="41">(1/($S$2*((R$11*$B100)/W$11)*($F$2-$G$2)))</f>
        <v>1.2556476973658347E-4</v>
      </c>
      <c r="E100" s="49">
        <f t="shared" ref="E100:E109" si="42">ABS($G$2+(F12*C100))</f>
        <v>2.1304052585517166</v>
      </c>
      <c r="F100" s="49">
        <f>ABS($G$2+H12*D100)</f>
        <v>2.1304052585517166</v>
      </c>
      <c r="G100" s="49">
        <v>2.0000000000000001E-9</v>
      </c>
      <c r="H100" s="49">
        <v>2.0000000000000001E-9</v>
      </c>
      <c r="I100" s="49">
        <f t="shared" ref="I100:I109" si="43">2*E100*F12*$M$2*G100</f>
        <v>3.8504779072869692E-3</v>
      </c>
      <c r="J100" s="59">
        <f t="shared" ref="J100:J109" si="44">2*F100*H12*$M$2*H100</f>
        <v>7.7009558145739385E-3</v>
      </c>
      <c r="K100" s="59">
        <f>SUM(I100:J100)</f>
        <v>1.1551433721860908E-2</v>
      </c>
    </row>
    <row r="101" spans="1:11" x14ac:dyDescent="0.25">
      <c r="A101" s="53">
        <f t="shared" ref="A101:A110" si="45">A87</f>
        <v>10</v>
      </c>
      <c r="B101" s="48">
        <v>1</v>
      </c>
      <c r="C101" s="58">
        <f t="shared" si="40"/>
        <v>2.5112953947316693E-4</v>
      </c>
      <c r="D101" s="58">
        <f t="shared" si="41"/>
        <v>1.2556476973658347E-4</v>
      </c>
      <c r="E101" s="49">
        <f t="shared" si="42"/>
        <v>2.1308105171034333</v>
      </c>
      <c r="F101" s="49">
        <f t="shared" ref="F101:F109" si="46">ABS($G$2+H13*D101)</f>
        <v>2.1308105171034333</v>
      </c>
      <c r="G101" s="49">
        <v>2.0000000000000001E-9</v>
      </c>
      <c r="H101" s="49">
        <v>2.0000000000000001E-9</v>
      </c>
      <c r="I101" s="49">
        <f t="shared" si="43"/>
        <v>7.7024207368875308E-3</v>
      </c>
      <c r="J101" s="59">
        <f t="shared" si="44"/>
        <v>1.5404841473775062E-2</v>
      </c>
      <c r="K101" s="59">
        <f t="shared" ref="K101:K109" si="47">SUM(I101:J101)</f>
        <v>2.3107262210662591E-2</v>
      </c>
    </row>
    <row r="102" spans="1:11" x14ac:dyDescent="0.25">
      <c r="A102" s="53">
        <f t="shared" si="45"/>
        <v>15</v>
      </c>
      <c r="B102" s="48">
        <v>1</v>
      </c>
      <c r="C102" s="58">
        <f t="shared" si="40"/>
        <v>2.5112953947316693E-4</v>
      </c>
      <c r="D102" s="58">
        <f t="shared" si="41"/>
        <v>1.2556476973658347E-4</v>
      </c>
      <c r="E102" s="49">
        <f t="shared" si="42"/>
        <v>2.1312157756551504</v>
      </c>
      <c r="F102" s="49">
        <f t="shared" si="46"/>
        <v>2.1312157756551504</v>
      </c>
      <c r="G102" s="49">
        <v>2.0000000000000001E-9</v>
      </c>
      <c r="H102" s="49">
        <v>2.0000000000000001E-9</v>
      </c>
      <c r="I102" s="49">
        <f t="shared" si="43"/>
        <v>1.1555828488801689E-2</v>
      </c>
      <c r="J102" s="59">
        <f t="shared" si="44"/>
        <v>2.3111656977603378E-2</v>
      </c>
      <c r="K102" s="59">
        <f t="shared" si="47"/>
        <v>3.4667485466405065E-2</v>
      </c>
    </row>
    <row r="103" spans="1:11" x14ac:dyDescent="0.25">
      <c r="A103" s="53">
        <f t="shared" si="45"/>
        <v>20</v>
      </c>
      <c r="B103" s="48">
        <v>1</v>
      </c>
      <c r="C103" s="58">
        <f t="shared" si="40"/>
        <v>2.5112953947316693E-4</v>
      </c>
      <c r="D103" s="58">
        <f t="shared" si="41"/>
        <v>1.2556476973658347E-4</v>
      </c>
      <c r="E103" s="49">
        <f t="shared" si="42"/>
        <v>2.1316210342068671</v>
      </c>
      <c r="F103" s="49">
        <f t="shared" si="46"/>
        <v>2.1316210342068671</v>
      </c>
      <c r="G103" s="49">
        <v>2.0000000000000001E-9</v>
      </c>
      <c r="H103" s="49">
        <v>2.0000000000000001E-9</v>
      </c>
      <c r="I103" s="49">
        <f t="shared" si="43"/>
        <v>1.5410701163029441E-2</v>
      </c>
      <c r="J103" s="59">
        <f t="shared" si="44"/>
        <v>3.0821402326058882E-2</v>
      </c>
      <c r="K103" s="59">
        <f t="shared" si="47"/>
        <v>4.6232103489088322E-2</v>
      </c>
    </row>
    <row r="104" spans="1:11" x14ac:dyDescent="0.25">
      <c r="A104" s="53">
        <f t="shared" si="45"/>
        <v>25</v>
      </c>
      <c r="B104" s="48">
        <v>1</v>
      </c>
      <c r="C104" s="58">
        <f t="shared" si="40"/>
        <v>2.5112953947316693E-4</v>
      </c>
      <c r="D104" s="58">
        <f t="shared" si="41"/>
        <v>1.2556476973658347E-4</v>
      </c>
      <c r="E104" s="49">
        <f>ABS($G$2+(F16*C104))</f>
        <v>2.1320262927585838</v>
      </c>
      <c r="F104" s="49">
        <f t="shared" si="46"/>
        <v>2.1320262927585838</v>
      </c>
      <c r="G104" s="49">
        <v>2.0000000000000001E-9</v>
      </c>
      <c r="H104" s="49">
        <v>2.0000000000000001E-9</v>
      </c>
      <c r="I104" s="49">
        <f t="shared" si="43"/>
        <v>1.9267038759570781E-2</v>
      </c>
      <c r="J104" s="59">
        <f t="shared" si="44"/>
        <v>3.8534077519141563E-2</v>
      </c>
      <c r="K104" s="59">
        <f t="shared" si="47"/>
        <v>5.7801116278712344E-2</v>
      </c>
    </row>
    <row r="105" spans="1:11" x14ac:dyDescent="0.25">
      <c r="A105" s="53">
        <f t="shared" si="45"/>
        <v>30</v>
      </c>
      <c r="B105" s="48">
        <v>1</v>
      </c>
      <c r="C105" s="58">
        <f t="shared" si="40"/>
        <v>2.5112953947316693E-4</v>
      </c>
      <c r="D105" s="58">
        <f t="shared" si="41"/>
        <v>1.2556476973658347E-4</v>
      </c>
      <c r="E105" s="49">
        <f t="shared" si="42"/>
        <v>2.1324315513103005</v>
      </c>
      <c r="F105" s="49">
        <f t="shared" si="46"/>
        <v>2.1324315513103005</v>
      </c>
      <c r="G105" s="49">
        <v>2.0000000000000001E-9</v>
      </c>
      <c r="H105" s="49">
        <v>2.0000000000000001E-9</v>
      </c>
      <c r="I105" s="49">
        <f t="shared" si="43"/>
        <v>2.3124841278425717E-2</v>
      </c>
      <c r="J105" s="59">
        <f t="shared" si="44"/>
        <v>4.6249682556851433E-2</v>
      </c>
      <c r="K105" s="59">
        <f t="shared" si="47"/>
        <v>6.9374523835277146E-2</v>
      </c>
    </row>
    <row r="106" spans="1:11" x14ac:dyDescent="0.25">
      <c r="A106" s="53">
        <f t="shared" si="45"/>
        <v>35</v>
      </c>
      <c r="B106" s="48">
        <v>1</v>
      </c>
      <c r="C106" s="58">
        <f t="shared" si="40"/>
        <v>2.5112953947316693E-4</v>
      </c>
      <c r="D106" s="58">
        <f t="shared" si="41"/>
        <v>1.2556476973658347E-4</v>
      </c>
      <c r="E106" s="49">
        <f t="shared" si="42"/>
        <v>2.1328368098620176</v>
      </c>
      <c r="F106" s="49">
        <f t="shared" si="46"/>
        <v>2.1328368098620176</v>
      </c>
      <c r="G106" s="49">
        <v>2.0000000000000001E-9</v>
      </c>
      <c r="H106" s="49">
        <v>2.0000000000000001E-9</v>
      </c>
      <c r="I106" s="49">
        <f t="shared" si="43"/>
        <v>2.6984108719594252E-2</v>
      </c>
      <c r="J106" s="59">
        <f t="shared" si="44"/>
        <v>5.3968217439188504E-2</v>
      </c>
      <c r="K106" s="59">
        <f t="shared" si="47"/>
        <v>8.0952326158782756E-2</v>
      </c>
    </row>
    <row r="107" spans="1:11" x14ac:dyDescent="0.25">
      <c r="A107" s="53">
        <f t="shared" si="45"/>
        <v>40</v>
      </c>
      <c r="B107" s="48">
        <v>1</v>
      </c>
      <c r="C107" s="58">
        <f t="shared" si="40"/>
        <v>2.5112953947316693E-4</v>
      </c>
      <c r="D107" s="58">
        <f t="shared" si="41"/>
        <v>1.2556476973658347E-4</v>
      </c>
      <c r="E107" s="49">
        <f t="shared" si="42"/>
        <v>2.1332420684137343</v>
      </c>
      <c r="F107" s="49">
        <f t="shared" si="46"/>
        <v>2.1332420684137343</v>
      </c>
      <c r="G107" s="49">
        <v>2.0000000000000001E-9</v>
      </c>
      <c r="H107" s="49">
        <v>2.0000000000000001E-9</v>
      </c>
      <c r="I107" s="49">
        <f t="shared" si="43"/>
        <v>3.084484108307637E-2</v>
      </c>
      <c r="J107" s="59">
        <f t="shared" si="44"/>
        <v>6.168968216615274E-2</v>
      </c>
      <c r="K107" s="59">
        <f t="shared" si="47"/>
        <v>9.2534523249229117E-2</v>
      </c>
    </row>
    <row r="108" spans="1:11" x14ac:dyDescent="0.25">
      <c r="A108" s="53">
        <f t="shared" si="45"/>
        <v>45</v>
      </c>
      <c r="B108" s="54">
        <v>1</v>
      </c>
      <c r="C108" s="49">
        <f t="shared" si="40"/>
        <v>2.5112953947316693E-4</v>
      </c>
      <c r="D108" s="49">
        <f t="shared" si="41"/>
        <v>1.2556476973658347E-4</v>
      </c>
      <c r="E108" s="49">
        <f t="shared" si="42"/>
        <v>2.133647326965451</v>
      </c>
      <c r="F108" s="49">
        <f t="shared" si="46"/>
        <v>2.133647326965451</v>
      </c>
      <c r="G108" s="49">
        <v>2.0000000000000001E-9</v>
      </c>
      <c r="H108" s="49">
        <v>2.0000000000000001E-9</v>
      </c>
      <c r="I108" s="49">
        <f t="shared" si="43"/>
        <v>3.4707038368872088E-2</v>
      </c>
      <c r="J108" s="59">
        <f t="shared" si="44"/>
        <v>6.9414076737744176E-2</v>
      </c>
      <c r="K108" s="59">
        <f t="shared" si="47"/>
        <v>0.10412111510661626</v>
      </c>
    </row>
    <row r="109" spans="1:11" x14ac:dyDescent="0.25">
      <c r="A109" s="53">
        <f t="shared" si="45"/>
        <v>50</v>
      </c>
      <c r="B109" s="48">
        <v>1</v>
      </c>
      <c r="C109" s="49">
        <f t="shared" si="40"/>
        <v>2.5112953947316693E-4</v>
      </c>
      <c r="D109" s="49">
        <f t="shared" si="41"/>
        <v>1.2556476973658347E-4</v>
      </c>
      <c r="E109" s="49">
        <f t="shared" si="42"/>
        <v>2.1340525855171677</v>
      </c>
      <c r="F109" s="49">
        <f t="shared" si="46"/>
        <v>2.1340525855171677</v>
      </c>
      <c r="G109" s="49">
        <v>2.0000000000000001E-9</v>
      </c>
      <c r="H109" s="49">
        <v>2.0000000000000001E-9</v>
      </c>
      <c r="I109" s="49">
        <f t="shared" si="43"/>
        <v>3.8570700576981407E-2</v>
      </c>
      <c r="J109" s="59">
        <f t="shared" si="44"/>
        <v>7.7141401153962813E-2</v>
      </c>
      <c r="K109" s="59">
        <f t="shared" si="47"/>
        <v>0.11571210173094422</v>
      </c>
    </row>
    <row r="110" spans="1:11" x14ac:dyDescent="0.25">
      <c r="A110" s="53">
        <f t="shared" si="45"/>
        <v>125</v>
      </c>
      <c r="B110" s="48">
        <v>1</v>
      </c>
      <c r="C110" s="91">
        <f t="shared" si="40"/>
        <v>2.5112953947316693E-4</v>
      </c>
      <c r="D110" s="91">
        <f t="shared" si="41"/>
        <v>1.2556476973658347E-4</v>
      </c>
      <c r="E110" s="49">
        <f>ABS($G$2+(F22*C110))</f>
        <v>2.1401314637929199</v>
      </c>
      <c r="F110" s="49">
        <f>ABS($G$2+H22*D110)</f>
        <v>2.1401314637929199</v>
      </c>
      <c r="G110" s="49">
        <v>2.0000000000000001E-9</v>
      </c>
      <c r="H110" s="49">
        <v>2.0000000000000001E-9</v>
      </c>
      <c r="I110" s="49">
        <f>2*E110*F22*$M$2*G110</f>
        <v>9.6701424376252273E-2</v>
      </c>
      <c r="J110" s="59">
        <f>2*F110*H22*$M$2*H110</f>
        <v>0.19340284875250455</v>
      </c>
      <c r="K110" s="59">
        <f>SUM(I110:J110)</f>
        <v>0.29010427312875681</v>
      </c>
    </row>
    <row r="112" spans="1:11" ht="14.4" thickBot="1" x14ac:dyDescent="0.3"/>
    <row r="113" spans="1:12" ht="42" thickBot="1" x14ac:dyDescent="0.3">
      <c r="B113" s="65" t="s">
        <v>93</v>
      </c>
      <c r="C113" s="60" t="s">
        <v>179</v>
      </c>
      <c r="D113" s="60" t="s">
        <v>180</v>
      </c>
      <c r="E113" s="60" t="s">
        <v>175</v>
      </c>
      <c r="F113" s="60" t="s">
        <v>178</v>
      </c>
      <c r="G113" s="60" t="s">
        <v>182</v>
      </c>
      <c r="H113" s="60" t="s">
        <v>183</v>
      </c>
      <c r="I113" s="55" t="s">
        <v>155</v>
      </c>
      <c r="J113" s="60" t="s">
        <v>181</v>
      </c>
    </row>
    <row r="114" spans="1:12" x14ac:dyDescent="0.25">
      <c r="A114" s="48">
        <f t="shared" ref="A114:A124" si="48">A86</f>
        <v>5</v>
      </c>
      <c r="B114" s="48">
        <f t="shared" ref="B114:B122" si="49">B42</f>
        <v>1</v>
      </c>
      <c r="C114" s="49">
        <f t="shared" ref="C114:C123" si="50">M42</f>
        <v>4.6814367222977899E-3</v>
      </c>
      <c r="D114" s="49">
        <f>SUM(M56,M70,M86)</f>
        <v>1.4309189836327039</v>
      </c>
      <c r="E114" s="49">
        <f>J27</f>
        <v>9.6223674655047213E-3</v>
      </c>
      <c r="F114" s="50">
        <f>(A114*1)/(A114*1+SUM(M42,M56,M70,M86))*100</f>
        <v>77.692828538353993</v>
      </c>
      <c r="G114" s="50">
        <f t="shared" ref="G114:G123" si="51">(SUM($N$11*$S$11+$O$11*$T$11+$P$11*$U$11+$Q$11*$V$11+$R$11*$W$11)*B114)/0.000001</f>
        <v>187.99138665428038</v>
      </c>
      <c r="H114" s="50">
        <f>5*SUM(D27:E27)</f>
        <v>130</v>
      </c>
      <c r="I114" s="50">
        <f t="shared" ref="I114:I123" si="52">SUM(C114:E114)</f>
        <v>1.4452227878205064</v>
      </c>
      <c r="J114" s="59">
        <f t="shared" ref="J114:J123" si="53">((A114*1)/(A114*1+I114))*100</f>
        <v>77.576837366250018</v>
      </c>
      <c r="K114" s="72"/>
      <c r="L114" s="59"/>
    </row>
    <row r="115" spans="1:12" x14ac:dyDescent="0.25">
      <c r="A115" s="48">
        <f t="shared" si="48"/>
        <v>10</v>
      </c>
      <c r="B115" s="48">
        <f t="shared" si="49"/>
        <v>1</v>
      </c>
      <c r="C115" s="49">
        <f t="shared" si="50"/>
        <v>1.872574688919116E-2</v>
      </c>
      <c r="D115" s="49">
        <f t="shared" ref="D115:D124" si="54">SUM(M57,M71,M87)</f>
        <v>1.493209773957846</v>
      </c>
      <c r="E115" s="49">
        <f t="shared" ref="E115:E123" si="55">J28</f>
        <v>3.8489469862018885E-2</v>
      </c>
      <c r="F115" s="50">
        <f t="shared" ref="F115:F123" si="56">(A115*1)/(A115*1+SUM(M43,M57,M71,M87))*100</f>
        <v>86.866365624537551</v>
      </c>
      <c r="G115" s="50">
        <f t="shared" si="51"/>
        <v>187.99138665428038</v>
      </c>
      <c r="H115" s="50">
        <f t="shared" ref="H115:H123" si="57">5*SUM(D28:E28)</f>
        <v>130</v>
      </c>
      <c r="I115" s="50">
        <f t="shared" si="52"/>
        <v>1.5504249907090561</v>
      </c>
      <c r="J115" s="59">
        <f t="shared" si="53"/>
        <v>86.576900919609557</v>
      </c>
      <c r="K115" s="59"/>
      <c r="L115" s="59"/>
    </row>
    <row r="116" spans="1:12" x14ac:dyDescent="0.25">
      <c r="A116" s="48">
        <f t="shared" si="48"/>
        <v>15</v>
      </c>
      <c r="B116" s="48">
        <f t="shared" si="49"/>
        <v>1</v>
      </c>
      <c r="C116" s="49">
        <f t="shared" si="50"/>
        <v>4.2132930500680101E-2</v>
      </c>
      <c r="D116" s="49">
        <f t="shared" si="54"/>
        <v>1.5555005642829884</v>
      </c>
      <c r="E116" s="49">
        <f t="shared" si="55"/>
        <v>8.6601307189542481E-2</v>
      </c>
      <c r="F116" s="50">
        <f t="shared" si="56"/>
        <v>90.374329597735866</v>
      </c>
      <c r="G116" s="50">
        <f t="shared" si="51"/>
        <v>187.99138665428038</v>
      </c>
      <c r="H116" s="50">
        <f t="shared" si="57"/>
        <v>130</v>
      </c>
      <c r="I116" s="50">
        <f t="shared" si="52"/>
        <v>1.684234801973211</v>
      </c>
      <c r="J116" s="59">
        <f t="shared" si="53"/>
        <v>89.905231963206248</v>
      </c>
      <c r="K116" s="59"/>
      <c r="L116" s="59"/>
    </row>
    <row r="117" spans="1:12" x14ac:dyDescent="0.25">
      <c r="A117" s="48">
        <f t="shared" si="48"/>
        <v>20</v>
      </c>
      <c r="B117" s="48">
        <f t="shared" si="49"/>
        <v>1</v>
      </c>
      <c r="C117" s="49">
        <f t="shared" si="50"/>
        <v>7.4902987556764639E-2</v>
      </c>
      <c r="D117" s="49">
        <f t="shared" si="54"/>
        <v>1.6177913546081308</v>
      </c>
      <c r="E117" s="49">
        <f t="shared" si="55"/>
        <v>0.15395787944807554</v>
      </c>
      <c r="F117" s="50">
        <f t="shared" si="56"/>
        <v>92.1969382158548</v>
      </c>
      <c r="G117" s="50">
        <f t="shared" si="51"/>
        <v>187.99138665428038</v>
      </c>
      <c r="H117" s="50">
        <f t="shared" si="57"/>
        <v>130</v>
      </c>
      <c r="I117" s="50">
        <f t="shared" si="52"/>
        <v>1.846652221612971</v>
      </c>
      <c r="J117" s="59">
        <f t="shared" si="53"/>
        <v>91.547207311763444</v>
      </c>
      <c r="K117" s="59"/>
      <c r="L117" s="59"/>
    </row>
    <row r="118" spans="1:12" x14ac:dyDescent="0.25">
      <c r="A118" s="48">
        <f t="shared" si="48"/>
        <v>25</v>
      </c>
      <c r="B118" s="48">
        <f t="shared" si="49"/>
        <v>1</v>
      </c>
      <c r="C118" s="49">
        <f t="shared" si="50"/>
        <v>0.11703591805744476</v>
      </c>
      <c r="D118" s="49">
        <f t="shared" si="54"/>
        <v>1.680082144933273</v>
      </c>
      <c r="E118" s="49">
        <f t="shared" si="55"/>
        <v>0.24055918663761808</v>
      </c>
      <c r="F118" s="50">
        <f t="shared" si="56"/>
        <v>93.29361441492955</v>
      </c>
      <c r="G118" s="50">
        <f t="shared" si="51"/>
        <v>187.99138665428038</v>
      </c>
      <c r="H118" s="50">
        <f t="shared" si="57"/>
        <v>130</v>
      </c>
      <c r="I118" s="50">
        <f t="shared" si="52"/>
        <v>2.0376772496283357</v>
      </c>
      <c r="J118" s="59">
        <f t="shared" si="53"/>
        <v>92.463563971064318</v>
      </c>
      <c r="K118" s="59"/>
      <c r="L118" s="59"/>
    </row>
    <row r="119" spans="1:12" x14ac:dyDescent="0.25">
      <c r="A119" s="48">
        <f t="shared" si="48"/>
        <v>30</v>
      </c>
      <c r="B119" s="48">
        <f t="shared" si="49"/>
        <v>1</v>
      </c>
      <c r="C119" s="49">
        <f t="shared" si="50"/>
        <v>0.1685317220027204</v>
      </c>
      <c r="D119" s="49">
        <f t="shared" si="54"/>
        <v>1.7423729352584152</v>
      </c>
      <c r="E119" s="49">
        <f t="shared" si="55"/>
        <v>0.34640522875816993</v>
      </c>
      <c r="F119" s="50">
        <f t="shared" si="56"/>
        <v>94.011750284784483</v>
      </c>
      <c r="G119" s="50">
        <f t="shared" si="51"/>
        <v>187.99138665428038</v>
      </c>
      <c r="H119" s="50">
        <f t="shared" si="57"/>
        <v>130</v>
      </c>
      <c r="I119" s="50">
        <f t="shared" si="52"/>
        <v>2.2573098860193057</v>
      </c>
      <c r="J119" s="59">
        <f t="shared" si="53"/>
        <v>93.002175649502476</v>
      </c>
      <c r="K119" s="59"/>
      <c r="L119" s="59"/>
    </row>
    <row r="120" spans="1:12" x14ac:dyDescent="0.25">
      <c r="A120" s="48">
        <f t="shared" si="48"/>
        <v>35</v>
      </c>
      <c r="B120" s="48">
        <f t="shared" si="49"/>
        <v>1</v>
      </c>
      <c r="C120" s="49">
        <f t="shared" si="50"/>
        <v>0.22939039939259168</v>
      </c>
      <c r="D120" s="49">
        <f t="shared" si="54"/>
        <v>1.8046637255835576</v>
      </c>
      <c r="E120" s="49">
        <f t="shared" si="55"/>
        <v>0.47149600580973128</v>
      </c>
      <c r="F120" s="50">
        <f t="shared" si="56"/>
        <v>94.507611513144155</v>
      </c>
      <c r="G120" s="50">
        <f t="shared" si="51"/>
        <v>187.99138665428038</v>
      </c>
      <c r="H120" s="50">
        <f t="shared" si="57"/>
        <v>130</v>
      </c>
      <c r="I120" s="50">
        <f t="shared" si="52"/>
        <v>2.5055501307858803</v>
      </c>
      <c r="J120" s="59">
        <f t="shared" si="53"/>
        <v>93.319521718655636</v>
      </c>
      <c r="K120" s="59"/>
      <c r="L120" s="59"/>
    </row>
    <row r="121" spans="1:12" x14ac:dyDescent="0.25">
      <c r="A121" s="48">
        <f t="shared" si="48"/>
        <v>40</v>
      </c>
      <c r="B121" s="48">
        <f t="shared" si="49"/>
        <v>1</v>
      </c>
      <c r="C121" s="49">
        <f t="shared" si="50"/>
        <v>0.29961195022705855</v>
      </c>
      <c r="D121" s="49">
        <f t="shared" si="54"/>
        <v>1.8669545159086998</v>
      </c>
      <c r="E121" s="49">
        <f t="shared" si="55"/>
        <v>0.61583151779230216</v>
      </c>
      <c r="F121" s="50">
        <f t="shared" si="56"/>
        <v>94.861885499081978</v>
      </c>
      <c r="G121" s="50">
        <f t="shared" si="51"/>
        <v>187.99138665428038</v>
      </c>
      <c r="H121" s="50">
        <f t="shared" si="57"/>
        <v>130</v>
      </c>
      <c r="I121" s="50">
        <f t="shared" si="52"/>
        <v>2.7823979839280604</v>
      </c>
      <c r="J121" s="59">
        <f t="shared" si="53"/>
        <v>93.496395445217175</v>
      </c>
      <c r="K121" s="59"/>
      <c r="L121" s="59"/>
    </row>
    <row r="122" spans="1:12" x14ac:dyDescent="0.25">
      <c r="A122" s="48">
        <f t="shared" si="48"/>
        <v>45</v>
      </c>
      <c r="B122" s="48">
        <f t="shared" si="49"/>
        <v>1</v>
      </c>
      <c r="C122" s="49">
        <f t="shared" si="50"/>
        <v>0.37919637450612087</v>
      </c>
      <c r="D122" s="49">
        <f t="shared" si="54"/>
        <v>1.9292453062338419</v>
      </c>
      <c r="E122" s="49">
        <f t="shared" si="55"/>
        <v>0.77941176470588236</v>
      </c>
      <c r="F122" s="50">
        <f t="shared" si="56"/>
        <v>95.120444473063742</v>
      </c>
      <c r="G122" s="50">
        <f t="shared" si="51"/>
        <v>187.99138665428038</v>
      </c>
      <c r="H122" s="50">
        <f t="shared" si="57"/>
        <v>130</v>
      </c>
      <c r="I122" s="50">
        <f t="shared" si="52"/>
        <v>3.0878534454458451</v>
      </c>
      <c r="J122" s="59">
        <f t="shared" si="53"/>
        <v>93.578724721100485</v>
      </c>
      <c r="K122" s="59"/>
      <c r="L122" s="59"/>
    </row>
    <row r="123" spans="1:12" x14ac:dyDescent="0.25">
      <c r="A123" s="48">
        <f t="shared" si="48"/>
        <v>50</v>
      </c>
      <c r="B123" s="48">
        <v>1</v>
      </c>
      <c r="C123" s="49">
        <f t="shared" si="50"/>
        <v>0.46814367222977904</v>
      </c>
      <c r="D123" s="49">
        <f t="shared" si="54"/>
        <v>1.9915360965589843</v>
      </c>
      <c r="E123" s="49">
        <f t="shared" si="55"/>
        <v>0.96223674655047231</v>
      </c>
      <c r="F123" s="50">
        <f t="shared" si="56"/>
        <v>95.311294732202768</v>
      </c>
      <c r="G123" s="50">
        <f t="shared" si="51"/>
        <v>187.99138665428038</v>
      </c>
      <c r="H123" s="50">
        <f t="shared" si="57"/>
        <v>130</v>
      </c>
      <c r="I123" s="50">
        <f t="shared" si="52"/>
        <v>3.4219165153392357</v>
      </c>
      <c r="J123" s="59">
        <f t="shared" si="53"/>
        <v>93.594545575023162</v>
      </c>
      <c r="K123" s="59"/>
      <c r="L123" s="59"/>
    </row>
    <row r="124" spans="1:12" x14ac:dyDescent="0.25">
      <c r="A124" s="48">
        <f t="shared" si="48"/>
        <v>125</v>
      </c>
      <c r="B124" s="48">
        <v>1</v>
      </c>
      <c r="C124" s="49">
        <f>M52</f>
        <v>2.9258979514361183</v>
      </c>
      <c r="D124" s="49">
        <f t="shared" si="54"/>
        <v>2.9258979514361183</v>
      </c>
      <c r="E124" s="49">
        <f>J37</f>
        <v>6.0139796659404494</v>
      </c>
      <c r="F124" s="50">
        <f>(A124*1)/(A124*1+SUM(M52,M66,M80,M96))*100</f>
        <v>95.527920834028251</v>
      </c>
      <c r="G124" s="50">
        <f>(SUM($N$11*$S$11+$O$11*$T$11+$P$11*$U$11+$Q$11*$V$11+$R$11*$W$11)*B124)/0.000001</f>
        <v>187.99138665428038</v>
      </c>
      <c r="H124" s="50">
        <f>5*SUM(D37:E37)</f>
        <v>130</v>
      </c>
      <c r="I124" s="50">
        <f>SUM(C124:E124)</f>
        <v>11.865775568812687</v>
      </c>
      <c r="J124" s="59">
        <f>((A124*1)/(A124*1+I124))*100</f>
        <v>91.330355949470459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BC42-7648-4C0A-B407-1FC8C9BFAFB9}">
  <dimension ref="A1:N43"/>
  <sheetViews>
    <sheetView topLeftCell="A3" zoomScale="116" zoomScaleNormal="115" workbookViewId="0">
      <selection activeCell="O16" sqref="O16"/>
    </sheetView>
  </sheetViews>
  <sheetFormatPr defaultRowHeight="13.8" x14ac:dyDescent="0.25"/>
  <cols>
    <col min="1" max="1" width="19.5546875" style="53" customWidth="1"/>
    <col min="2" max="2" width="17.5546875" style="53" customWidth="1"/>
    <col min="3" max="11" width="8.88671875" style="53"/>
    <col min="12" max="12" width="8.88671875" style="50"/>
    <col min="13" max="16384" width="8.88671875" style="53"/>
  </cols>
  <sheetData>
    <row r="1" spans="1:14" x14ac:dyDescent="0.25">
      <c r="A1" s="99" t="s">
        <v>190</v>
      </c>
      <c r="B1" s="99"/>
      <c r="C1" s="53">
        <v>1000</v>
      </c>
    </row>
    <row r="2" spans="1:14" x14ac:dyDescent="0.25">
      <c r="A2" s="99" t="s">
        <v>192</v>
      </c>
      <c r="B2" s="99"/>
      <c r="C2" s="72">
        <v>500</v>
      </c>
    </row>
    <row r="3" spans="1:14" x14ac:dyDescent="0.25">
      <c r="A3" s="99" t="s">
        <v>193</v>
      </c>
      <c r="B3" s="99"/>
      <c r="C3" s="53">
        <f>C2/4</f>
        <v>125</v>
      </c>
    </row>
    <row r="4" spans="1:14" x14ac:dyDescent="0.25">
      <c r="A4" s="54"/>
      <c r="B4" s="54"/>
    </row>
    <row r="5" spans="1:14" ht="27.6" x14ac:dyDescent="0.25">
      <c r="A5" s="57" t="s">
        <v>189</v>
      </c>
      <c r="B5" s="57" t="str">
        <f>'DSCH-Optimization (10A) '!N10</f>
        <v>Wopt-Qc</v>
      </c>
      <c r="C5" s="57" t="str">
        <f>'DSCH-Optimization (10A) '!O10</f>
        <v>Wopt-Q1a</v>
      </c>
      <c r="D5" s="57" t="str">
        <f>'DSCH-Optimization (10A) '!P10</f>
        <v>Wopt-Q2a</v>
      </c>
      <c r="E5" s="57" t="str">
        <f>'DSCH-Optimization (10A) '!Q10</f>
        <v>Wopt-Q1b</v>
      </c>
      <c r="F5" s="57" t="str">
        <f>'DSCH-Optimization (10A) '!R10</f>
        <v>Wopt-Q2b</v>
      </c>
      <c r="G5" s="57" t="str">
        <f>'DSCH-Optimization (10A) '!S10</f>
        <v>L-Qc</v>
      </c>
      <c r="H5" s="57" t="str">
        <f>'DSCH-Optimization (10A) '!T10</f>
        <v>L-Q1a</v>
      </c>
      <c r="I5" s="57" t="str">
        <f>'DSCH-Optimization (10A) '!U10</f>
        <v>L-Q2a</v>
      </c>
      <c r="J5" s="57" t="str">
        <f>'DSCH-Optimization (10A) '!V10</f>
        <v>L-Q1b</v>
      </c>
      <c r="K5" s="57" t="str">
        <f>'DSCH-Optimization (10A) '!W10</f>
        <v>L-Q2b</v>
      </c>
      <c r="M5" s="59"/>
    </row>
    <row r="6" spans="1:14" x14ac:dyDescent="0.25">
      <c r="A6" s="48">
        <v>10</v>
      </c>
      <c r="B6" s="91">
        <f>'DSCH-Optimization (10A) '!N11</f>
        <v>1.540940833956732E-4</v>
      </c>
      <c r="C6" s="91">
        <f>'DSCH-Optimization (10A) '!O11</f>
        <v>8.0886035499044186E-5</v>
      </c>
      <c r="D6" s="91">
        <f>'DSCH-Optimization (10A) '!P11</f>
        <v>7.9185252948869183E-4</v>
      </c>
      <c r="E6" s="91">
        <f>'DSCH-Optimization (10A) '!Q11</f>
        <v>8.0886035499044186E-5</v>
      </c>
      <c r="F6" s="91">
        <f>'DSCH-Optimization (10A) '!R11</f>
        <v>1.5837050589773837E-3</v>
      </c>
      <c r="G6" s="91">
        <f>'DSCH-Optimization (10A) '!S11</f>
        <v>1.6999999999999999E-3</v>
      </c>
      <c r="H6" s="91">
        <f>'DSCH-Optimization (10A) '!T11</f>
        <v>1.6999999999999999E-3</v>
      </c>
      <c r="I6" s="91">
        <f>'DSCH-Optimization (10A) '!U11</f>
        <v>1.6999999999999999E-3</v>
      </c>
      <c r="J6" s="91">
        <f>'DSCH-Optimization (10A) '!V11</f>
        <v>1.6999999999999999E-3</v>
      </c>
      <c r="K6" s="91">
        <f>'DSCH-Optimization (10A) '!W11</f>
        <v>1.6999999999999999E-3</v>
      </c>
    </row>
    <row r="7" spans="1:14" x14ac:dyDescent="0.25">
      <c r="A7" s="48">
        <v>25</v>
      </c>
      <c r="B7" s="91">
        <f>'DSCH-Optimization (25A)'!N11</f>
        <v>4.744868216986935E-4</v>
      </c>
      <c r="C7" s="91">
        <f>'DSCH-Optimization (25A)'!O11</f>
        <v>2.4420919892975413E-4</v>
      </c>
      <c r="D7" s="91">
        <f>'DSCH-Optimization (25A)'!P11</f>
        <v>3.1300719551873909E-3</v>
      </c>
      <c r="E7" s="91">
        <f>'DSCH-Optimization (25A)'!Q11</f>
        <v>2.4420919892975413E-4</v>
      </c>
      <c r="F7" s="91">
        <f>'DSCH-Optimization (25A)'!R11</f>
        <v>6.2601439103747818E-3</v>
      </c>
      <c r="G7" s="91">
        <f>'DSCH-Optimization (25A)'!S11</f>
        <v>1.6999999999999999E-3</v>
      </c>
      <c r="H7" s="91">
        <f>'DSCH-Optimization (25A)'!T11</f>
        <v>1.6999999999999999E-3</v>
      </c>
      <c r="I7" s="91">
        <f>'DSCH-Optimization (25A)'!U11</f>
        <v>1.6999999999999999E-3</v>
      </c>
      <c r="J7" s="91">
        <f>'DSCH-Optimization (25A)'!V11</f>
        <v>1.6999999999999999E-3</v>
      </c>
      <c r="K7" s="91">
        <f>'DSCH-Optimization (25A)'!W11</f>
        <v>1.6999999999999999E-3</v>
      </c>
    </row>
    <row r="8" spans="1:14" x14ac:dyDescent="0.25">
      <c r="A8" s="48">
        <v>50</v>
      </c>
      <c r="B8" s="91">
        <f>'DSCH-Optimization (50A) '!N11</f>
        <v>1.0431090479774592E-3</v>
      </c>
      <c r="C8" s="91">
        <f>'DSCH-Optimization (50A) '!O11</f>
        <v>5.3064595213330151E-4</v>
      </c>
      <c r="D8" s="91">
        <f>'DSCH-Optimization (50A) '!P11</f>
        <v>8.853180420459357E-3</v>
      </c>
      <c r="E8" s="91">
        <f>'DSCH-Optimization (50A) '!Q11</f>
        <v>5.3064595213330151E-4</v>
      </c>
      <c r="F8" s="91">
        <f>'DSCH-Optimization (50A) '!R11</f>
        <v>1.7706360840918714E-2</v>
      </c>
      <c r="G8" s="91">
        <f>'DSCH-Optimization (50A) '!S11</f>
        <v>1.6999999999999999E-3</v>
      </c>
      <c r="H8" s="91">
        <f>'DSCH-Optimization (50A) '!T11</f>
        <v>1.6999999999999999E-3</v>
      </c>
      <c r="I8" s="91">
        <f>'DSCH-Optimization (50A) '!U11</f>
        <v>1.6999999999999999E-3</v>
      </c>
      <c r="J8" s="91">
        <f>'DSCH-Optimization (50A) '!V11</f>
        <v>1.6999999999999999E-3</v>
      </c>
      <c r="K8" s="91">
        <f>'DSCH-Optimization (50A) '!W11</f>
        <v>1.6999999999999999E-3</v>
      </c>
      <c r="M8" s="59"/>
    </row>
    <row r="9" spans="1:14" x14ac:dyDescent="0.25">
      <c r="A9" s="48">
        <v>125</v>
      </c>
      <c r="B9" s="91">
        <f>'DSCH-Optimization (100A)  '!N11</f>
        <v>2.7877314447007566E-3</v>
      </c>
      <c r="C9" s="91">
        <f>'DSCH-Optimization (100A)  '!O11</f>
        <v>1.4048160907469719E-3</v>
      </c>
      <c r="D9" s="91">
        <f>'DSCH-Optimization (100A)  '!P11</f>
        <v>3.4995268331323402E-2</v>
      </c>
      <c r="E9" s="91">
        <f>'DSCH-Optimization (100A)  '!Q11</f>
        <v>1.4048160907469719E-3</v>
      </c>
      <c r="F9" s="91">
        <f>'DSCH-Optimization (100A)  '!R11</f>
        <v>6.9990536662646805E-2</v>
      </c>
      <c r="G9" s="91">
        <f>'DSCH-Optimization (100A)  '!S11</f>
        <v>1.6999999999999999E-3</v>
      </c>
      <c r="H9" s="91">
        <f>'DSCH-Optimization (100A)  '!T11</f>
        <v>1.6999999999999999E-3</v>
      </c>
      <c r="I9" s="91">
        <f>'DSCH-Optimization (100A)  '!U11</f>
        <v>1.6999999999999999E-3</v>
      </c>
      <c r="J9" s="91">
        <f>'DSCH-Optimization (100A)  '!V11</f>
        <v>1.6999999999999999E-3</v>
      </c>
      <c r="K9" s="91">
        <f>'DSCH-Optimization (100A)  '!W11</f>
        <v>1.6999999999999999E-3</v>
      </c>
    </row>
    <row r="10" spans="1:14" x14ac:dyDescent="0.25">
      <c r="A10" s="54"/>
      <c r="B10" s="54"/>
    </row>
    <row r="11" spans="1:14" ht="41.4" x14ac:dyDescent="0.25">
      <c r="A11" s="57" t="s">
        <v>189</v>
      </c>
      <c r="B11" s="57" t="s">
        <v>191</v>
      </c>
      <c r="C11" s="57" t="s">
        <v>194</v>
      </c>
      <c r="D11" s="57" t="s">
        <v>195</v>
      </c>
      <c r="E11" s="57" t="s">
        <v>196</v>
      </c>
      <c r="F11" s="57" t="s">
        <v>201</v>
      </c>
      <c r="G11" s="57" t="s">
        <v>200</v>
      </c>
      <c r="H11" s="57" t="s">
        <v>197</v>
      </c>
      <c r="I11" s="57" t="s">
        <v>198</v>
      </c>
      <c r="J11" s="57" t="s">
        <v>199</v>
      </c>
      <c r="K11" s="57" t="s">
        <v>223</v>
      </c>
      <c r="L11" s="64" t="s">
        <v>224</v>
      </c>
    </row>
    <row r="12" spans="1:14" x14ac:dyDescent="0.25">
      <c r="A12" s="48">
        <v>10</v>
      </c>
      <c r="B12" s="48">
        <f>$C$1/A12</f>
        <v>100</v>
      </c>
      <c r="C12" s="48">
        <f>B12/4</f>
        <v>25</v>
      </c>
      <c r="D12" s="48">
        <f>$C$3/C12</f>
        <v>5</v>
      </c>
      <c r="E12" s="72">
        <f t="shared" ref="E12:I15" si="0">B6*G6/0.000001</f>
        <v>0.26195994177264448</v>
      </c>
      <c r="F12" s="72">
        <f t="shared" si="0"/>
        <v>0.1375062603483751</v>
      </c>
      <c r="G12" s="72">
        <f t="shared" si="0"/>
        <v>1.346149300130776</v>
      </c>
      <c r="H12" s="72">
        <f t="shared" si="0"/>
        <v>0.1375062603483751</v>
      </c>
      <c r="I12" s="72">
        <f t="shared" si="0"/>
        <v>2.6922986002615521</v>
      </c>
      <c r="J12" s="72">
        <f>'DSCH-Optimization (10A) '!H114</f>
        <v>15</v>
      </c>
      <c r="K12" s="50">
        <f>(A12*B12)/((I12)*B12)</f>
        <v>3.7142982576407078</v>
      </c>
      <c r="L12" s="50">
        <f>A12/SUM(E12:I12)</f>
        <v>2.1855915319101835</v>
      </c>
      <c r="M12" s="53">
        <f>I12*B12</f>
        <v>269.22986002615522</v>
      </c>
    </row>
    <row r="13" spans="1:14" x14ac:dyDescent="0.25">
      <c r="A13" s="48">
        <v>25</v>
      </c>
      <c r="B13" s="48">
        <f>$C$1/A13</f>
        <v>40</v>
      </c>
      <c r="C13" s="48">
        <f>B13/4</f>
        <v>10</v>
      </c>
      <c r="D13" s="48">
        <f>$C$3/C13</f>
        <v>12.5</v>
      </c>
      <c r="E13" s="72">
        <f t="shared" si="0"/>
        <v>0.80662759688777896</v>
      </c>
      <c r="F13" s="72">
        <f t="shared" si="0"/>
        <v>0.41515563818058204</v>
      </c>
      <c r="G13" s="72">
        <f t="shared" si="0"/>
        <v>5.3211223238185648</v>
      </c>
      <c r="H13" s="72">
        <f t="shared" si="0"/>
        <v>0.41515563818058204</v>
      </c>
      <c r="I13" s="72">
        <f t="shared" si="0"/>
        <v>10.64224464763713</v>
      </c>
      <c r="J13" s="72">
        <f>'DSCH-Optimization (25A)'!H114</f>
        <v>30</v>
      </c>
      <c r="K13" s="50">
        <f>(A13*B13)/((I13)*B13)</f>
        <v>2.3491284806679094</v>
      </c>
      <c r="L13" s="50">
        <f t="shared" ref="L13:L15" si="1">A13/SUM(E13:I13)</f>
        <v>1.4204298618777522</v>
      </c>
      <c r="M13" s="53">
        <f t="shared" ref="M13:M15" si="2">I13*B13</f>
        <v>425.68978590548517</v>
      </c>
      <c r="N13" s="53">
        <f>I13*B13</f>
        <v>425.68978590548517</v>
      </c>
    </row>
    <row r="14" spans="1:14" x14ac:dyDescent="0.25">
      <c r="A14" s="48">
        <v>50</v>
      </c>
      <c r="B14" s="48">
        <f>$C$1/A14</f>
        <v>20</v>
      </c>
      <c r="C14" s="48">
        <f>B14/4</f>
        <v>5</v>
      </c>
      <c r="D14" s="48">
        <f>$C$3/C14</f>
        <v>25</v>
      </c>
      <c r="E14" s="72">
        <f t="shared" si="0"/>
        <v>1.7732853815616807</v>
      </c>
      <c r="F14" s="72">
        <f t="shared" si="0"/>
        <v>0.90209811862661249</v>
      </c>
      <c r="G14" s="72">
        <f t="shared" si="0"/>
        <v>15.050406714780907</v>
      </c>
      <c r="H14" s="72">
        <f t="shared" si="0"/>
        <v>0.90209811862661249</v>
      </c>
      <c r="I14" s="72">
        <f t="shared" si="0"/>
        <v>30.100813429561814</v>
      </c>
      <c r="J14" s="72">
        <f>'DSCH-Optimization (50A) '!H114</f>
        <v>55</v>
      </c>
      <c r="K14" s="50">
        <f>(A14*B14)/((I14)*B14)</f>
        <v>1.6610846785587303</v>
      </c>
      <c r="L14" s="50">
        <f t="shared" si="1"/>
        <v>1.0260893106289066</v>
      </c>
      <c r="M14" s="53">
        <f t="shared" si="2"/>
        <v>602.01626859123633</v>
      </c>
      <c r="N14" s="53">
        <f>I14*B14</f>
        <v>602.01626859123633</v>
      </c>
    </row>
    <row r="15" spans="1:14" x14ac:dyDescent="0.25">
      <c r="A15" s="48">
        <v>125</v>
      </c>
      <c r="B15" s="48">
        <f>$C$1/A15</f>
        <v>8</v>
      </c>
      <c r="C15" s="48">
        <f>B15/4</f>
        <v>2</v>
      </c>
      <c r="D15" s="48">
        <f>$C$3/C15</f>
        <v>62.5</v>
      </c>
      <c r="E15" s="72">
        <f t="shared" si="0"/>
        <v>4.7391434559912859</v>
      </c>
      <c r="F15" s="72">
        <f t="shared" si="0"/>
        <v>2.3881873542698524</v>
      </c>
      <c r="G15" s="72">
        <f t="shared" si="0"/>
        <v>59.491956163249789</v>
      </c>
      <c r="H15" s="72">
        <f t="shared" si="0"/>
        <v>2.3881873542698524</v>
      </c>
      <c r="I15" s="72">
        <f t="shared" si="0"/>
        <v>118.98391232649958</v>
      </c>
      <c r="J15" s="72">
        <f>'DSCH-Optimization (100A)  '!H114</f>
        <v>130</v>
      </c>
      <c r="K15" s="50">
        <f>(A15*B15)/((I15)*B15)</f>
        <v>1.0505621941308492</v>
      </c>
      <c r="L15" s="50">
        <f t="shared" si="1"/>
        <v>0.66492408096269495</v>
      </c>
      <c r="M15" s="53">
        <f t="shared" si="2"/>
        <v>951.87129861199662</v>
      </c>
      <c r="N15" s="53">
        <f t="shared" ref="N15" si="3">I15*B15</f>
        <v>951.87129861199662</v>
      </c>
    </row>
    <row r="16" spans="1:14" x14ac:dyDescent="0.25">
      <c r="A16" s="48"/>
      <c r="B16" s="48"/>
      <c r="C16" s="48"/>
      <c r="D16" s="48"/>
    </row>
    <row r="18" spans="1:12" x14ac:dyDescent="0.25">
      <c r="B18" s="48" t="s">
        <v>203</v>
      </c>
      <c r="C18" s="48" t="s">
        <v>204</v>
      </c>
      <c r="D18" s="48" t="s">
        <v>205</v>
      </c>
      <c r="E18" s="48" t="s">
        <v>206</v>
      </c>
      <c r="F18" s="48" t="s">
        <v>207</v>
      </c>
      <c r="G18" s="48" t="s">
        <v>208</v>
      </c>
      <c r="H18" s="48" t="s">
        <v>209</v>
      </c>
      <c r="I18" s="48" t="s">
        <v>210</v>
      </c>
      <c r="J18" s="48" t="s">
        <v>211</v>
      </c>
      <c r="K18" s="48" t="s">
        <v>212</v>
      </c>
    </row>
    <row r="19" spans="1:12" ht="27.6" x14ac:dyDescent="0.25">
      <c r="A19" s="95" t="s">
        <v>202</v>
      </c>
      <c r="B19" s="49">
        <f>(SQRT($C$2)/6)</f>
        <v>3.7267799624996498</v>
      </c>
      <c r="C19" s="49">
        <f>3*B19</f>
        <v>11.180339887498949</v>
      </c>
      <c r="D19" s="49">
        <f>5*B19</f>
        <v>18.63389981249825</v>
      </c>
      <c r="E19" s="49">
        <f>3*B19</f>
        <v>11.180339887498949</v>
      </c>
      <c r="F19" s="49">
        <f>5*B19</f>
        <v>18.63389981249825</v>
      </c>
      <c r="G19" s="49">
        <f>7*B19</f>
        <v>26.08745973749755</v>
      </c>
      <c r="H19" s="49">
        <f>5*B19</f>
        <v>18.63389981249825</v>
      </c>
      <c r="I19" s="49">
        <f>7*B19</f>
        <v>26.08745973749755</v>
      </c>
      <c r="J19" s="49">
        <f>9*B19</f>
        <v>33.541019662496851</v>
      </c>
      <c r="K19" s="49">
        <v>0.23</v>
      </c>
    </row>
    <row r="20" spans="1:12" x14ac:dyDescent="0.25">
      <c r="A20" s="53" t="s">
        <v>213</v>
      </c>
      <c r="B20" s="49">
        <f>$A$12*(1/(SUM(1/$B$19,1/$C$19,1/$D$19,1/$E$19,1/$F$19,1/$G$19,1/$H$19,1/$I$19,1/$J$19))/B19)</f>
        <v>3.7544696066746126</v>
      </c>
      <c r="C20" s="49">
        <f t="shared" ref="C20:J20" si="4">($A$12*1/(SUM(1/$B$19,1/$C$19,1/$D$19,1/$E$19,1/$F$19,1/$G$19,1/$H$19,1/$I$19,1/$J$19))/C19)</f>
        <v>1.2514898688915377</v>
      </c>
      <c r="D20" s="49">
        <f t="shared" si="4"/>
        <v>0.7508939213349225</v>
      </c>
      <c r="E20" s="49">
        <f t="shared" si="4"/>
        <v>1.2514898688915377</v>
      </c>
      <c r="F20" s="49">
        <f t="shared" si="4"/>
        <v>0.7508939213349225</v>
      </c>
      <c r="G20" s="49">
        <f t="shared" si="4"/>
        <v>0.53635280095351612</v>
      </c>
      <c r="H20" s="49">
        <f t="shared" si="4"/>
        <v>0.7508939213349225</v>
      </c>
      <c r="I20" s="49">
        <f t="shared" si="4"/>
        <v>0.53635280095351612</v>
      </c>
      <c r="J20" s="49">
        <f t="shared" si="4"/>
        <v>0.41716328963051252</v>
      </c>
      <c r="K20" s="49"/>
      <c r="L20" s="50">
        <f>SUM(B20:J20)</f>
        <v>10</v>
      </c>
    </row>
    <row r="21" spans="1:12" x14ac:dyDescent="0.25">
      <c r="A21" s="53" t="s">
        <v>214</v>
      </c>
      <c r="B21" s="49">
        <f>B20^2*B19*$K$19*0.001</f>
        <v>1.2082554805038689E-2</v>
      </c>
      <c r="C21" s="49">
        <f t="shared" ref="C21:J21" si="5">C20^2*C19*$K$19*0.001</f>
        <v>4.0275182683462305E-3</v>
      </c>
      <c r="D21" s="49">
        <f t="shared" si="5"/>
        <v>2.4165109610077375E-3</v>
      </c>
      <c r="E21" s="49">
        <f t="shared" si="5"/>
        <v>4.0275182683462305E-3</v>
      </c>
      <c r="F21" s="49">
        <f t="shared" si="5"/>
        <v>2.4165109610077375E-3</v>
      </c>
      <c r="G21" s="49">
        <f t="shared" si="5"/>
        <v>1.72607925786267E-3</v>
      </c>
      <c r="H21" s="49">
        <f t="shared" si="5"/>
        <v>2.4165109610077375E-3</v>
      </c>
      <c r="I21" s="49">
        <f t="shared" si="5"/>
        <v>1.72607925786267E-3</v>
      </c>
      <c r="J21" s="49">
        <f t="shared" si="5"/>
        <v>1.3425060894487436E-3</v>
      </c>
    </row>
    <row r="22" spans="1:12" x14ac:dyDescent="0.25">
      <c r="A22" s="53" t="s">
        <v>155</v>
      </c>
      <c r="B22" s="49">
        <f>SUM(B21:J21)*B12*2</f>
        <v>6.4363577659856901</v>
      </c>
    </row>
    <row r="25" spans="1:12" x14ac:dyDescent="0.25">
      <c r="B25" s="48" t="s">
        <v>203</v>
      </c>
      <c r="C25" s="48" t="s">
        <v>204</v>
      </c>
      <c r="D25" s="48" t="s">
        <v>205</v>
      </c>
      <c r="E25" s="48" t="s">
        <v>206</v>
      </c>
      <c r="F25" s="48" t="s">
        <v>207</v>
      </c>
      <c r="G25" s="48" t="s">
        <v>208</v>
      </c>
      <c r="H25" s="48" t="s">
        <v>209</v>
      </c>
      <c r="I25" s="48" t="s">
        <v>210</v>
      </c>
      <c r="J25" s="48" t="s">
        <v>211</v>
      </c>
      <c r="K25" s="48" t="s">
        <v>212</v>
      </c>
    </row>
    <row r="26" spans="1:12" ht="27.6" x14ac:dyDescent="0.25">
      <c r="A26" s="95" t="s">
        <v>202</v>
      </c>
      <c r="B26" s="49">
        <f>3*C26</f>
        <v>11.180339887498949</v>
      </c>
      <c r="C26" s="49">
        <f>(SQRT($C$2)/6)</f>
        <v>3.7267799624996498</v>
      </c>
      <c r="D26" s="49">
        <f>3*C26</f>
        <v>11.180339887498949</v>
      </c>
      <c r="E26" s="49">
        <f>5*C26</f>
        <v>18.63389981249825</v>
      </c>
      <c r="F26" s="49">
        <f>3*C26</f>
        <v>11.180339887498949</v>
      </c>
      <c r="G26" s="49">
        <f>5*C26</f>
        <v>18.63389981249825</v>
      </c>
      <c r="H26" s="49">
        <f>7*C26</f>
        <v>26.08745973749755</v>
      </c>
      <c r="I26" s="49">
        <f>5*C26</f>
        <v>18.63389981249825</v>
      </c>
      <c r="J26" s="49">
        <f>7*C26</f>
        <v>26.08745973749755</v>
      </c>
      <c r="K26" s="49">
        <v>0.23</v>
      </c>
    </row>
    <row r="27" spans="1:12" x14ac:dyDescent="0.25">
      <c r="A27" s="95" t="s">
        <v>213</v>
      </c>
      <c r="B27" s="49">
        <f>($A$13*1/(SUM(1/$B$26,1/$C$26,1/$D$26,1/$E$26,1/$F$26,1/$G$26,1/$H$26,1/$I$26,1/$J$26))/B26)</f>
        <v>2.887788778877888</v>
      </c>
      <c r="C27" s="49">
        <f t="shared" ref="C27:J27" si="6">($A$13*1/(SUM(1/$B$26,1/$C$26,1/$D$26,1/$E$26,1/$F$26,1/$G$26,1/$H$26,1/$I$26,1/$J$26))/C26)</f>
        <v>8.6633663366336631</v>
      </c>
      <c r="D27" s="49">
        <f t="shared" si="6"/>
        <v>2.887788778877888</v>
      </c>
      <c r="E27" s="49">
        <f t="shared" si="6"/>
        <v>1.7326732673267327</v>
      </c>
      <c r="F27" s="49">
        <f t="shared" si="6"/>
        <v>2.887788778877888</v>
      </c>
      <c r="G27" s="49">
        <f t="shared" si="6"/>
        <v>1.7326732673267327</v>
      </c>
      <c r="H27" s="49">
        <f t="shared" si="6"/>
        <v>1.2376237623762376</v>
      </c>
      <c r="I27" s="49">
        <f t="shared" si="6"/>
        <v>1.7326732673267327</v>
      </c>
      <c r="J27" s="49">
        <f t="shared" si="6"/>
        <v>1.2376237623762376</v>
      </c>
      <c r="K27" s="49"/>
      <c r="L27" s="50">
        <f>SUM(B27:J27)</f>
        <v>24.999999999999996</v>
      </c>
    </row>
    <row r="28" spans="1:12" x14ac:dyDescent="0.25">
      <c r="A28" s="95" t="s">
        <v>214</v>
      </c>
      <c r="B28" s="49">
        <f t="shared" ref="B28:J28" si="7">B27^2*B26*$K$19*0.001</f>
        <v>2.1444389733732735E-2</v>
      </c>
      <c r="C28" s="49">
        <f t="shared" si="7"/>
        <v>6.4333169201198193E-2</v>
      </c>
      <c r="D28" s="49">
        <f t="shared" si="7"/>
        <v>2.1444389733732735E-2</v>
      </c>
      <c r="E28" s="49">
        <f t="shared" si="7"/>
        <v>1.2866633840239639E-2</v>
      </c>
      <c r="F28" s="49">
        <f t="shared" si="7"/>
        <v>2.1444389733732735E-2</v>
      </c>
      <c r="G28" s="49">
        <f t="shared" si="7"/>
        <v>1.2866633840239639E-2</v>
      </c>
      <c r="H28" s="49">
        <f t="shared" si="7"/>
        <v>9.1904527430283142E-3</v>
      </c>
      <c r="I28" s="49">
        <f t="shared" si="7"/>
        <v>1.2866633840239639E-2</v>
      </c>
      <c r="J28" s="49">
        <f t="shared" si="7"/>
        <v>9.1904527430283142E-3</v>
      </c>
      <c r="K28" s="49"/>
    </row>
    <row r="29" spans="1:12" x14ac:dyDescent="0.25">
      <c r="A29" s="95" t="s">
        <v>155</v>
      </c>
      <c r="B29" s="49">
        <f>SUM(B28:J28)*B13*2</f>
        <v>14.851771632733758</v>
      </c>
      <c r="C29" s="49"/>
      <c r="D29" s="49"/>
      <c r="E29" s="49"/>
      <c r="F29" s="49"/>
      <c r="G29" s="49"/>
      <c r="H29" s="49"/>
      <c r="I29" s="49"/>
      <c r="J29" s="49"/>
      <c r="K29" s="49"/>
    </row>
    <row r="32" spans="1:12" x14ac:dyDescent="0.25">
      <c r="B32" s="48" t="s">
        <v>203</v>
      </c>
      <c r="C32" s="48" t="s">
        <v>204</v>
      </c>
      <c r="D32" s="48" t="s">
        <v>205</v>
      </c>
      <c r="E32" s="48" t="s">
        <v>206</v>
      </c>
      <c r="F32" s="48" t="s">
        <v>207</v>
      </c>
      <c r="G32" s="48" t="s">
        <v>208</v>
      </c>
      <c r="H32" s="48" t="s">
        <v>209</v>
      </c>
      <c r="I32" s="48" t="s">
        <v>210</v>
      </c>
      <c r="J32" s="48" t="s">
        <v>211</v>
      </c>
      <c r="K32" s="48" t="s">
        <v>212</v>
      </c>
    </row>
    <row r="33" spans="1:12" ht="27.6" x14ac:dyDescent="0.25">
      <c r="A33" s="95" t="s">
        <v>202</v>
      </c>
      <c r="B33" s="49">
        <f>3*C33</f>
        <v>11.180339887498949</v>
      </c>
      <c r="C33" s="49">
        <f>(SQRT($C$2)/6)</f>
        <v>3.7267799624996498</v>
      </c>
      <c r="D33" s="49">
        <f>3*C33</f>
        <v>11.180339887498949</v>
      </c>
      <c r="E33" s="49">
        <f>5*C33</f>
        <v>18.63389981249825</v>
      </c>
      <c r="F33" s="49">
        <f>3*C33</f>
        <v>11.180339887498949</v>
      </c>
      <c r="G33" s="49">
        <f>5*C33</f>
        <v>18.63389981249825</v>
      </c>
      <c r="H33" s="49">
        <f>7*C33</f>
        <v>26.08745973749755</v>
      </c>
      <c r="I33" s="49">
        <f>5*C33</f>
        <v>18.63389981249825</v>
      </c>
      <c r="J33" s="49">
        <f>7*C33</f>
        <v>26.08745973749755</v>
      </c>
      <c r="K33" s="49">
        <v>0.23</v>
      </c>
    </row>
    <row r="34" spans="1:12" x14ac:dyDescent="0.25">
      <c r="A34" s="95" t="s">
        <v>213</v>
      </c>
      <c r="B34" s="49">
        <f>($A$14*1/(SUM(1/$B$33,1/$C$33,1/$D$33,1/$E$33,1/$F$33,1/$G$33,1/$H$33,1/$I$33,1/$J$33))/B33)</f>
        <v>5.775577557755776</v>
      </c>
      <c r="C34" s="49">
        <f t="shared" ref="C34:J34" si="8">($A$14*1/(SUM(1/$B$33,1/$C$33,1/$D$33,1/$E$33,1/$F$33,1/$G$33,1/$H$33,1/$I$33,1/$J$33))/C33)</f>
        <v>17.326732673267326</v>
      </c>
      <c r="D34" s="49">
        <f t="shared" si="8"/>
        <v>5.775577557755776</v>
      </c>
      <c r="E34" s="49">
        <f t="shared" si="8"/>
        <v>3.4653465346534653</v>
      </c>
      <c r="F34" s="49">
        <f t="shared" si="8"/>
        <v>5.775577557755776</v>
      </c>
      <c r="G34" s="49">
        <f t="shared" si="8"/>
        <v>3.4653465346534653</v>
      </c>
      <c r="H34" s="49">
        <f t="shared" si="8"/>
        <v>2.4752475247524752</v>
      </c>
      <c r="I34" s="49">
        <f t="shared" si="8"/>
        <v>3.4653465346534653</v>
      </c>
      <c r="J34" s="49">
        <f t="shared" si="8"/>
        <v>2.4752475247524752</v>
      </c>
      <c r="K34" s="49"/>
      <c r="L34" s="50">
        <f>SUM(B34:J34)</f>
        <v>49.999999999999993</v>
      </c>
    </row>
    <row r="35" spans="1:12" x14ac:dyDescent="0.25">
      <c r="A35" s="95" t="s">
        <v>214</v>
      </c>
      <c r="B35" s="49">
        <f t="shared" ref="B35:J35" si="9">B34^2*B33*$K$19*0.001</f>
        <v>8.5777558934930942E-2</v>
      </c>
      <c r="C35" s="49">
        <f t="shared" si="9"/>
        <v>0.25733267680479277</v>
      </c>
      <c r="D35" s="49">
        <f t="shared" si="9"/>
        <v>8.5777558934930942E-2</v>
      </c>
      <c r="E35" s="49">
        <f t="shared" si="9"/>
        <v>5.1466535360958555E-2</v>
      </c>
      <c r="F35" s="49">
        <f t="shared" si="9"/>
        <v>8.5777558934930942E-2</v>
      </c>
      <c r="G35" s="49">
        <f t="shared" si="9"/>
        <v>5.1466535360958555E-2</v>
      </c>
      <c r="H35" s="49">
        <f t="shared" si="9"/>
        <v>3.6761810972113257E-2</v>
      </c>
      <c r="I35" s="49">
        <f t="shared" si="9"/>
        <v>5.1466535360958555E-2</v>
      </c>
      <c r="J35" s="49">
        <f t="shared" si="9"/>
        <v>3.6761810972113257E-2</v>
      </c>
      <c r="K35" s="49"/>
    </row>
    <row r="36" spans="1:12" x14ac:dyDescent="0.25">
      <c r="A36" s="95" t="s">
        <v>155</v>
      </c>
      <c r="B36" s="49">
        <f>SUM(B35:J35)*B14*2</f>
        <v>29.703543265467516</v>
      </c>
      <c r="C36" s="49"/>
      <c r="D36" s="49"/>
      <c r="E36" s="49"/>
      <c r="F36" s="49"/>
      <c r="G36" s="49"/>
      <c r="H36" s="49"/>
      <c r="I36" s="49"/>
      <c r="J36" s="49"/>
      <c r="K36" s="49"/>
    </row>
    <row r="39" spans="1:12" x14ac:dyDescent="0.25">
      <c r="B39" s="48" t="s">
        <v>203</v>
      </c>
      <c r="C39" s="48" t="s">
        <v>204</v>
      </c>
      <c r="D39" s="48" t="s">
        <v>205</v>
      </c>
      <c r="E39" s="48" t="s">
        <v>206</v>
      </c>
      <c r="F39" s="48" t="s">
        <v>207</v>
      </c>
      <c r="G39" s="48" t="s">
        <v>208</v>
      </c>
      <c r="H39" s="48" t="s">
        <v>209</v>
      </c>
      <c r="I39" s="48" t="s">
        <v>210</v>
      </c>
      <c r="J39" s="48" t="s">
        <v>211</v>
      </c>
      <c r="K39" s="48" t="s">
        <v>212</v>
      </c>
    </row>
    <row r="40" spans="1:12" ht="27.6" x14ac:dyDescent="0.25">
      <c r="A40" s="95" t="s">
        <v>202</v>
      </c>
      <c r="B40" s="49">
        <f>3*C40</f>
        <v>11.180339887498949</v>
      </c>
      <c r="C40" s="49">
        <f>(SQRT($C$2)/6)</f>
        <v>3.7267799624996498</v>
      </c>
      <c r="D40" s="49">
        <f>3*C40</f>
        <v>11.180339887498949</v>
      </c>
      <c r="E40" s="49">
        <f>5*B40</f>
        <v>55.901699437494742</v>
      </c>
      <c r="F40" s="49">
        <f>3*C40</f>
        <v>11.180339887498949</v>
      </c>
      <c r="G40" s="49">
        <f>5*B40</f>
        <v>55.901699437494742</v>
      </c>
      <c r="H40" s="49">
        <f>9*B40</f>
        <v>100.62305898749054</v>
      </c>
      <c r="I40" s="49">
        <f>7*C40</f>
        <v>26.08745973749755</v>
      </c>
      <c r="J40" s="49">
        <f>9*B40</f>
        <v>100.62305898749054</v>
      </c>
      <c r="K40" s="49">
        <v>0.23</v>
      </c>
    </row>
    <row r="41" spans="1:12" x14ac:dyDescent="0.25">
      <c r="A41" s="95" t="s">
        <v>213</v>
      </c>
      <c r="B41" s="49">
        <f>($A$15*1/(SUM(1/$B$40,1/$C$40,1/$D$40,1/$E$40,1/$F$40,1/$G$40,1/$H$40,1/$I$40,1/$J$40))/B40)</f>
        <v>17.728500675371453</v>
      </c>
      <c r="C41" s="49">
        <f t="shared" ref="C41:J41" si="10">($A$15*1/(SUM(1/$B$40,1/$C$40,1/$D$40,1/$E$40,1/$F$40,1/$G$40,1/$H$40,1/$I$40,1/$J$40))/C40)</f>
        <v>53.185502026114364</v>
      </c>
      <c r="D41" s="49">
        <f t="shared" si="10"/>
        <v>17.728500675371453</v>
      </c>
      <c r="E41" s="49">
        <f t="shared" si="10"/>
        <v>3.5457001350742914</v>
      </c>
      <c r="F41" s="49">
        <f t="shared" si="10"/>
        <v>17.728500675371453</v>
      </c>
      <c r="G41" s="49">
        <f t="shared" si="10"/>
        <v>3.5457001350742914</v>
      </c>
      <c r="H41" s="49">
        <f t="shared" si="10"/>
        <v>1.9698334083746061</v>
      </c>
      <c r="I41" s="49">
        <f t="shared" si="10"/>
        <v>7.5979288608734796</v>
      </c>
      <c r="J41" s="49">
        <f t="shared" si="10"/>
        <v>1.9698334083746061</v>
      </c>
      <c r="K41" s="49"/>
      <c r="L41" s="50">
        <f>SUM(B41:J41)</f>
        <v>125</v>
      </c>
    </row>
    <row r="42" spans="1:12" x14ac:dyDescent="0.25">
      <c r="A42" s="95" t="s">
        <v>214</v>
      </c>
      <c r="B42" s="49">
        <f t="shared" ref="B42:J42" si="11">B41^2*B40*$K$19*0.001</f>
        <v>0.80821491176284466</v>
      </c>
      <c r="C42" s="49">
        <f t="shared" si="11"/>
        <v>2.4246447352885347</v>
      </c>
      <c r="D42" s="49">
        <f t="shared" si="11"/>
        <v>0.80821491176284466</v>
      </c>
      <c r="E42" s="49">
        <f t="shared" si="11"/>
        <v>0.16164298235256899</v>
      </c>
      <c r="F42" s="49">
        <f t="shared" si="11"/>
        <v>0.80821491176284466</v>
      </c>
      <c r="G42" s="49">
        <f t="shared" si="11"/>
        <v>0.16164298235256899</v>
      </c>
      <c r="H42" s="49">
        <f t="shared" si="11"/>
        <v>8.9801656862538312E-2</v>
      </c>
      <c r="I42" s="49">
        <f t="shared" si="11"/>
        <v>0.3463778193269334</v>
      </c>
      <c r="J42" s="49">
        <f t="shared" si="11"/>
        <v>8.9801656862538312E-2</v>
      </c>
      <c r="K42" s="49"/>
    </row>
    <row r="43" spans="1:12" x14ac:dyDescent="0.25">
      <c r="A43" s="95" t="s">
        <v>155</v>
      </c>
      <c r="B43" s="49">
        <f>SUM(B42:J42)*B15*2</f>
        <v>91.176905093347457</v>
      </c>
      <c r="C43" s="49"/>
      <c r="D43" s="49"/>
      <c r="E43" s="49"/>
      <c r="F43" s="49"/>
      <c r="G43" s="49"/>
      <c r="H43" s="49"/>
      <c r="I43" s="49"/>
      <c r="J43" s="49"/>
      <c r="K43" s="49"/>
    </row>
  </sheetData>
  <mergeCells count="3">
    <mergeCell ref="A1:B1"/>
    <mergeCell ref="A2:B2"/>
    <mergeCell ref="A3:B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Loss_model</vt:lpstr>
      <vt:lpstr>DSCH-Optimization</vt:lpstr>
      <vt:lpstr>DSCH-Optimization (I)</vt:lpstr>
      <vt:lpstr>DSCH-Optimization (10A) </vt:lpstr>
      <vt:lpstr>DSCH-Optimization (25A)</vt:lpstr>
      <vt:lpstr>DSCH-Optimization (50A) </vt:lpstr>
      <vt:lpstr>DSCH-Optimization (100A)  </vt:lpstr>
      <vt:lpstr>Horizontal_loss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Sriharini Krishnakumar</dc:creator>
  <cp:lastModifiedBy>Sriharini Krishnakumar</cp:lastModifiedBy>
  <dcterms:created xsi:type="dcterms:W3CDTF">2023-12-04T15:52:44Z</dcterms:created>
  <dcterms:modified xsi:type="dcterms:W3CDTF">2024-02-16T16:18:43Z</dcterms:modified>
</cp:coreProperties>
</file>