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ABM\CovidABM\abm\input\pak\"/>
    </mc:Choice>
  </mc:AlternateContent>
  <xr:revisionPtr revIDLastSave="0" documentId="13_ncr:1_{CB7117A1-CCA3-4C91-8C8E-766AAF912117}" xr6:coauthVersionLast="45" xr6:coauthVersionMax="45" xr10:uidLastSave="{00000000-0000-0000-0000-000000000000}"/>
  <bookViews>
    <workbookView xWindow="28680" yWindow="-120" windowWidth="29040" windowHeight="15840" activeTab="3" xr2:uid="{D42993B8-8161-4F81-AAC1-91E7DB8E02F9}"/>
  </bookViews>
  <sheets>
    <sheet name="Vers 1" sheetId="1" r:id="rId1"/>
    <sheet name="Popn" sheetId="3" r:id="rId2"/>
    <sheet name="Vers 2" sheetId="2" r:id="rId3"/>
    <sheet name="Init Vaccine" sheetId="7" r:id="rId4"/>
    <sheet name="Scenarios for Tim" sheetId="5" r:id="rId5"/>
    <sheet name="Static Sheet" sheetId="6" r:id="rId6"/>
    <sheet name="Urban Rura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7" l="1"/>
  <c r="K6" i="7"/>
  <c r="K7" i="7"/>
  <c r="K8" i="7"/>
  <c r="K9" i="7"/>
  <c r="K10" i="7"/>
  <c r="K11" i="7"/>
  <c r="K12" i="7"/>
  <c r="K4" i="7"/>
  <c r="X12" i="7"/>
  <c r="J12" i="7" s="1"/>
  <c r="X11" i="7"/>
  <c r="J11" i="7" s="1"/>
  <c r="X10" i="7"/>
  <c r="J10" i="7" s="1"/>
  <c r="D22" i="7" s="1"/>
  <c r="X9" i="7"/>
  <c r="J9" i="7" s="1"/>
  <c r="X8" i="7"/>
  <c r="J8" i="7" s="1"/>
  <c r="X7" i="7"/>
  <c r="J7" i="7" s="1"/>
  <c r="X6" i="7"/>
  <c r="J6" i="7" s="1"/>
  <c r="D5" i="7" s="1"/>
  <c r="X5" i="7"/>
  <c r="J5" i="7" s="1"/>
  <c r="X4" i="7"/>
  <c r="E30" i="7"/>
  <c r="E31" i="7"/>
  <c r="E32" i="7"/>
  <c r="E29" i="7"/>
  <c r="E34" i="7"/>
  <c r="E35" i="7"/>
  <c r="E33" i="7"/>
  <c r="E24" i="7"/>
  <c r="E25" i="7"/>
  <c r="E26" i="7"/>
  <c r="E27" i="7"/>
  <c r="E28" i="7"/>
  <c r="E23" i="7"/>
  <c r="I4" i="7"/>
  <c r="E3" i="7"/>
  <c r="E13" i="7"/>
  <c r="E14" i="7"/>
  <c r="E15" i="7"/>
  <c r="E12" i="7"/>
  <c r="E11" i="7"/>
  <c r="E16" i="7"/>
  <c r="E17" i="7"/>
  <c r="E18" i="7"/>
  <c r="E7" i="7"/>
  <c r="E8" i="7"/>
  <c r="E9" i="7"/>
  <c r="E10" i="7"/>
  <c r="E6" i="7"/>
  <c r="E4" i="7"/>
  <c r="Q15" i="7"/>
  <c r="I5" i="7"/>
  <c r="I9" i="7"/>
  <c r="I12" i="7"/>
  <c r="I11" i="7"/>
  <c r="I10" i="7"/>
  <c r="I7" i="7"/>
  <c r="I6" i="7"/>
  <c r="I8" i="7"/>
  <c r="V5" i="7"/>
  <c r="W5" i="7"/>
  <c r="V6" i="7"/>
  <c r="W6" i="7"/>
  <c r="V7" i="7"/>
  <c r="W7" i="7"/>
  <c r="V8" i="7"/>
  <c r="W8" i="7"/>
  <c r="V9" i="7"/>
  <c r="W9" i="7"/>
  <c r="V10" i="7"/>
  <c r="W10" i="7"/>
  <c r="V11" i="7"/>
  <c r="W11" i="7"/>
  <c r="V12" i="7"/>
  <c r="W12" i="7"/>
  <c r="V4" i="7"/>
  <c r="W4" i="7"/>
  <c r="S5" i="7"/>
  <c r="S6" i="7"/>
  <c r="S7" i="7"/>
  <c r="T7" i="7" s="1"/>
  <c r="S8" i="7"/>
  <c r="S9" i="7"/>
  <c r="T9" i="7" s="1"/>
  <c r="S10" i="7"/>
  <c r="S11" i="7"/>
  <c r="S12" i="7"/>
  <c r="S4" i="7"/>
  <c r="T5" i="7"/>
  <c r="T6" i="7"/>
  <c r="T8" i="7"/>
  <c r="T10" i="7"/>
  <c r="T11" i="7"/>
  <c r="T12" i="7"/>
  <c r="T4" i="7"/>
  <c r="R14" i="7" s="1"/>
  <c r="L21" i="4"/>
  <c r="M27" i="4"/>
  <c r="L28" i="4"/>
  <c r="M21" i="4"/>
  <c r="Q16" i="7"/>
  <c r="Q12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Q4" i="7"/>
  <c r="P4" i="7"/>
  <c r="H8" i="2"/>
  <c r="Q5" i="5"/>
  <c r="Q4" i="5"/>
  <c r="D33" i="7" l="1"/>
  <c r="D28" i="7"/>
  <c r="D34" i="7"/>
  <c r="D27" i="7"/>
  <c r="D26" i="7"/>
  <c r="D35" i="7"/>
  <c r="D25" i="7"/>
  <c r="D23" i="7"/>
  <c r="D24" i="7"/>
  <c r="D31" i="7"/>
  <c r="D32" i="7"/>
  <c r="D30" i="7"/>
  <c r="D29" i="7"/>
  <c r="D7" i="7"/>
  <c r="D18" i="7"/>
  <c r="D6" i="7"/>
  <c r="D9" i="7"/>
  <c r="D17" i="7"/>
  <c r="D16" i="7"/>
  <c r="D11" i="7"/>
  <c r="D8" i="7"/>
  <c r="D10" i="7"/>
  <c r="J21" i="7"/>
  <c r="J4" i="7"/>
  <c r="EH35" i="2"/>
  <c r="EH34" i="2"/>
  <c r="EH33" i="2"/>
  <c r="EH32" i="2"/>
  <c r="EH31" i="2"/>
  <c r="EH30" i="2"/>
  <c r="EH29" i="2"/>
  <c r="EH28" i="2"/>
  <c r="EH27" i="2"/>
  <c r="EH26" i="2"/>
  <c r="EH25" i="2"/>
  <c r="EH24" i="2"/>
  <c r="EH23" i="2"/>
  <c r="EH20" i="2"/>
  <c r="EH9" i="2"/>
  <c r="EH10" i="2"/>
  <c r="EH11" i="2"/>
  <c r="EH12" i="2"/>
  <c r="EH13" i="2"/>
  <c r="EH14" i="2"/>
  <c r="EH15" i="2"/>
  <c r="EH16" i="2"/>
  <c r="EH17" i="2"/>
  <c r="EH18" i="2"/>
  <c r="EH19" i="2"/>
  <c r="EH8" i="2"/>
  <c r="AO72" i="5"/>
  <c r="AO71" i="5"/>
  <c r="AO70" i="5"/>
  <c r="AL70" i="5"/>
  <c r="AO66" i="5"/>
  <c r="AO65" i="5"/>
  <c r="AN65" i="5"/>
  <c r="AO64" i="5"/>
  <c r="AK64" i="5"/>
  <c r="AO57" i="5"/>
  <c r="AO56" i="5"/>
  <c r="AM56" i="5"/>
  <c r="AO55" i="5"/>
  <c r="AO51" i="5"/>
  <c r="AO50" i="5"/>
  <c r="AL50" i="5"/>
  <c r="AO49" i="5"/>
  <c r="AO42" i="5"/>
  <c r="AN42" i="5"/>
  <c r="AL42" i="5"/>
  <c r="AK42" i="5"/>
  <c r="AO41" i="5"/>
  <c r="AK41" i="5"/>
  <c r="AO40" i="5"/>
  <c r="AN40" i="5"/>
  <c r="AM40" i="5"/>
  <c r="AO36" i="5"/>
  <c r="AO35" i="5"/>
  <c r="AO34" i="5"/>
  <c r="AM34" i="5"/>
  <c r="AL34" i="5"/>
  <c r="AO27" i="5"/>
  <c r="AM27" i="5"/>
  <c r="AL27" i="5"/>
  <c r="AO26" i="5"/>
  <c r="AO25" i="5"/>
  <c r="AN25" i="5"/>
  <c r="AK25" i="5"/>
  <c r="AO21" i="5"/>
  <c r="AM21" i="5"/>
  <c r="AL21" i="5"/>
  <c r="AK21" i="5"/>
  <c r="AO20" i="5"/>
  <c r="AM20" i="5"/>
  <c r="AL20" i="5"/>
  <c r="AO19" i="5"/>
  <c r="AN19" i="5"/>
  <c r="AM19" i="5"/>
  <c r="AO12" i="5"/>
  <c r="AO11" i="5"/>
  <c r="AO10" i="5"/>
  <c r="AM10" i="5"/>
  <c r="AL10" i="5"/>
  <c r="AO5" i="5"/>
  <c r="AK6" i="5"/>
  <c r="AL6" i="5"/>
  <c r="AO6" i="5"/>
  <c r="AO4" i="5"/>
  <c r="AN4" i="5"/>
  <c r="W72" i="5"/>
  <c r="V72" i="5"/>
  <c r="X72" i="5" s="1"/>
  <c r="U72" i="5"/>
  <c r="T72" i="5"/>
  <c r="W71" i="5"/>
  <c r="V71" i="5"/>
  <c r="X71" i="5" s="1"/>
  <c r="U71" i="5"/>
  <c r="T71" i="5"/>
  <c r="W70" i="5"/>
  <c r="V70" i="5"/>
  <c r="U70" i="5"/>
  <c r="X70" i="5" s="1"/>
  <c r="T70" i="5"/>
  <c r="X66" i="5"/>
  <c r="W66" i="5"/>
  <c r="V66" i="5"/>
  <c r="U66" i="5"/>
  <c r="T66" i="5"/>
  <c r="W65" i="5"/>
  <c r="V65" i="5"/>
  <c r="U65" i="5"/>
  <c r="T65" i="5"/>
  <c r="X65" i="5" s="1"/>
  <c r="W64" i="5"/>
  <c r="V64" i="5"/>
  <c r="U64" i="5"/>
  <c r="T64" i="5"/>
  <c r="X64" i="5" s="1"/>
  <c r="W57" i="5"/>
  <c r="V57" i="5"/>
  <c r="U57" i="5"/>
  <c r="T57" i="5"/>
  <c r="X57" i="5" s="1"/>
  <c r="W56" i="5"/>
  <c r="V56" i="5"/>
  <c r="U56" i="5"/>
  <c r="T56" i="5"/>
  <c r="X56" i="5" s="1"/>
  <c r="W55" i="5"/>
  <c r="V55" i="5"/>
  <c r="X55" i="5" s="1"/>
  <c r="U55" i="5"/>
  <c r="T55" i="5"/>
  <c r="W51" i="5"/>
  <c r="V51" i="5"/>
  <c r="X51" i="5" s="1"/>
  <c r="U51" i="5"/>
  <c r="T51" i="5"/>
  <c r="W50" i="5"/>
  <c r="V50" i="5"/>
  <c r="U50" i="5"/>
  <c r="X50" i="5" s="1"/>
  <c r="T50" i="5"/>
  <c r="X49" i="5"/>
  <c r="W49" i="5"/>
  <c r="V49" i="5"/>
  <c r="U49" i="5"/>
  <c r="T49" i="5"/>
  <c r="W42" i="5"/>
  <c r="V42" i="5"/>
  <c r="U42" i="5"/>
  <c r="T42" i="5"/>
  <c r="X42" i="5" s="1"/>
  <c r="W41" i="5"/>
  <c r="V41" i="5"/>
  <c r="U41" i="5"/>
  <c r="T41" i="5"/>
  <c r="X41" i="5" s="1"/>
  <c r="W40" i="5"/>
  <c r="V40" i="5"/>
  <c r="U40" i="5"/>
  <c r="T40" i="5"/>
  <c r="X40" i="5" s="1"/>
  <c r="W36" i="5"/>
  <c r="V36" i="5"/>
  <c r="U36" i="5"/>
  <c r="T36" i="5"/>
  <c r="X36" i="5" s="1"/>
  <c r="W35" i="5"/>
  <c r="V35" i="5"/>
  <c r="X35" i="5" s="1"/>
  <c r="U35" i="5"/>
  <c r="T35" i="5"/>
  <c r="W34" i="5"/>
  <c r="V34" i="5"/>
  <c r="X34" i="5" s="1"/>
  <c r="U34" i="5"/>
  <c r="T34" i="5"/>
  <c r="W27" i="5"/>
  <c r="V27" i="5"/>
  <c r="U27" i="5"/>
  <c r="X27" i="5" s="1"/>
  <c r="T27" i="5"/>
  <c r="X26" i="5"/>
  <c r="W26" i="5"/>
  <c r="V26" i="5"/>
  <c r="U26" i="5"/>
  <c r="T26" i="5"/>
  <c r="W25" i="5"/>
  <c r="V25" i="5"/>
  <c r="U25" i="5"/>
  <c r="T25" i="5"/>
  <c r="X25" i="5" s="1"/>
  <c r="W21" i="5"/>
  <c r="V21" i="5"/>
  <c r="U21" i="5"/>
  <c r="T21" i="5"/>
  <c r="X21" i="5" s="1"/>
  <c r="W20" i="5"/>
  <c r="V20" i="5"/>
  <c r="U20" i="5"/>
  <c r="T20" i="5"/>
  <c r="X20" i="5" s="1"/>
  <c r="W19" i="5"/>
  <c r="V19" i="5"/>
  <c r="U19" i="5"/>
  <c r="T19" i="5"/>
  <c r="X19" i="5" s="1"/>
  <c r="W12" i="5"/>
  <c r="V12" i="5"/>
  <c r="X12" i="5" s="1"/>
  <c r="U12" i="5"/>
  <c r="T12" i="5"/>
  <c r="W11" i="5"/>
  <c r="V11" i="5"/>
  <c r="X11" i="5" s="1"/>
  <c r="U11" i="5"/>
  <c r="T11" i="5"/>
  <c r="W10" i="5"/>
  <c r="V10" i="5"/>
  <c r="U10" i="5"/>
  <c r="X10" i="5" s="1"/>
  <c r="T10" i="5"/>
  <c r="X6" i="5"/>
  <c r="W6" i="5"/>
  <c r="V6" i="5"/>
  <c r="U6" i="5"/>
  <c r="T6" i="5"/>
  <c r="W5" i="5"/>
  <c r="V5" i="5"/>
  <c r="U5" i="5"/>
  <c r="T5" i="5"/>
  <c r="X5" i="5" s="1"/>
  <c r="W4" i="5"/>
  <c r="V4" i="5"/>
  <c r="U4" i="5"/>
  <c r="T4" i="5"/>
  <c r="X4" i="5" s="1"/>
  <c r="F72" i="5"/>
  <c r="E72" i="5"/>
  <c r="D72" i="5"/>
  <c r="C72" i="5"/>
  <c r="G72" i="5" s="1"/>
  <c r="G71" i="5"/>
  <c r="F71" i="5"/>
  <c r="E71" i="5"/>
  <c r="D71" i="5"/>
  <c r="C71" i="5"/>
  <c r="F70" i="5"/>
  <c r="E70" i="5"/>
  <c r="D70" i="5"/>
  <c r="C70" i="5"/>
  <c r="G70" i="5" s="1"/>
  <c r="F66" i="5"/>
  <c r="E66" i="5"/>
  <c r="D66" i="5"/>
  <c r="C66" i="5"/>
  <c r="G66" i="5" s="1"/>
  <c r="F65" i="5"/>
  <c r="G65" i="5" s="1"/>
  <c r="E65" i="5"/>
  <c r="D65" i="5"/>
  <c r="C65" i="5"/>
  <c r="F64" i="5"/>
  <c r="E64" i="5"/>
  <c r="D64" i="5"/>
  <c r="C64" i="5"/>
  <c r="G64" i="5" s="1"/>
  <c r="F57" i="5"/>
  <c r="E57" i="5"/>
  <c r="D57" i="5"/>
  <c r="C57" i="5"/>
  <c r="G57" i="5" s="1"/>
  <c r="F56" i="5"/>
  <c r="E56" i="5"/>
  <c r="D56" i="5"/>
  <c r="C56" i="5"/>
  <c r="G56" i="5" s="1"/>
  <c r="F55" i="5"/>
  <c r="E55" i="5"/>
  <c r="D55" i="5"/>
  <c r="C55" i="5"/>
  <c r="G55" i="5" s="1"/>
  <c r="G51" i="5"/>
  <c r="F51" i="5"/>
  <c r="E51" i="5"/>
  <c r="D51" i="5"/>
  <c r="C51" i="5"/>
  <c r="F50" i="5"/>
  <c r="E50" i="5"/>
  <c r="D50" i="5"/>
  <c r="C50" i="5"/>
  <c r="G50" i="5" s="1"/>
  <c r="F49" i="5"/>
  <c r="E49" i="5"/>
  <c r="D49" i="5"/>
  <c r="C49" i="5"/>
  <c r="G49" i="5" s="1"/>
  <c r="F42" i="5"/>
  <c r="E42" i="5"/>
  <c r="D42" i="5"/>
  <c r="C42" i="5"/>
  <c r="G42" i="5" s="1"/>
  <c r="G41" i="5"/>
  <c r="F41" i="5"/>
  <c r="E41" i="5"/>
  <c r="D41" i="5"/>
  <c r="C41" i="5"/>
  <c r="F40" i="5"/>
  <c r="E40" i="5"/>
  <c r="D40" i="5"/>
  <c r="C40" i="5"/>
  <c r="G40" i="5" s="1"/>
  <c r="G36" i="5"/>
  <c r="F36" i="5"/>
  <c r="E36" i="5"/>
  <c r="D36" i="5"/>
  <c r="C36" i="5"/>
  <c r="F35" i="5"/>
  <c r="E35" i="5"/>
  <c r="D35" i="5"/>
  <c r="G35" i="5" s="1"/>
  <c r="C35" i="5"/>
  <c r="F34" i="5"/>
  <c r="E34" i="5"/>
  <c r="D34" i="5"/>
  <c r="C34" i="5"/>
  <c r="G34" i="5" s="1"/>
  <c r="F27" i="5"/>
  <c r="E27" i="5"/>
  <c r="D27" i="5"/>
  <c r="C27" i="5"/>
  <c r="G27" i="5" s="1"/>
  <c r="F26" i="5"/>
  <c r="E26" i="5"/>
  <c r="D26" i="5"/>
  <c r="C26" i="5"/>
  <c r="G26" i="5" s="1"/>
  <c r="F25" i="5"/>
  <c r="E25" i="5"/>
  <c r="D25" i="5"/>
  <c r="C25" i="5"/>
  <c r="G25" i="5" s="1"/>
  <c r="G21" i="5"/>
  <c r="F21" i="5"/>
  <c r="E21" i="5"/>
  <c r="D21" i="5"/>
  <c r="C21" i="5"/>
  <c r="F20" i="5"/>
  <c r="E20" i="5"/>
  <c r="D20" i="5"/>
  <c r="C20" i="5"/>
  <c r="G20" i="5" s="1"/>
  <c r="G19" i="5"/>
  <c r="F19" i="5"/>
  <c r="E19" i="5"/>
  <c r="D19" i="5"/>
  <c r="C19" i="5"/>
  <c r="G12" i="5"/>
  <c r="F12" i="5"/>
  <c r="E12" i="5"/>
  <c r="D12" i="5"/>
  <c r="C12" i="5"/>
  <c r="F11" i="5"/>
  <c r="E11" i="5"/>
  <c r="D11" i="5"/>
  <c r="G11" i="5" s="1"/>
  <c r="C11" i="5"/>
  <c r="F10" i="5"/>
  <c r="E10" i="5"/>
  <c r="D10" i="5"/>
  <c r="G10" i="5" s="1"/>
  <c r="C10" i="5"/>
  <c r="C5" i="5"/>
  <c r="D5" i="5"/>
  <c r="E5" i="5"/>
  <c r="F5" i="5"/>
  <c r="C6" i="5"/>
  <c r="D6" i="5"/>
  <c r="E6" i="5"/>
  <c r="F6" i="5"/>
  <c r="G6" i="5"/>
  <c r="AX91" i="5"/>
  <c r="AX90" i="5"/>
  <c r="AX89" i="5"/>
  <c r="AX88" i="5"/>
  <c r="AX87" i="5"/>
  <c r="AX86" i="5"/>
  <c r="AX85" i="5"/>
  <c r="AX84" i="5"/>
  <c r="AX83" i="5"/>
  <c r="AX82" i="5"/>
  <c r="AX81" i="5"/>
  <c r="AX80" i="5"/>
  <c r="AX79" i="5"/>
  <c r="AX68" i="5"/>
  <c r="AX43" i="5"/>
  <c r="AX39" i="5"/>
  <c r="AX28" i="5"/>
  <c r="AY91" i="5"/>
  <c r="AY90" i="5"/>
  <c r="AY89" i="5"/>
  <c r="AY88" i="5"/>
  <c r="AY87" i="5"/>
  <c r="AY86" i="5"/>
  <c r="AY85" i="5"/>
  <c r="AY84" i="5"/>
  <c r="AY83" i="5"/>
  <c r="AY82" i="5"/>
  <c r="AY81" i="5"/>
  <c r="AY80" i="5"/>
  <c r="AY79" i="5"/>
  <c r="AY76" i="5"/>
  <c r="AX76" i="5" s="1"/>
  <c r="AY75" i="5"/>
  <c r="AX75" i="5" s="1"/>
  <c r="AY74" i="5"/>
  <c r="AX74" i="5" s="1"/>
  <c r="AY73" i="5"/>
  <c r="AX73" i="5" s="1"/>
  <c r="AY72" i="5"/>
  <c r="AN72" i="5" s="1"/>
  <c r="AY71" i="5"/>
  <c r="AN71" i="5" s="1"/>
  <c r="AY70" i="5"/>
  <c r="AK70" i="5" s="1"/>
  <c r="AY69" i="5"/>
  <c r="AX69" i="5" s="1"/>
  <c r="AY68" i="5"/>
  <c r="AY67" i="5"/>
  <c r="AX67" i="5" s="1"/>
  <c r="AY66" i="5"/>
  <c r="AN66" i="5" s="1"/>
  <c r="AY65" i="5"/>
  <c r="AM65" i="5" s="1"/>
  <c r="AY64" i="5"/>
  <c r="AN64" i="5" s="1"/>
  <c r="AY61" i="5"/>
  <c r="AY60" i="5"/>
  <c r="AX60" i="5" s="1"/>
  <c r="AY59" i="5"/>
  <c r="AX59" i="5" s="1"/>
  <c r="AY58" i="5"/>
  <c r="AY57" i="5"/>
  <c r="AN57" i="5" s="1"/>
  <c r="AY56" i="5"/>
  <c r="AL56" i="5" s="1"/>
  <c r="AY55" i="5"/>
  <c r="AN55" i="5" s="1"/>
  <c r="AY54" i="5"/>
  <c r="AX54" i="5" s="1"/>
  <c r="AY53" i="5"/>
  <c r="AX53" i="5" s="1"/>
  <c r="AY52" i="5"/>
  <c r="AY51" i="5"/>
  <c r="AN51" i="5" s="1"/>
  <c r="AY50" i="5"/>
  <c r="AK50" i="5" s="1"/>
  <c r="AY49" i="5"/>
  <c r="AN49" i="5" s="1"/>
  <c r="AY46" i="5"/>
  <c r="AY45" i="5"/>
  <c r="AX45" i="5" s="1"/>
  <c r="AY44" i="5"/>
  <c r="AX44" i="5" s="1"/>
  <c r="AY43" i="5"/>
  <c r="AY42" i="5"/>
  <c r="AM42" i="5" s="1"/>
  <c r="AY41" i="5"/>
  <c r="AN41" i="5" s="1"/>
  <c r="AY40" i="5"/>
  <c r="AL40" i="5" s="1"/>
  <c r="AY39" i="5"/>
  <c r="AY38" i="5"/>
  <c r="AX38" i="5" s="1"/>
  <c r="AY37" i="5"/>
  <c r="AX37" i="5" s="1"/>
  <c r="AY36" i="5"/>
  <c r="AL36" i="5" s="1"/>
  <c r="AY35" i="5"/>
  <c r="AN35" i="5" s="1"/>
  <c r="AY34" i="5"/>
  <c r="AN34" i="5" s="1"/>
  <c r="AY31" i="5"/>
  <c r="AY30" i="5"/>
  <c r="AY29" i="5"/>
  <c r="AY28" i="5"/>
  <c r="AY27" i="5"/>
  <c r="AK27" i="5" s="1"/>
  <c r="AY26" i="5"/>
  <c r="AN26" i="5" s="1"/>
  <c r="AY25" i="5"/>
  <c r="AM25" i="5" s="1"/>
  <c r="AY24" i="5"/>
  <c r="AY23" i="5"/>
  <c r="AY22" i="5"/>
  <c r="AX22" i="5" s="1"/>
  <c r="AY21" i="5"/>
  <c r="AN21" i="5" s="1"/>
  <c r="AY20" i="5"/>
  <c r="AN20" i="5" s="1"/>
  <c r="AY19" i="5"/>
  <c r="AL19" i="5" s="1"/>
  <c r="AY16" i="5"/>
  <c r="AY15" i="5"/>
  <c r="AY14" i="5"/>
  <c r="AY13" i="5"/>
  <c r="AY12" i="5"/>
  <c r="AK12" i="5" s="1"/>
  <c r="AY11" i="5"/>
  <c r="AN11" i="5" s="1"/>
  <c r="AY10" i="5"/>
  <c r="AK10" i="5" s="1"/>
  <c r="AY9" i="5"/>
  <c r="AY8" i="5"/>
  <c r="AY7" i="5"/>
  <c r="AY6" i="5"/>
  <c r="AM6" i="5" s="1"/>
  <c r="AY5" i="5"/>
  <c r="AK5" i="5" s="1"/>
  <c r="AY4" i="5"/>
  <c r="AM4" i="5" s="1"/>
  <c r="AH91" i="5"/>
  <c r="AG91" i="5" s="1"/>
  <c r="AH90" i="5"/>
  <c r="AG90" i="5" s="1"/>
  <c r="AH89" i="5"/>
  <c r="AG89" i="5" s="1"/>
  <c r="AH88" i="5"/>
  <c r="AG88" i="5" s="1"/>
  <c r="AH87" i="5"/>
  <c r="AG87" i="5" s="1"/>
  <c r="AH86" i="5"/>
  <c r="AG86" i="5" s="1"/>
  <c r="AH85" i="5"/>
  <c r="AG85" i="5" s="1"/>
  <c r="AH84" i="5"/>
  <c r="AG84" i="5" s="1"/>
  <c r="AH83" i="5"/>
  <c r="AG83" i="5" s="1"/>
  <c r="AH82" i="5"/>
  <c r="AG82" i="5" s="1"/>
  <c r="AH81" i="5"/>
  <c r="AG81" i="5" s="1"/>
  <c r="AH80" i="5"/>
  <c r="AG80" i="5" s="1"/>
  <c r="AH79" i="5"/>
  <c r="AG79" i="5" s="1"/>
  <c r="AH76" i="5"/>
  <c r="AG76" i="5" s="1"/>
  <c r="AH75" i="5"/>
  <c r="AG75" i="5" s="1"/>
  <c r="AH74" i="5"/>
  <c r="AG74" i="5" s="1"/>
  <c r="AH73" i="5"/>
  <c r="AG73" i="5" s="1"/>
  <c r="AH72" i="5"/>
  <c r="AH71" i="5"/>
  <c r="AH70" i="5"/>
  <c r="AH69" i="5"/>
  <c r="AG69" i="5" s="1"/>
  <c r="AH68" i="5"/>
  <c r="AG68" i="5" s="1"/>
  <c r="AH67" i="5"/>
  <c r="AG67" i="5" s="1"/>
  <c r="AH66" i="5"/>
  <c r="AG66" i="5" s="1"/>
  <c r="AH65" i="5"/>
  <c r="AH64" i="5"/>
  <c r="AH61" i="5"/>
  <c r="AG61" i="5" s="1"/>
  <c r="AH60" i="5"/>
  <c r="AG60" i="5" s="1"/>
  <c r="AH59" i="5"/>
  <c r="AG59" i="5" s="1"/>
  <c r="AH58" i="5"/>
  <c r="AH57" i="5"/>
  <c r="AH56" i="5"/>
  <c r="AH55" i="5"/>
  <c r="AH54" i="5"/>
  <c r="AG54" i="5" s="1"/>
  <c r="AH53" i="5"/>
  <c r="AG53" i="5" s="1"/>
  <c r="AH52" i="5"/>
  <c r="AH51" i="5"/>
  <c r="AH50" i="5"/>
  <c r="AH49" i="5"/>
  <c r="AG49" i="5" s="1"/>
  <c r="AH46" i="5"/>
  <c r="AG46" i="5" s="1"/>
  <c r="AH45" i="5"/>
  <c r="AG45" i="5" s="1"/>
  <c r="AH44" i="5"/>
  <c r="AG44" i="5" s="1"/>
  <c r="AH43" i="5"/>
  <c r="AG43" i="5" s="1"/>
  <c r="AH42" i="5"/>
  <c r="AH41" i="5"/>
  <c r="AH40" i="5"/>
  <c r="AH39" i="5"/>
  <c r="AG39" i="5" s="1"/>
  <c r="AH38" i="5"/>
  <c r="AG38" i="5" s="1"/>
  <c r="AH37" i="5"/>
  <c r="AG37" i="5" s="1"/>
  <c r="AH36" i="5"/>
  <c r="AH35" i="5"/>
  <c r="AH34" i="5"/>
  <c r="AH31" i="5"/>
  <c r="AG31" i="5" s="1"/>
  <c r="AH30" i="5"/>
  <c r="AH29" i="5"/>
  <c r="AH28" i="5"/>
  <c r="AG28" i="5" s="1"/>
  <c r="AH27" i="5"/>
  <c r="AH26" i="5"/>
  <c r="AH25" i="5"/>
  <c r="AH24" i="5"/>
  <c r="AH23" i="5"/>
  <c r="AH22" i="5"/>
  <c r="AG22" i="5" s="1"/>
  <c r="AH21" i="5"/>
  <c r="AH20" i="5"/>
  <c r="AH19" i="5"/>
  <c r="AH16" i="5"/>
  <c r="AG16" i="5" s="1"/>
  <c r="AH15" i="5"/>
  <c r="AH14" i="5"/>
  <c r="AH13" i="5"/>
  <c r="AH12" i="5"/>
  <c r="AH11" i="5"/>
  <c r="AH10" i="5"/>
  <c r="AH9" i="5"/>
  <c r="AH8" i="5"/>
  <c r="AH7" i="5"/>
  <c r="AH6" i="5"/>
  <c r="AH5" i="5"/>
  <c r="AH4" i="5"/>
  <c r="Q91" i="5"/>
  <c r="P91" i="5" s="1"/>
  <c r="Q90" i="5"/>
  <c r="P90" i="5" s="1"/>
  <c r="Q89" i="5"/>
  <c r="P89" i="5" s="1"/>
  <c r="Q88" i="5"/>
  <c r="P88" i="5" s="1"/>
  <c r="Q87" i="5"/>
  <c r="P87" i="5" s="1"/>
  <c r="Q86" i="5"/>
  <c r="P86" i="5" s="1"/>
  <c r="Q85" i="5"/>
  <c r="P85" i="5" s="1"/>
  <c r="Q84" i="5"/>
  <c r="P84" i="5" s="1"/>
  <c r="Q83" i="5"/>
  <c r="P83" i="5" s="1"/>
  <c r="Q82" i="5"/>
  <c r="P82" i="5" s="1"/>
  <c r="Q81" i="5"/>
  <c r="P81" i="5" s="1"/>
  <c r="Q80" i="5"/>
  <c r="P80" i="5" s="1"/>
  <c r="Q79" i="5"/>
  <c r="P79" i="5" s="1"/>
  <c r="Q76" i="5"/>
  <c r="P76" i="5" s="1"/>
  <c r="Q75" i="5"/>
  <c r="P75" i="5" s="1"/>
  <c r="Q74" i="5"/>
  <c r="P74" i="5" s="1"/>
  <c r="Q73" i="5"/>
  <c r="P73" i="5" s="1"/>
  <c r="Q72" i="5"/>
  <c r="Q71" i="5"/>
  <c r="Q70" i="5"/>
  <c r="Q69" i="5"/>
  <c r="P69" i="5" s="1"/>
  <c r="Q68" i="5"/>
  <c r="P68" i="5" s="1"/>
  <c r="Q67" i="5"/>
  <c r="P67" i="5" s="1"/>
  <c r="Q66" i="5"/>
  <c r="Q65" i="5"/>
  <c r="Q64" i="5"/>
  <c r="Q61" i="5"/>
  <c r="P61" i="5" s="1"/>
  <c r="Q60" i="5"/>
  <c r="P60" i="5" s="1"/>
  <c r="Q59" i="5"/>
  <c r="P59" i="5" s="1"/>
  <c r="Q58" i="5"/>
  <c r="Q57" i="5"/>
  <c r="Q56" i="5"/>
  <c r="Q55" i="5"/>
  <c r="Q54" i="5"/>
  <c r="P54" i="5" s="1"/>
  <c r="Q53" i="5"/>
  <c r="P53" i="5" s="1"/>
  <c r="Q52" i="5"/>
  <c r="Q51" i="5"/>
  <c r="P51" i="5" s="1"/>
  <c r="Q50" i="5"/>
  <c r="Q49" i="5"/>
  <c r="Q46" i="5"/>
  <c r="P46" i="5" s="1"/>
  <c r="Q45" i="5"/>
  <c r="P45" i="5" s="1"/>
  <c r="Q44" i="5"/>
  <c r="P44" i="5" s="1"/>
  <c r="Q43" i="5"/>
  <c r="P43" i="5" s="1"/>
  <c r="Q42" i="5"/>
  <c r="Q41" i="5"/>
  <c r="P41" i="5" s="1"/>
  <c r="Q40" i="5"/>
  <c r="Q39" i="5"/>
  <c r="P39" i="5" s="1"/>
  <c r="Q38" i="5"/>
  <c r="P38" i="5" s="1"/>
  <c r="Q37" i="5"/>
  <c r="P37" i="5" s="1"/>
  <c r="Q36" i="5"/>
  <c r="Q35" i="5"/>
  <c r="Q34" i="5"/>
  <c r="Q31" i="5"/>
  <c r="P31" i="5" s="1"/>
  <c r="Q30" i="5"/>
  <c r="Q29" i="5"/>
  <c r="Q28" i="5"/>
  <c r="P28" i="5" s="1"/>
  <c r="Q27" i="5"/>
  <c r="Q26" i="5"/>
  <c r="Q25" i="5"/>
  <c r="Q24" i="5"/>
  <c r="Q23" i="5"/>
  <c r="Q22" i="5"/>
  <c r="P22" i="5" s="1"/>
  <c r="Q21" i="5"/>
  <c r="Q20" i="5"/>
  <c r="Q19" i="5"/>
  <c r="P19" i="5" s="1"/>
  <c r="Q6" i="5"/>
  <c r="Q7" i="5"/>
  <c r="Q8" i="5"/>
  <c r="Q9" i="5"/>
  <c r="Q10" i="5"/>
  <c r="Q11" i="5"/>
  <c r="Q12" i="5"/>
  <c r="Q13" i="5"/>
  <c r="Q14" i="5"/>
  <c r="Q15" i="5"/>
  <c r="Q16" i="5"/>
  <c r="D4" i="5"/>
  <c r="DF51" i="2"/>
  <c r="EH51" i="2"/>
  <c r="DL38" i="2"/>
  <c r="DL39" i="2"/>
  <c r="DL40" i="2"/>
  <c r="DL41" i="2"/>
  <c r="DL42" i="2"/>
  <c r="DL43" i="2"/>
  <c r="DL44" i="2"/>
  <c r="DL45" i="2"/>
  <c r="DL46" i="2"/>
  <c r="DT46" i="2" s="1"/>
  <c r="DL47" i="2"/>
  <c r="DL48" i="2"/>
  <c r="DL49" i="2"/>
  <c r="EH41" i="2"/>
  <c r="EH42" i="2"/>
  <c r="EH43" i="2"/>
  <c r="EH47" i="2"/>
  <c r="EH48" i="2"/>
  <c r="CX38" i="2"/>
  <c r="CX39" i="2"/>
  <c r="CX40" i="2"/>
  <c r="CX44" i="2"/>
  <c r="CX45" i="2"/>
  <c r="DF45" i="2" s="1"/>
  <c r="CX46" i="2"/>
  <c r="CX48" i="2"/>
  <c r="CX49" i="2"/>
  <c r="BB39" i="2"/>
  <c r="BB40" i="2"/>
  <c r="BB41" i="2"/>
  <c r="BB42" i="2"/>
  <c r="BB43" i="2"/>
  <c r="BB44" i="2"/>
  <c r="BB45" i="2"/>
  <c r="BB46" i="2"/>
  <c r="BB47" i="2"/>
  <c r="BB48" i="2"/>
  <c r="AB39" i="2"/>
  <c r="AB40" i="2"/>
  <c r="AB41" i="2"/>
  <c r="AB42" i="2"/>
  <c r="AB43" i="2"/>
  <c r="AB44" i="2"/>
  <c r="AB45" i="2"/>
  <c r="AB46" i="2"/>
  <c r="AB47" i="2"/>
  <c r="AB48" i="2"/>
  <c r="AB49" i="2"/>
  <c r="EH49" i="2"/>
  <c r="DK49" i="2"/>
  <c r="DJ49" i="2"/>
  <c r="DI49" i="2"/>
  <c r="DH49" i="2"/>
  <c r="DG49" i="2"/>
  <c r="DT49" i="2" s="1"/>
  <c r="DF49" i="2"/>
  <c r="CW49" i="2"/>
  <c r="CV49" i="2"/>
  <c r="CU49" i="2"/>
  <c r="CT49" i="2"/>
  <c r="CS49" i="2"/>
  <c r="DK48" i="2"/>
  <c r="DJ48" i="2"/>
  <c r="DI48" i="2"/>
  <c r="DH48" i="2"/>
  <c r="DG48" i="2"/>
  <c r="DT48" i="2" s="1"/>
  <c r="CW48" i="2"/>
  <c r="CV48" i="2"/>
  <c r="CU48" i="2"/>
  <c r="CT48" i="2"/>
  <c r="CS48" i="2"/>
  <c r="DK47" i="2"/>
  <c r="DJ47" i="2"/>
  <c r="DI47" i="2"/>
  <c r="DT47" i="2" s="1"/>
  <c r="DH47" i="2"/>
  <c r="DG47" i="2"/>
  <c r="CW47" i="2"/>
  <c r="CV47" i="2"/>
  <c r="CU47" i="2"/>
  <c r="CT47" i="2"/>
  <c r="CS47" i="2"/>
  <c r="DZ46" i="2"/>
  <c r="DY46" i="2"/>
  <c r="DX46" i="2"/>
  <c r="DW46" i="2"/>
  <c r="DV46" i="2"/>
  <c r="DU46" i="2"/>
  <c r="EH46" i="2" s="1"/>
  <c r="DK46" i="2"/>
  <c r="DJ46" i="2"/>
  <c r="DI46" i="2"/>
  <c r="DH46" i="2"/>
  <c r="DG46" i="2"/>
  <c r="CW46" i="2"/>
  <c r="CV46" i="2"/>
  <c r="CU46" i="2"/>
  <c r="CT46" i="2"/>
  <c r="CS46" i="2"/>
  <c r="DZ45" i="2"/>
  <c r="DY45" i="2"/>
  <c r="DX45" i="2"/>
  <c r="DW45" i="2"/>
  <c r="DV45" i="2"/>
  <c r="DU45" i="2"/>
  <c r="EH45" i="2" s="1"/>
  <c r="DK45" i="2"/>
  <c r="DJ45" i="2"/>
  <c r="DI45" i="2"/>
  <c r="DH45" i="2"/>
  <c r="DG45" i="2"/>
  <c r="CW45" i="2"/>
  <c r="CV45" i="2"/>
  <c r="CU45" i="2"/>
  <c r="CT45" i="2"/>
  <c r="CS45" i="2"/>
  <c r="DZ44" i="2"/>
  <c r="DY44" i="2"/>
  <c r="DX44" i="2"/>
  <c r="DW44" i="2"/>
  <c r="EH44" i="2" s="1"/>
  <c r="DV44" i="2"/>
  <c r="DU44" i="2"/>
  <c r="DK44" i="2"/>
  <c r="DJ44" i="2"/>
  <c r="DI44" i="2"/>
  <c r="DH44" i="2"/>
  <c r="DG44" i="2"/>
  <c r="CW44" i="2"/>
  <c r="CV44" i="2"/>
  <c r="CU44" i="2"/>
  <c r="CT44" i="2"/>
  <c r="CS44" i="2"/>
  <c r="DF44" i="2" s="1"/>
  <c r="DJ43" i="2"/>
  <c r="DI43" i="2"/>
  <c r="DT43" i="2" s="1"/>
  <c r="DH43" i="2"/>
  <c r="DG43" i="2"/>
  <c r="DF43" i="2"/>
  <c r="DK42" i="2"/>
  <c r="DT42" i="2" s="1"/>
  <c r="DJ42" i="2"/>
  <c r="DI42" i="2"/>
  <c r="DH42" i="2"/>
  <c r="DG42" i="2"/>
  <c r="DF42" i="2"/>
  <c r="DK41" i="2"/>
  <c r="DJ41" i="2"/>
  <c r="DI41" i="2"/>
  <c r="DH41" i="2"/>
  <c r="DG41" i="2"/>
  <c r="DT41" i="2" s="1"/>
  <c r="DF41" i="2"/>
  <c r="DZ40" i="2"/>
  <c r="DY40" i="2"/>
  <c r="DX40" i="2"/>
  <c r="DW40" i="2"/>
  <c r="EH40" i="2" s="1"/>
  <c r="DV40" i="2"/>
  <c r="DU40" i="2"/>
  <c r="DK40" i="2"/>
  <c r="DJ40" i="2"/>
  <c r="DI40" i="2"/>
  <c r="DH40" i="2"/>
  <c r="DG40" i="2"/>
  <c r="DT40" i="2" s="1"/>
  <c r="CW40" i="2"/>
  <c r="CV40" i="2"/>
  <c r="CU40" i="2"/>
  <c r="CT40" i="2"/>
  <c r="CS40" i="2"/>
  <c r="DF40" i="2" s="1"/>
  <c r="DZ39" i="2"/>
  <c r="DY39" i="2"/>
  <c r="EH39" i="2" s="1"/>
  <c r="DX39" i="2"/>
  <c r="DW39" i="2"/>
  <c r="DV39" i="2"/>
  <c r="DU39" i="2"/>
  <c r="DK39" i="2"/>
  <c r="DJ39" i="2"/>
  <c r="DI39" i="2"/>
  <c r="DT39" i="2" s="1"/>
  <c r="DH39" i="2"/>
  <c r="DG39" i="2"/>
  <c r="CW39" i="2"/>
  <c r="CV39" i="2"/>
  <c r="CU39" i="2"/>
  <c r="CT39" i="2"/>
  <c r="CS39" i="2"/>
  <c r="DF39" i="2" s="1"/>
  <c r="DZ38" i="2"/>
  <c r="DY38" i="2"/>
  <c r="DX38" i="2"/>
  <c r="DW38" i="2"/>
  <c r="DV38" i="2"/>
  <c r="DU38" i="2"/>
  <c r="DK38" i="2"/>
  <c r="DJ38" i="2"/>
  <c r="DI38" i="2"/>
  <c r="DH38" i="2"/>
  <c r="DG38" i="2"/>
  <c r="CW38" i="2"/>
  <c r="CV38" i="2"/>
  <c r="CU38" i="2"/>
  <c r="CT38" i="2"/>
  <c r="CS38" i="2"/>
  <c r="R23" i="2"/>
  <c r="R24" i="2"/>
  <c r="R25" i="2"/>
  <c r="R26" i="2"/>
  <c r="R27" i="2"/>
  <c r="R28" i="2"/>
  <c r="R29" i="2"/>
  <c r="R30" i="2"/>
  <c r="R31" i="2"/>
  <c r="R32" i="2"/>
  <c r="R33" i="2"/>
  <c r="R34" i="2"/>
  <c r="Q24" i="2"/>
  <c r="Q25" i="2"/>
  <c r="Q26" i="2"/>
  <c r="Q27" i="2"/>
  <c r="Q28" i="2"/>
  <c r="Q29" i="2"/>
  <c r="Q30" i="2"/>
  <c r="Q31" i="2"/>
  <c r="Q32" i="2"/>
  <c r="Q33" i="2"/>
  <c r="Q34" i="2"/>
  <c r="Q23" i="2"/>
  <c r="CT23" i="2" s="1"/>
  <c r="CT24" i="2"/>
  <c r="CU26" i="2"/>
  <c r="CU27" i="2"/>
  <c r="CU28" i="2"/>
  <c r="P24" i="2"/>
  <c r="P25" i="2"/>
  <c r="P26" i="2"/>
  <c r="P27" i="2"/>
  <c r="P28" i="2"/>
  <c r="P29" i="2"/>
  <c r="P30" i="2"/>
  <c r="P31" i="2"/>
  <c r="P32" i="2"/>
  <c r="P33" i="2"/>
  <c r="P34" i="2"/>
  <c r="P23" i="2"/>
  <c r="D12" i="7" l="1"/>
  <c r="D14" i="7"/>
  <c r="D15" i="7"/>
  <c r="D13" i="7"/>
  <c r="G5" i="5"/>
  <c r="E4" i="5"/>
  <c r="F4" i="5"/>
  <c r="C4" i="5"/>
  <c r="G4" i="5" s="1"/>
  <c r="AL64" i="5"/>
  <c r="AM70" i="5"/>
  <c r="AK72" i="5"/>
  <c r="AM64" i="5"/>
  <c r="AP64" i="5" s="1"/>
  <c r="AX64" i="5" s="1"/>
  <c r="AK66" i="5"/>
  <c r="AP66" i="5" s="1"/>
  <c r="AX66" i="5" s="1"/>
  <c r="AN70" i="5"/>
  <c r="AX70" i="5" s="1"/>
  <c r="AL72" i="5"/>
  <c r="AP72" i="5" s="1"/>
  <c r="AX72" i="5" s="1"/>
  <c r="AL66" i="5"/>
  <c r="AM72" i="5"/>
  <c r="AM66" i="5"/>
  <c r="AK71" i="5"/>
  <c r="AP70" i="5"/>
  <c r="AK65" i="5"/>
  <c r="AL71" i="5"/>
  <c r="AL65" i="5"/>
  <c r="AM71" i="5"/>
  <c r="AM50" i="5"/>
  <c r="AP50" i="5" s="1"/>
  <c r="AX50" i="5" s="1"/>
  <c r="AK55" i="5"/>
  <c r="AN56" i="5"/>
  <c r="AK49" i="5"/>
  <c r="AN50" i="5"/>
  <c r="AL55" i="5"/>
  <c r="AL49" i="5"/>
  <c r="AM55" i="5"/>
  <c r="AK57" i="5"/>
  <c r="AM49" i="5"/>
  <c r="AK51" i="5"/>
  <c r="AL57" i="5"/>
  <c r="AL51" i="5"/>
  <c r="AM57" i="5"/>
  <c r="AM51" i="5"/>
  <c r="AK56" i="5"/>
  <c r="AM36" i="5"/>
  <c r="AK35" i="5"/>
  <c r="AN36" i="5"/>
  <c r="AL41" i="5"/>
  <c r="AP41" i="5" s="1"/>
  <c r="AX41" i="5" s="1"/>
  <c r="AL35" i="5"/>
  <c r="AM41" i="5"/>
  <c r="AM35" i="5"/>
  <c r="AK40" i="5"/>
  <c r="AP40" i="5" s="1"/>
  <c r="AK34" i="5"/>
  <c r="AP34" i="5" s="1"/>
  <c r="AP42" i="5"/>
  <c r="AX42" i="5" s="1"/>
  <c r="AK36" i="5"/>
  <c r="AK26" i="5"/>
  <c r="AN27" i="5"/>
  <c r="AP27" i="5" s="1"/>
  <c r="AX27" i="5" s="1"/>
  <c r="AK20" i="5"/>
  <c r="AP20" i="5" s="1"/>
  <c r="AL26" i="5"/>
  <c r="AP26" i="5" s="1"/>
  <c r="AX26" i="5" s="1"/>
  <c r="AM26" i="5"/>
  <c r="AK19" i="5"/>
  <c r="AP19" i="5" s="1"/>
  <c r="AL25" i="5"/>
  <c r="AP25" i="5" s="1"/>
  <c r="AX25" i="5" s="1"/>
  <c r="AN10" i="5"/>
  <c r="AL12" i="5"/>
  <c r="AP12" i="5" s="1"/>
  <c r="AN5" i="5"/>
  <c r="AP10" i="5"/>
  <c r="AX10" i="5" s="1"/>
  <c r="AM12" i="5"/>
  <c r="AX12" i="5" s="1"/>
  <c r="AM5" i="5"/>
  <c r="AK11" i="5"/>
  <c r="AN12" i="5"/>
  <c r="AK4" i="5"/>
  <c r="AL5" i="5"/>
  <c r="AP5" i="5" s="1"/>
  <c r="AX5" i="5" s="1"/>
  <c r="AL11" i="5"/>
  <c r="AL4" i="5"/>
  <c r="AP4" i="5" s="1"/>
  <c r="AX4" i="5" s="1"/>
  <c r="AN6" i="5"/>
  <c r="AM11" i="5"/>
  <c r="AP21" i="5"/>
  <c r="AX21" i="5" s="1"/>
  <c r="AG57" i="5"/>
  <c r="AG4" i="5"/>
  <c r="AG12" i="5"/>
  <c r="AG40" i="5"/>
  <c r="AG50" i="5"/>
  <c r="AG41" i="5"/>
  <c r="AG51" i="5"/>
  <c r="AG6" i="5"/>
  <c r="AG34" i="5"/>
  <c r="AG42" i="5"/>
  <c r="AG70" i="5"/>
  <c r="AG5" i="5"/>
  <c r="AG25" i="5"/>
  <c r="AG35" i="5"/>
  <c r="AG71" i="5"/>
  <c r="AG11" i="5"/>
  <c r="AG26" i="5"/>
  <c r="AG36" i="5"/>
  <c r="AG72" i="5"/>
  <c r="AG64" i="5"/>
  <c r="AG19" i="5"/>
  <c r="AG27" i="5"/>
  <c r="AG55" i="5"/>
  <c r="AG65" i="5"/>
  <c r="AG21" i="5"/>
  <c r="AG10" i="5"/>
  <c r="AG20" i="5"/>
  <c r="AG56" i="5"/>
  <c r="P72" i="5"/>
  <c r="P65" i="5"/>
  <c r="P70" i="5"/>
  <c r="P71" i="5"/>
  <c r="P66" i="5"/>
  <c r="P64" i="5"/>
  <c r="P55" i="5"/>
  <c r="P56" i="5"/>
  <c r="P49" i="5"/>
  <c r="P57" i="5"/>
  <c r="P50" i="5"/>
  <c r="P40" i="5"/>
  <c r="P34" i="5"/>
  <c r="P42" i="5"/>
  <c r="P35" i="5"/>
  <c r="P36" i="5"/>
  <c r="P27" i="5"/>
  <c r="P20" i="5"/>
  <c r="P21" i="5"/>
  <c r="P25" i="5"/>
  <c r="P26" i="5"/>
  <c r="P12" i="5"/>
  <c r="P10" i="5"/>
  <c r="P11" i="5"/>
  <c r="P6" i="5"/>
  <c r="P5" i="5"/>
  <c r="DT38" i="2"/>
  <c r="DT50" i="2"/>
  <c r="DT51" i="2" s="1"/>
  <c r="DT44" i="2"/>
  <c r="DT45" i="2"/>
  <c r="EH50" i="2"/>
  <c r="DF50" i="2"/>
  <c r="DF38" i="2"/>
  <c r="DF47" i="2"/>
  <c r="DF48" i="2"/>
  <c r="DF46" i="2"/>
  <c r="EH38" i="2"/>
  <c r="CT27" i="2"/>
  <c r="CT25" i="2"/>
  <c r="AD25" i="2"/>
  <c r="I21" i="7" l="1"/>
  <c r="P4" i="5"/>
  <c r="AP71" i="5"/>
  <c r="AX71" i="5" s="1"/>
  <c r="AP65" i="5"/>
  <c r="AX65" i="5" s="1"/>
  <c r="AP49" i="5"/>
  <c r="AX49" i="5" s="1"/>
  <c r="AP51" i="5"/>
  <c r="AX51" i="5" s="1"/>
  <c r="AP55" i="5"/>
  <c r="AX55" i="5" s="1"/>
  <c r="AP57" i="5"/>
  <c r="AX57" i="5" s="1"/>
  <c r="AP56" i="5"/>
  <c r="AX56" i="5" s="1"/>
  <c r="AP36" i="5"/>
  <c r="AX36" i="5" s="1"/>
  <c r="AX34" i="5"/>
  <c r="AX40" i="5"/>
  <c r="AP35" i="5"/>
  <c r="AX35" i="5" s="1"/>
  <c r="AX19" i="5"/>
  <c r="AX20" i="5"/>
  <c r="AP6" i="5"/>
  <c r="AX6" i="5" s="1"/>
  <c r="AP11" i="5"/>
  <c r="AX11" i="5" s="1"/>
  <c r="CT26" i="2"/>
  <c r="CT29" i="2"/>
  <c r="P21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V8" i="2"/>
  <c r="DW8" i="2"/>
  <c r="DX8" i="2"/>
  <c r="DY8" i="2"/>
  <c r="DZ8" i="2"/>
  <c r="EA8" i="2"/>
  <c r="EB8" i="2"/>
  <c r="EC8" i="2"/>
  <c r="ED8" i="2"/>
  <c r="EE8" i="2"/>
  <c r="EF8" i="2"/>
  <c r="EG8" i="2"/>
  <c r="DV9" i="2"/>
  <c r="DW9" i="2"/>
  <c r="DX9" i="2"/>
  <c r="DY9" i="2"/>
  <c r="DZ9" i="2"/>
  <c r="EA9" i="2"/>
  <c r="EB9" i="2"/>
  <c r="EC9" i="2"/>
  <c r="ED9" i="2"/>
  <c r="EE9" i="2"/>
  <c r="EF9" i="2"/>
  <c r="EG9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DU19" i="2"/>
  <c r="DU18" i="2"/>
  <c r="DU17" i="2"/>
  <c r="DU16" i="2"/>
  <c r="DU15" i="2"/>
  <c r="DU14" i="2"/>
  <c r="DU13" i="2"/>
  <c r="DU12" i="2"/>
  <c r="DU9" i="2"/>
  <c r="DU10" i="2"/>
  <c r="DU11" i="2"/>
  <c r="DU8" i="2"/>
  <c r="DS34" i="2"/>
  <c r="DR34" i="2"/>
  <c r="DQ34" i="2"/>
  <c r="DP34" i="2"/>
  <c r="DO34" i="2"/>
  <c r="DN34" i="2"/>
  <c r="DM34" i="2"/>
  <c r="DL34" i="2"/>
  <c r="DT34" i="2" s="1"/>
  <c r="DK34" i="2"/>
  <c r="DJ34" i="2"/>
  <c r="DI34" i="2"/>
  <c r="DH34" i="2"/>
  <c r="DG34" i="2"/>
  <c r="DS33" i="2"/>
  <c r="DR33" i="2"/>
  <c r="DQ33" i="2"/>
  <c r="DP33" i="2"/>
  <c r="DO33" i="2"/>
  <c r="DN33" i="2"/>
  <c r="DM33" i="2"/>
  <c r="DL33" i="2"/>
  <c r="DK33" i="2"/>
  <c r="DJ33" i="2"/>
  <c r="DI33" i="2"/>
  <c r="DT33" i="2" s="1"/>
  <c r="DH33" i="2"/>
  <c r="DG33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T32" i="2" s="1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S28" i="2"/>
  <c r="DR28" i="2"/>
  <c r="DQ28" i="2"/>
  <c r="DP28" i="2"/>
  <c r="DO28" i="2"/>
  <c r="DN28" i="2"/>
  <c r="DM28" i="2"/>
  <c r="DL28" i="2"/>
  <c r="DK28" i="2"/>
  <c r="DJ28" i="2"/>
  <c r="DT28" i="2" s="1"/>
  <c r="DI28" i="2"/>
  <c r="DH28" i="2"/>
  <c r="DG28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T27" i="2" s="1"/>
  <c r="DS26" i="2"/>
  <c r="DR26" i="2"/>
  <c r="DQ26" i="2"/>
  <c r="DP26" i="2"/>
  <c r="DO26" i="2"/>
  <c r="DN26" i="2"/>
  <c r="DM26" i="2"/>
  <c r="DL26" i="2"/>
  <c r="DT26" i="2" s="1"/>
  <c r="DK26" i="2"/>
  <c r="DJ26" i="2"/>
  <c r="DI26" i="2"/>
  <c r="DH26" i="2"/>
  <c r="DG26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H8" i="2"/>
  <c r="DI8" i="2"/>
  <c r="DJ8" i="2"/>
  <c r="DK8" i="2"/>
  <c r="DL8" i="2"/>
  <c r="DM8" i="2"/>
  <c r="DN8" i="2"/>
  <c r="DO8" i="2"/>
  <c r="DP8" i="2"/>
  <c r="DQ8" i="2"/>
  <c r="DR8" i="2"/>
  <c r="DS8" i="2"/>
  <c r="DH9" i="2"/>
  <c r="DI9" i="2"/>
  <c r="DJ9" i="2"/>
  <c r="DK9" i="2"/>
  <c r="DL9" i="2"/>
  <c r="DM9" i="2"/>
  <c r="DN9" i="2"/>
  <c r="DO9" i="2"/>
  <c r="DP9" i="2"/>
  <c r="DQ9" i="2"/>
  <c r="DR9" i="2"/>
  <c r="DS9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H11" i="2"/>
  <c r="DI11" i="2"/>
  <c r="DJ11" i="2"/>
  <c r="DK11" i="2"/>
  <c r="DT11" i="2" s="1"/>
  <c r="DL11" i="2"/>
  <c r="DM11" i="2"/>
  <c r="DN11" i="2"/>
  <c r="DO11" i="2"/>
  <c r="DP11" i="2"/>
  <c r="DQ11" i="2"/>
  <c r="DR11" i="2"/>
  <c r="DS11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H18" i="2"/>
  <c r="DI18" i="2"/>
  <c r="DJ18" i="2"/>
  <c r="DK18" i="2"/>
  <c r="DL18" i="2"/>
  <c r="DM18" i="2"/>
  <c r="DN18" i="2"/>
  <c r="DT18" i="2" s="1"/>
  <c r="DO18" i="2"/>
  <c r="DP18" i="2"/>
  <c r="DQ18" i="2"/>
  <c r="DR18" i="2"/>
  <c r="DS18" i="2"/>
  <c r="DH19" i="2"/>
  <c r="DI19" i="2"/>
  <c r="DT19" i="2" s="1"/>
  <c r="DJ19" i="2"/>
  <c r="DK19" i="2"/>
  <c r="DL19" i="2"/>
  <c r="DM19" i="2"/>
  <c r="DN19" i="2"/>
  <c r="DO19" i="2"/>
  <c r="DP19" i="2"/>
  <c r="DQ19" i="2"/>
  <c r="DR19" i="2"/>
  <c r="DS19" i="2"/>
  <c r="DG19" i="2"/>
  <c r="DG18" i="2"/>
  <c r="DG17" i="2"/>
  <c r="DG16" i="2"/>
  <c r="DG15" i="2"/>
  <c r="DG14" i="2"/>
  <c r="DG13" i="2"/>
  <c r="DG12" i="2"/>
  <c r="DT12" i="2" s="1"/>
  <c r="DG9" i="2"/>
  <c r="DG10" i="2"/>
  <c r="DG11" i="2"/>
  <c r="DG8" i="2"/>
  <c r="DT10" i="2"/>
  <c r="DE19" i="2"/>
  <c r="DE18" i="2"/>
  <c r="DE17" i="2"/>
  <c r="DE16" i="2"/>
  <c r="DE15" i="2"/>
  <c r="DE14" i="2"/>
  <c r="DE13" i="2"/>
  <c r="DE12" i="2"/>
  <c r="DE11" i="2"/>
  <c r="DE10" i="2"/>
  <c r="DE9" i="2"/>
  <c r="DE8" i="2"/>
  <c r="CX30" i="2"/>
  <c r="CU34" i="2"/>
  <c r="CS34" i="2"/>
  <c r="DD33" i="2"/>
  <c r="CS33" i="2"/>
  <c r="DD32" i="2"/>
  <c r="CU32" i="2"/>
  <c r="CS32" i="2"/>
  <c r="DD31" i="2"/>
  <c r="DC31" i="2"/>
  <c r="DB31" i="2"/>
  <c r="DA31" i="2"/>
  <c r="CZ31" i="2"/>
  <c r="CY31" i="2"/>
  <c r="CX31" i="2"/>
  <c r="DD30" i="2"/>
  <c r="DC30" i="2"/>
  <c r="DB30" i="2"/>
  <c r="DA30" i="2"/>
  <c r="CZ30" i="2"/>
  <c r="CY30" i="2"/>
  <c r="DD29" i="2"/>
  <c r="DC29" i="2"/>
  <c r="DB29" i="2"/>
  <c r="DA29" i="2"/>
  <c r="CZ29" i="2"/>
  <c r="CY29" i="2"/>
  <c r="CX29" i="2"/>
  <c r="CS28" i="2"/>
  <c r="DD27" i="2"/>
  <c r="CS27" i="2"/>
  <c r="DD26" i="2"/>
  <c r="CS26" i="2"/>
  <c r="DD25" i="2"/>
  <c r="DC25" i="2"/>
  <c r="DB25" i="2"/>
  <c r="DA25" i="2"/>
  <c r="CZ25" i="2"/>
  <c r="DD24" i="2"/>
  <c r="DC24" i="2"/>
  <c r="DB24" i="2"/>
  <c r="DA24" i="2"/>
  <c r="CZ24" i="2"/>
  <c r="DD23" i="2"/>
  <c r="DC23" i="2"/>
  <c r="DB23" i="2"/>
  <c r="DA23" i="2"/>
  <c r="CZ23" i="2"/>
  <c r="DB8" i="2"/>
  <c r="DC8" i="2"/>
  <c r="DD8" i="2"/>
  <c r="DB9" i="2"/>
  <c r="DC9" i="2"/>
  <c r="DD9" i="2"/>
  <c r="DB10" i="2"/>
  <c r="DC10" i="2"/>
  <c r="DD10" i="2"/>
  <c r="DB11" i="2"/>
  <c r="DC11" i="2"/>
  <c r="DD11" i="2"/>
  <c r="CX12" i="2"/>
  <c r="CX13" i="2"/>
  <c r="CX14" i="2"/>
  <c r="CY14" i="2"/>
  <c r="CZ14" i="2"/>
  <c r="DA14" i="2"/>
  <c r="DB14" i="2"/>
  <c r="DC14" i="2"/>
  <c r="DD14" i="2"/>
  <c r="CX15" i="2"/>
  <c r="CY15" i="2"/>
  <c r="CZ15" i="2"/>
  <c r="DA15" i="2"/>
  <c r="DB15" i="2"/>
  <c r="DC15" i="2"/>
  <c r="DD15" i="2"/>
  <c r="CX16" i="2"/>
  <c r="CY16" i="2"/>
  <c r="CZ16" i="2"/>
  <c r="DA16" i="2"/>
  <c r="DB16" i="2"/>
  <c r="DC16" i="2"/>
  <c r="DD16" i="2"/>
  <c r="CX18" i="2"/>
  <c r="CX19" i="2"/>
  <c r="CQ67" i="2"/>
  <c r="CQ60" i="2"/>
  <c r="CQ66" i="2" s="1"/>
  <c r="BP21" i="2"/>
  <c r="BP6" i="2"/>
  <c r="BP36" i="2"/>
  <c r="AP21" i="2"/>
  <c r="AP6" i="2"/>
  <c r="AP36" i="2"/>
  <c r="P6" i="2"/>
  <c r="P36" i="2"/>
  <c r="J3" i="4"/>
  <c r="I3" i="4"/>
  <c r="G14" i="4"/>
  <c r="H14" i="4"/>
  <c r="D14" i="4"/>
  <c r="N21" i="4"/>
  <c r="N22" i="4"/>
  <c r="N20" i="4"/>
  <c r="N27" i="4"/>
  <c r="N28" i="4"/>
  <c r="N26" i="4"/>
  <c r="H22" i="3"/>
  <c r="M4" i="3"/>
  <c r="M5" i="3"/>
  <c r="M3" i="3"/>
  <c r="L5" i="3"/>
  <c r="L4" i="3"/>
  <c r="L3" i="3"/>
  <c r="I5" i="3"/>
  <c r="I6" i="3"/>
  <c r="I4" i="3"/>
  <c r="I13" i="3"/>
  <c r="I12" i="3"/>
  <c r="M8" i="4"/>
  <c r="M6" i="4"/>
  <c r="M5" i="4"/>
  <c r="K5" i="4"/>
  <c r="CT28" i="2" l="1"/>
  <c r="CT31" i="2"/>
  <c r="DT17" i="2"/>
  <c r="DT13" i="2"/>
  <c r="DT9" i="2"/>
  <c r="DT16" i="2"/>
  <c r="DT15" i="2"/>
  <c r="DT14" i="2"/>
  <c r="DT20" i="2"/>
  <c r="DT8" i="2"/>
  <c r="DB17" i="2"/>
  <c r="O3" i="3"/>
  <c r="O4" i="3"/>
  <c r="P4" i="3" s="1"/>
  <c r="O5" i="3"/>
  <c r="P5" i="3" s="1"/>
  <c r="Q5" i="3" s="1"/>
  <c r="I40" i="2" s="1"/>
  <c r="O6" i="3"/>
  <c r="P6" i="3" s="1"/>
  <c r="CT30" i="2" l="1"/>
  <c r="DC17" i="2"/>
  <c r="DD17" i="2"/>
  <c r="K22" i="4"/>
  <c r="I10" i="2"/>
  <c r="I25" i="2" s="1"/>
  <c r="O8" i="3"/>
  <c r="P8" i="3" s="1"/>
  <c r="Q8" i="3" s="1"/>
  <c r="P3" i="3"/>
  <c r="Q3" i="3" s="1"/>
  <c r="I38" i="2" s="1"/>
  <c r="Q6" i="3"/>
  <c r="I41" i="2" s="1"/>
  <c r="I47" i="2"/>
  <c r="Q4" i="3"/>
  <c r="I39" i="2" s="1"/>
  <c r="I45" i="2"/>
  <c r="I44" i="2"/>
  <c r="I46" i="2"/>
  <c r="F67" i="2"/>
  <c r="I56" i="2" s="1"/>
  <c r="F60" i="2"/>
  <c r="F66" i="2" s="1"/>
  <c r="CT32" i="2" l="1"/>
  <c r="I16" i="2"/>
  <c r="I31" i="2" s="1"/>
  <c r="K28" i="4"/>
  <c r="I48" i="2"/>
  <c r="I14" i="2"/>
  <c r="I29" i="2" s="1"/>
  <c r="K26" i="4"/>
  <c r="I43" i="2"/>
  <c r="I9" i="2"/>
  <c r="I24" i="2" s="1"/>
  <c r="K21" i="4"/>
  <c r="N47" i="2"/>
  <c r="I17" i="2"/>
  <c r="I32" i="2" s="1"/>
  <c r="O47" i="2"/>
  <c r="M47" i="2"/>
  <c r="M17" i="2" s="1"/>
  <c r="M32" i="2" s="1"/>
  <c r="K29" i="4"/>
  <c r="I49" i="2"/>
  <c r="K27" i="4"/>
  <c r="I15" i="2"/>
  <c r="I30" i="2" s="1"/>
  <c r="K23" i="4"/>
  <c r="I11" i="2"/>
  <c r="I26" i="2" s="1"/>
  <c r="N41" i="2"/>
  <c r="O41" i="2"/>
  <c r="M41" i="2"/>
  <c r="I42" i="2"/>
  <c r="N4" i="2"/>
  <c r="N43" i="2" s="1"/>
  <c r="O4" i="2"/>
  <c r="O43" i="2" s="1"/>
  <c r="M4" i="2"/>
  <c r="M49" i="2" s="1"/>
  <c r="M19" i="2" s="1"/>
  <c r="K20" i="4"/>
  <c r="O26" i="4" s="1"/>
  <c r="I8" i="2"/>
  <c r="I23" i="2" s="1"/>
  <c r="I64" i="2"/>
  <c r="I55" i="2"/>
  <c r="I57" i="2"/>
  <c r="I58" i="2"/>
  <c r="I63" i="2"/>
  <c r="K8" i="1"/>
  <c r="CT34" i="2" l="1"/>
  <c r="W32" i="2"/>
  <c r="V32" i="2"/>
  <c r="U32" i="2"/>
  <c r="X32" i="2"/>
  <c r="Y32" i="2"/>
  <c r="DB32" i="2" s="1"/>
  <c r="Z32" i="2"/>
  <c r="DC32" i="2" s="1"/>
  <c r="M34" i="2"/>
  <c r="V19" i="2"/>
  <c r="M43" i="2"/>
  <c r="O11" i="2"/>
  <c r="N17" i="2"/>
  <c r="O13" i="2"/>
  <c r="N11" i="2"/>
  <c r="O17" i="2"/>
  <c r="N13" i="2"/>
  <c r="N49" i="2"/>
  <c r="J20" i="4"/>
  <c r="J28" i="4"/>
  <c r="J22" i="4"/>
  <c r="J21" i="4"/>
  <c r="J27" i="4"/>
  <c r="J26" i="4"/>
  <c r="K25" i="4"/>
  <c r="I13" i="2"/>
  <c r="I28" i="2" s="1"/>
  <c r="O42" i="2"/>
  <c r="M42" i="2"/>
  <c r="K24" i="4"/>
  <c r="I12" i="2"/>
  <c r="I27" i="2" s="1"/>
  <c r="N42" i="2"/>
  <c r="O49" i="2"/>
  <c r="M11" i="2"/>
  <c r="K30" i="4"/>
  <c r="O48" i="2"/>
  <c r="I18" i="2"/>
  <c r="I33" i="2" s="1"/>
  <c r="N48" i="2"/>
  <c r="M48" i="2"/>
  <c r="M18" i="2" s="1"/>
  <c r="I19" i="2"/>
  <c r="I34" i="2" s="1"/>
  <c r="K31" i="4"/>
  <c r="I66" i="2"/>
  <c r="Q50" i="1"/>
  <c r="P50" i="1"/>
  <c r="O50" i="1"/>
  <c r="N50" i="1"/>
  <c r="M50" i="1"/>
  <c r="L50" i="1"/>
  <c r="K50" i="1"/>
  <c r="J50" i="1"/>
  <c r="I50" i="1"/>
  <c r="H50" i="1"/>
  <c r="R50" i="1" s="1"/>
  <c r="R47" i="1"/>
  <c r="Q47" i="1"/>
  <c r="P47" i="1"/>
  <c r="O47" i="1"/>
  <c r="N47" i="1"/>
  <c r="M47" i="1"/>
  <c r="L47" i="1"/>
  <c r="K47" i="1"/>
  <c r="J47" i="1"/>
  <c r="I47" i="1"/>
  <c r="H47" i="1"/>
  <c r="W45" i="1"/>
  <c r="Z45" i="1" s="1"/>
  <c r="W42" i="1"/>
  <c r="Z42" i="1" s="1"/>
  <c r="Z43" i="1"/>
  <c r="Z40" i="1"/>
  <c r="J54" i="1"/>
  <c r="G54" i="1"/>
  <c r="V45" i="1"/>
  <c r="U45" i="1"/>
  <c r="T45" i="1"/>
  <c r="S45" i="1"/>
  <c r="Q43" i="1"/>
  <c r="P43" i="1"/>
  <c r="O43" i="1"/>
  <c r="N43" i="1"/>
  <c r="M43" i="1"/>
  <c r="L43" i="1"/>
  <c r="K43" i="1"/>
  <c r="J43" i="1"/>
  <c r="I43" i="1"/>
  <c r="H43" i="1"/>
  <c r="R43" i="1" s="1"/>
  <c r="R45" i="1" s="1"/>
  <c r="V42" i="1"/>
  <c r="U42" i="1"/>
  <c r="T42" i="1"/>
  <c r="S42" i="1"/>
  <c r="Q40" i="1"/>
  <c r="P40" i="1"/>
  <c r="O40" i="1"/>
  <c r="N40" i="1"/>
  <c r="M40" i="1"/>
  <c r="L40" i="1"/>
  <c r="K40" i="1"/>
  <c r="K54" i="1" s="1"/>
  <c r="J40" i="1"/>
  <c r="I40" i="1"/>
  <c r="I54" i="1" s="1"/>
  <c r="H40" i="1"/>
  <c r="R40" i="1" s="1"/>
  <c r="V59" i="1"/>
  <c r="W59" i="1"/>
  <c r="X59" i="1"/>
  <c r="V56" i="1"/>
  <c r="W56" i="1"/>
  <c r="X56" i="1"/>
  <c r="U59" i="1"/>
  <c r="U56" i="1"/>
  <c r="Z52" i="1"/>
  <c r="Z49" i="1"/>
  <c r="Z47" i="1"/>
  <c r="Z38" i="1"/>
  <c r="Z37" i="1"/>
  <c r="Z36" i="1"/>
  <c r="Z35" i="1"/>
  <c r="Z34" i="1"/>
  <c r="Z33" i="1"/>
  <c r="U60" i="1"/>
  <c r="V60" i="1"/>
  <c r="W60" i="1"/>
  <c r="X60" i="1"/>
  <c r="Y60" i="1"/>
  <c r="T60" i="1"/>
  <c r="O58" i="1"/>
  <c r="P58" i="1"/>
  <c r="P61" i="1" s="1"/>
  <c r="Q58" i="1"/>
  <c r="R58" i="1"/>
  <c r="S58" i="1"/>
  <c r="N58" i="1"/>
  <c r="I58" i="1"/>
  <c r="J58" i="1"/>
  <c r="J61" i="1" s="1"/>
  <c r="K58" i="1"/>
  <c r="L58" i="1"/>
  <c r="M58" i="1"/>
  <c r="H58" i="1"/>
  <c r="T58" i="1" s="1"/>
  <c r="O57" i="1"/>
  <c r="P57" i="1"/>
  <c r="Q57" i="1"/>
  <c r="R57" i="1"/>
  <c r="S57" i="1"/>
  <c r="N57" i="1"/>
  <c r="I55" i="1"/>
  <c r="J55" i="1"/>
  <c r="K55" i="1"/>
  <c r="L55" i="1"/>
  <c r="M55" i="1"/>
  <c r="H55" i="1"/>
  <c r="H61" i="1" s="1"/>
  <c r="G61" i="1"/>
  <c r="G32" i="1"/>
  <c r="G39" i="1"/>
  <c r="G25" i="1"/>
  <c r="K15" i="1"/>
  <c r="M11" i="1" s="1"/>
  <c r="K14" i="1"/>
  <c r="BW13" i="2" l="1"/>
  <c r="BX13" i="2"/>
  <c r="BY13" i="2"/>
  <c r="CA13" i="2"/>
  <c r="CB13" i="2"/>
  <c r="BZ13" i="2"/>
  <c r="AY13" i="2"/>
  <c r="AZ13" i="2"/>
  <c r="AW13" i="2"/>
  <c r="BA13" i="2"/>
  <c r="AV13" i="2"/>
  <c r="AX13" i="2"/>
  <c r="Z34" i="2"/>
  <c r="Y34" i="2"/>
  <c r="X34" i="2"/>
  <c r="W34" i="2"/>
  <c r="V34" i="2"/>
  <c r="CY34" i="2" s="1"/>
  <c r="U34" i="2"/>
  <c r="CX34" i="2" s="1"/>
  <c r="M33" i="2"/>
  <c r="V18" i="2"/>
  <c r="W19" i="2"/>
  <c r="X19" i="2" s="1"/>
  <c r="Y19" i="2" s="1"/>
  <c r="CY19" i="2"/>
  <c r="O19" i="2"/>
  <c r="N26" i="2"/>
  <c r="N32" i="2"/>
  <c r="N12" i="2"/>
  <c r="O32" i="2"/>
  <c r="O28" i="2"/>
  <c r="O26" i="2"/>
  <c r="N18" i="2"/>
  <c r="O18" i="2"/>
  <c r="N19" i="2"/>
  <c r="N28" i="2"/>
  <c r="O12" i="2"/>
  <c r="CU33" i="2"/>
  <c r="CT33" i="2"/>
  <c r="H45" i="2"/>
  <c r="K45" i="2"/>
  <c r="K15" i="2" s="1"/>
  <c r="K30" i="2" s="1"/>
  <c r="L27" i="4"/>
  <c r="M12" i="2"/>
  <c r="K39" i="2"/>
  <c r="K9" i="2" s="1"/>
  <c r="K24" i="2" s="1"/>
  <c r="H39" i="2"/>
  <c r="H44" i="2"/>
  <c r="M26" i="4"/>
  <c r="K44" i="2" s="1"/>
  <c r="K14" i="2" s="1"/>
  <c r="K29" i="2" s="1"/>
  <c r="L26" i="4"/>
  <c r="M13" i="2"/>
  <c r="L22" i="4"/>
  <c r="H40" i="2"/>
  <c r="M22" i="4"/>
  <c r="K40" i="2" s="1"/>
  <c r="K10" i="2" s="1"/>
  <c r="K25" i="2" s="1"/>
  <c r="M26" i="2"/>
  <c r="H46" i="2"/>
  <c r="M28" i="4"/>
  <c r="K46" i="2" s="1"/>
  <c r="K16" i="2" s="1"/>
  <c r="K31" i="2" s="1"/>
  <c r="H38" i="2"/>
  <c r="M20" i="4"/>
  <c r="K38" i="2" s="1"/>
  <c r="K8" i="2" s="1"/>
  <c r="K23" i="2" s="1"/>
  <c r="L20" i="4"/>
  <c r="J33" i="4"/>
  <c r="Y59" i="1"/>
  <c r="Y56" i="1"/>
  <c r="R42" i="1"/>
  <c r="S54" i="1"/>
  <c r="L54" i="1"/>
  <c r="T54" i="1"/>
  <c r="M54" i="1"/>
  <c r="U54" i="1"/>
  <c r="N54" i="1"/>
  <c r="V54" i="1"/>
  <c r="O54" i="1"/>
  <c r="H54" i="1"/>
  <c r="P54" i="1"/>
  <c r="Q54" i="1"/>
  <c r="Z50" i="1"/>
  <c r="Z51" i="1"/>
  <c r="Y61" i="1"/>
  <c r="Z48" i="1"/>
  <c r="X61" i="1"/>
  <c r="W61" i="1"/>
  <c r="K61" i="1"/>
  <c r="S61" i="1"/>
  <c r="L61" i="1"/>
  <c r="T61" i="1"/>
  <c r="M61" i="1"/>
  <c r="U61" i="1"/>
  <c r="N61" i="1"/>
  <c r="V61" i="1"/>
  <c r="O61" i="1"/>
  <c r="I61" i="1"/>
  <c r="Q61" i="1"/>
  <c r="M12" i="1"/>
  <c r="V35" i="1"/>
  <c r="Y21" i="1"/>
  <c r="T35" i="1"/>
  <c r="U35" i="1"/>
  <c r="V21" i="1"/>
  <c r="U21" i="1" s="1"/>
  <c r="S35" i="1"/>
  <c r="S39" i="1" s="1"/>
  <c r="W21" i="1"/>
  <c r="X21" i="1"/>
  <c r="M3" i="1"/>
  <c r="X24" i="1"/>
  <c r="V38" i="1"/>
  <c r="V39" i="1" s="1"/>
  <c r="M6" i="1"/>
  <c r="W24" i="1"/>
  <c r="S38" i="1"/>
  <c r="M5" i="1"/>
  <c r="V24" i="1"/>
  <c r="U38" i="1"/>
  <c r="M4" i="1"/>
  <c r="T38" i="1"/>
  <c r="T39" i="1" s="1"/>
  <c r="Y24" i="1"/>
  <c r="X25" i="1"/>
  <c r="Y25" i="1"/>
  <c r="CB18" i="2" l="1"/>
  <c r="CA18" i="2"/>
  <c r="BZ18" i="2"/>
  <c r="BW18" i="2"/>
  <c r="BY18" i="2"/>
  <c r="BX18" i="2"/>
  <c r="CB19" i="2"/>
  <c r="BZ19" i="2"/>
  <c r="CA19" i="2"/>
  <c r="BY19" i="2"/>
  <c r="BW19" i="2"/>
  <c r="BX19" i="2"/>
  <c r="BX26" i="2"/>
  <c r="BW26" i="2"/>
  <c r="CA26" i="2"/>
  <c r="BY26" i="2"/>
  <c r="BZ26" i="2"/>
  <c r="BV26" i="2"/>
  <c r="BY28" i="2"/>
  <c r="BX28" i="2"/>
  <c r="BW28" i="2"/>
  <c r="BV28" i="2"/>
  <c r="CA28" i="2"/>
  <c r="BZ28" i="2"/>
  <c r="BW32" i="2"/>
  <c r="BX32" i="2"/>
  <c r="BV32" i="2"/>
  <c r="BY32" i="2"/>
  <c r="CA32" i="2"/>
  <c r="BZ32" i="2"/>
  <c r="BW12" i="2"/>
  <c r="CB12" i="2"/>
  <c r="BZ12" i="2"/>
  <c r="BY12" i="2"/>
  <c r="BX12" i="2"/>
  <c r="CA12" i="2"/>
  <c r="Z12" i="2"/>
  <c r="V12" i="2"/>
  <c r="CY12" i="2" s="1"/>
  <c r="Y12" i="2"/>
  <c r="AA12" i="2"/>
  <c r="X12" i="2"/>
  <c r="W12" i="2"/>
  <c r="W13" i="2"/>
  <c r="X13" i="2"/>
  <c r="Y13" i="2"/>
  <c r="V13" i="2"/>
  <c r="CY13" i="2" s="1"/>
  <c r="Z13" i="2"/>
  <c r="AA13" i="2"/>
  <c r="AW12" i="2"/>
  <c r="AX12" i="2"/>
  <c r="AY12" i="2"/>
  <c r="AZ12" i="2"/>
  <c r="AV12" i="2"/>
  <c r="BA12" i="2"/>
  <c r="Y33" i="2"/>
  <c r="DB33" i="2" s="1"/>
  <c r="X33" i="2"/>
  <c r="W33" i="2"/>
  <c r="CZ33" i="2" s="1"/>
  <c r="V33" i="2"/>
  <c r="CY33" i="2" s="1"/>
  <c r="U33" i="2"/>
  <c r="CX33" i="2" s="1"/>
  <c r="Z33" i="2"/>
  <c r="DC33" i="2" s="1"/>
  <c r="AZ32" i="2"/>
  <c r="AV32" i="2"/>
  <c r="AU32" i="2"/>
  <c r="AY32" i="2"/>
  <c r="AW32" i="2"/>
  <c r="AX32" i="2"/>
  <c r="AX19" i="2"/>
  <c r="AW19" i="2"/>
  <c r="AV19" i="2"/>
  <c r="AZ19" i="2"/>
  <c r="BA19" i="2"/>
  <c r="AY19" i="2"/>
  <c r="AX26" i="2"/>
  <c r="AW26" i="2"/>
  <c r="AY26" i="2"/>
  <c r="AV26" i="2"/>
  <c r="AU26" i="2"/>
  <c r="AZ26" i="2"/>
  <c r="AU28" i="2"/>
  <c r="AZ28" i="2"/>
  <c r="AY28" i="2"/>
  <c r="AX28" i="2"/>
  <c r="AW28" i="2"/>
  <c r="AV28" i="2"/>
  <c r="U26" i="2"/>
  <c r="Z26" i="2"/>
  <c r="DC26" i="2" s="1"/>
  <c r="V26" i="2"/>
  <c r="W26" i="2"/>
  <c r="X26" i="2"/>
  <c r="Y26" i="2"/>
  <c r="DB26" i="2" s="1"/>
  <c r="AV18" i="2"/>
  <c r="BA18" i="2"/>
  <c r="AW18" i="2"/>
  <c r="AZ18" i="2"/>
  <c r="AY18" i="2"/>
  <c r="AX18" i="2"/>
  <c r="DB34" i="2"/>
  <c r="Z19" i="2"/>
  <c r="DB19" i="2"/>
  <c r="W18" i="2"/>
  <c r="X18" i="2" s="1"/>
  <c r="Y18" i="2" s="1"/>
  <c r="CY18" i="2"/>
  <c r="BD49" i="2"/>
  <c r="O33" i="2"/>
  <c r="O34" i="2"/>
  <c r="CG42" i="2"/>
  <c r="CF48" i="2"/>
  <c r="BD48" i="2"/>
  <c r="CH49" i="2"/>
  <c r="CO34" i="2"/>
  <c r="CO26" i="2"/>
  <c r="CO18" i="2"/>
  <c r="CN13" i="2"/>
  <c r="CO49" i="2"/>
  <c r="CO47" i="2"/>
  <c r="CO43" i="2"/>
  <c r="CO41" i="2"/>
  <c r="BN28" i="2"/>
  <c r="BM18" i="2"/>
  <c r="BC42" i="2"/>
  <c r="CN34" i="2"/>
  <c r="CN26" i="2"/>
  <c r="CN18" i="2"/>
  <c r="CN49" i="2"/>
  <c r="CN47" i="2"/>
  <c r="CN43" i="2"/>
  <c r="CN41" i="2"/>
  <c r="BN33" i="2"/>
  <c r="BM28" i="2"/>
  <c r="BN12" i="2"/>
  <c r="BC49" i="2"/>
  <c r="BC41" i="2"/>
  <c r="CO28" i="2"/>
  <c r="CO12" i="2"/>
  <c r="CD49" i="2"/>
  <c r="CD47" i="2"/>
  <c r="CD43" i="2"/>
  <c r="CD41" i="2"/>
  <c r="BM33" i="2"/>
  <c r="BN17" i="2"/>
  <c r="BM12" i="2"/>
  <c r="BC48" i="2"/>
  <c r="CO33" i="2"/>
  <c r="CN28" i="2"/>
  <c r="CO17" i="2"/>
  <c r="CN12" i="2"/>
  <c r="BN27" i="2"/>
  <c r="BM17" i="2"/>
  <c r="BC47" i="2"/>
  <c r="CN33" i="2"/>
  <c r="CN17" i="2"/>
  <c r="CO48" i="2"/>
  <c r="CO42" i="2"/>
  <c r="CO38" i="2"/>
  <c r="BN32" i="2"/>
  <c r="BM27" i="2"/>
  <c r="BN19" i="2"/>
  <c r="BN11" i="2"/>
  <c r="BC38" i="2"/>
  <c r="CO27" i="2"/>
  <c r="CO19" i="2"/>
  <c r="CO11" i="2"/>
  <c r="CN48" i="2"/>
  <c r="CN42" i="2"/>
  <c r="CN38" i="2"/>
  <c r="BM32" i="2"/>
  <c r="BM19" i="2"/>
  <c r="BM11" i="2"/>
  <c r="CO32" i="2"/>
  <c r="CO13" i="2"/>
  <c r="CN32" i="2"/>
  <c r="BN13" i="2"/>
  <c r="BM13" i="2"/>
  <c r="CD38" i="2"/>
  <c r="CN11" i="2"/>
  <c r="CD42" i="2"/>
  <c r="BN26" i="2"/>
  <c r="BC43" i="2"/>
  <c r="CN27" i="2"/>
  <c r="BM26" i="2"/>
  <c r="BN18" i="2"/>
  <c r="CN19" i="2"/>
  <c r="CD48" i="2"/>
  <c r="BN34" i="2"/>
  <c r="BM34" i="2"/>
  <c r="CG41" i="2"/>
  <c r="BF47" i="2"/>
  <c r="CI43" i="2"/>
  <c r="BF41" i="2"/>
  <c r="CF47" i="2"/>
  <c r="BE43" i="2"/>
  <c r="BE47" i="2"/>
  <c r="CF41" i="2"/>
  <c r="BH47" i="2"/>
  <c r="CF43" i="2"/>
  <c r="BI41" i="2"/>
  <c r="CE47" i="2"/>
  <c r="BD43" i="2"/>
  <c r="CI41" i="2"/>
  <c r="CH43" i="2"/>
  <c r="BE41" i="2"/>
  <c r="CE41" i="2"/>
  <c r="BD47" i="2"/>
  <c r="CG43" i="2"/>
  <c r="BD41" i="2"/>
  <c r="BH43" i="2"/>
  <c r="BG47" i="2"/>
  <c r="BG41" i="2"/>
  <c r="CH41" i="2"/>
  <c r="CE43" i="2"/>
  <c r="BG43" i="2"/>
  <c r="BH41" i="2"/>
  <c r="BF43" i="2"/>
  <c r="BI47" i="2"/>
  <c r="CG47" i="2"/>
  <c r="CI47" i="2"/>
  <c r="BI43" i="2"/>
  <c r="CK43" i="2"/>
  <c r="CH47" i="2"/>
  <c r="CJ43" i="2"/>
  <c r="BJ43" i="2"/>
  <c r="CH42" i="2"/>
  <c r="BE49" i="2"/>
  <c r="CH48" i="2"/>
  <c r="BE48" i="2"/>
  <c r="BH42" i="2"/>
  <c r="CJ49" i="2"/>
  <c r="N34" i="2"/>
  <c r="BE42" i="2"/>
  <c r="CI42" i="2"/>
  <c r="BF49" i="2"/>
  <c r="BF48" i="2"/>
  <c r="BF42" i="2"/>
  <c r="CK49" i="2"/>
  <c r="CF42" i="2"/>
  <c r="BI42" i="2"/>
  <c r="CO45" i="2"/>
  <c r="CN45" i="2"/>
  <c r="CD45" i="2"/>
  <c r="BC45" i="2"/>
  <c r="CJ42" i="2"/>
  <c r="BG49" i="2"/>
  <c r="CI48" i="2"/>
  <c r="BI48" i="2"/>
  <c r="N27" i="2"/>
  <c r="CE49" i="2"/>
  <c r="BC40" i="2"/>
  <c r="CO40" i="2"/>
  <c r="CN40" i="2"/>
  <c r="CD40" i="2"/>
  <c r="CO46" i="2"/>
  <c r="BC46" i="2"/>
  <c r="CN46" i="2"/>
  <c r="CD46" i="2"/>
  <c r="BJ49" i="2"/>
  <c r="CJ48" i="2"/>
  <c r="BG48" i="2"/>
  <c r="CF49" i="2"/>
  <c r="CO39" i="2"/>
  <c r="CN39" i="2"/>
  <c r="CD39" i="2"/>
  <c r="BC39" i="2"/>
  <c r="O27" i="2"/>
  <c r="BI49" i="2"/>
  <c r="CG48" i="2"/>
  <c r="BH48" i="2"/>
  <c r="BG42" i="2"/>
  <c r="CI49" i="2"/>
  <c r="CO44" i="2"/>
  <c r="CN44" i="2"/>
  <c r="CD44" i="2"/>
  <c r="BC44" i="2"/>
  <c r="CE42" i="2"/>
  <c r="BH49" i="2"/>
  <c r="CE48" i="2"/>
  <c r="N33" i="2"/>
  <c r="BD42" i="2"/>
  <c r="CG49" i="2"/>
  <c r="AN27" i="2"/>
  <c r="AN32" i="2"/>
  <c r="AM32" i="2"/>
  <c r="AN34" i="2"/>
  <c r="AM34" i="2"/>
  <c r="AM26" i="2"/>
  <c r="AN28" i="2"/>
  <c r="AN33" i="2"/>
  <c r="AM28" i="2"/>
  <c r="AM33" i="2"/>
  <c r="AM27" i="2"/>
  <c r="AN26" i="2"/>
  <c r="P20" i="4"/>
  <c r="J38" i="2"/>
  <c r="L38" i="2" s="1"/>
  <c r="J39" i="2"/>
  <c r="L39" i="2" s="1"/>
  <c r="P21" i="4"/>
  <c r="M27" i="2"/>
  <c r="J46" i="2"/>
  <c r="L46" i="2" s="1"/>
  <c r="P28" i="4"/>
  <c r="AM19" i="2"/>
  <c r="AN11" i="2"/>
  <c r="AM11" i="2"/>
  <c r="AN13" i="2"/>
  <c r="AN18" i="2"/>
  <c r="AM13" i="2"/>
  <c r="AM18" i="2"/>
  <c r="AN12" i="2"/>
  <c r="AN17" i="2"/>
  <c r="AM12" i="2"/>
  <c r="AN19" i="2"/>
  <c r="AM17" i="2"/>
  <c r="AM42" i="2"/>
  <c r="AC38" i="2"/>
  <c r="AC42" i="2"/>
  <c r="AN41" i="2"/>
  <c r="AM47" i="2"/>
  <c r="AN43" i="2"/>
  <c r="AN49" i="2"/>
  <c r="AM41" i="2"/>
  <c r="AN47" i="2"/>
  <c r="AN38" i="2"/>
  <c r="AM48" i="2"/>
  <c r="AN48" i="2"/>
  <c r="AC41" i="2"/>
  <c r="AC49" i="2"/>
  <c r="AN42" i="2"/>
  <c r="AC47" i="2"/>
  <c r="AC43" i="2"/>
  <c r="AM49" i="2"/>
  <c r="AM43" i="2"/>
  <c r="AM38" i="2"/>
  <c r="AC48" i="2"/>
  <c r="J44" i="2"/>
  <c r="L44" i="2" s="1"/>
  <c r="P26" i="4"/>
  <c r="H16" i="2"/>
  <c r="AN46" i="2"/>
  <c r="AC46" i="2"/>
  <c r="AM46" i="2"/>
  <c r="AM40" i="2"/>
  <c r="AN40" i="2"/>
  <c r="H10" i="2"/>
  <c r="AC40" i="2"/>
  <c r="AM44" i="2"/>
  <c r="H14" i="2"/>
  <c r="AC44" i="2"/>
  <c r="AN44" i="2"/>
  <c r="P27" i="4"/>
  <c r="J45" i="2"/>
  <c r="L45" i="2" s="1"/>
  <c r="M28" i="2"/>
  <c r="J40" i="2"/>
  <c r="L40" i="2" s="1"/>
  <c r="P22" i="4"/>
  <c r="AM39" i="2"/>
  <c r="AN39" i="2"/>
  <c r="H9" i="2"/>
  <c r="AC39" i="2"/>
  <c r="H15" i="2"/>
  <c r="AM45" i="2"/>
  <c r="AN45" i="2"/>
  <c r="AC45" i="2"/>
  <c r="R54" i="1"/>
  <c r="R61" i="1"/>
  <c r="O29" i="1"/>
  <c r="N29" i="1"/>
  <c r="M29" i="1"/>
  <c r="L29" i="1"/>
  <c r="K29" i="1"/>
  <c r="J29" i="1"/>
  <c r="I29" i="1"/>
  <c r="P29" i="1"/>
  <c r="H29" i="1"/>
  <c r="Q29" i="1"/>
  <c r="L26" i="1"/>
  <c r="L32" i="1" s="1"/>
  <c r="K33" i="1"/>
  <c r="L33" i="1"/>
  <c r="J26" i="1"/>
  <c r="J32" i="1" s="1"/>
  <c r="M33" i="1"/>
  <c r="Q26" i="1"/>
  <c r="I26" i="1"/>
  <c r="I32" i="1" s="1"/>
  <c r="N33" i="1"/>
  <c r="P26" i="1"/>
  <c r="H26" i="1"/>
  <c r="O33" i="1"/>
  <c r="O26" i="1"/>
  <c r="H33" i="1"/>
  <c r="N26" i="1"/>
  <c r="Q33" i="1"/>
  <c r="J33" i="1"/>
  <c r="K26" i="1"/>
  <c r="P33" i="1"/>
  <c r="I33" i="1"/>
  <c r="R33" i="1" s="1"/>
  <c r="M26" i="1"/>
  <c r="M32" i="1" s="1"/>
  <c r="T27" i="1"/>
  <c r="S27" i="1"/>
  <c r="S32" i="1" s="1"/>
  <c r="U24" i="1"/>
  <c r="Z24" i="1" s="1"/>
  <c r="M14" i="1"/>
  <c r="W37" i="1"/>
  <c r="T30" i="1"/>
  <c r="S30" i="1"/>
  <c r="Z21" i="1"/>
  <c r="AA21" i="1"/>
  <c r="V25" i="1"/>
  <c r="L19" i="1"/>
  <c r="M19" i="1"/>
  <c r="N19" i="1"/>
  <c r="O19" i="1"/>
  <c r="I39" i="1"/>
  <c r="P19" i="1"/>
  <c r="I19" i="1"/>
  <c r="Q19" i="1"/>
  <c r="O39" i="1"/>
  <c r="J19" i="1"/>
  <c r="H19" i="1"/>
  <c r="K19" i="1"/>
  <c r="Y34" i="1"/>
  <c r="Y39" i="1" s="1"/>
  <c r="R3" i="1"/>
  <c r="T20" i="1"/>
  <c r="S20" i="1"/>
  <c r="X34" i="1"/>
  <c r="Y37" i="1"/>
  <c r="T23" i="1"/>
  <c r="X37" i="1"/>
  <c r="S23" i="1"/>
  <c r="K36" i="1"/>
  <c r="N22" i="1"/>
  <c r="J36" i="1"/>
  <c r="J39" i="1" s="1"/>
  <c r="O22" i="1"/>
  <c r="Q36" i="1"/>
  <c r="I36" i="1"/>
  <c r="P22" i="1"/>
  <c r="P36" i="1"/>
  <c r="H36" i="1"/>
  <c r="I22" i="1"/>
  <c r="Q22" i="1"/>
  <c r="O36" i="1"/>
  <c r="J22" i="1"/>
  <c r="H22" i="1"/>
  <c r="N36" i="1"/>
  <c r="K22" i="1"/>
  <c r="L36" i="1"/>
  <c r="L39" i="1" s="1"/>
  <c r="M22" i="1"/>
  <c r="M36" i="1"/>
  <c r="M39" i="1" s="1"/>
  <c r="L22" i="1"/>
  <c r="W25" i="1"/>
  <c r="U39" i="1"/>
  <c r="BW27" i="2" l="1"/>
  <c r="BV27" i="2"/>
  <c r="BY27" i="2"/>
  <c r="BX27" i="2"/>
  <c r="CA27" i="2"/>
  <c r="BZ27" i="2"/>
  <c r="BV34" i="2"/>
  <c r="BW34" i="2"/>
  <c r="BZ34" i="2"/>
  <c r="BX34" i="2"/>
  <c r="BY34" i="2"/>
  <c r="CA34" i="2"/>
  <c r="BZ33" i="2"/>
  <c r="CA33" i="2"/>
  <c r="BY33" i="2"/>
  <c r="BX33" i="2"/>
  <c r="BV33" i="2"/>
  <c r="BW33" i="2"/>
  <c r="AZ27" i="2"/>
  <c r="AY27" i="2"/>
  <c r="AX27" i="2"/>
  <c r="AW27" i="2"/>
  <c r="AV27" i="2"/>
  <c r="AU27" i="2"/>
  <c r="X27" i="2"/>
  <c r="DA27" i="2" s="1"/>
  <c r="Y27" i="2"/>
  <c r="DB27" i="2" s="1"/>
  <c r="W27" i="2"/>
  <c r="CZ27" i="2" s="1"/>
  <c r="Z27" i="2"/>
  <c r="DC27" i="2" s="1"/>
  <c r="U27" i="2"/>
  <c r="CX27" i="2" s="1"/>
  <c r="V28" i="2"/>
  <c r="CY28" i="2" s="1"/>
  <c r="U28" i="2"/>
  <c r="CX28" i="2" s="1"/>
  <c r="W28" i="2"/>
  <c r="X28" i="2"/>
  <c r="Y28" i="2"/>
  <c r="Z28" i="2"/>
  <c r="AV33" i="2"/>
  <c r="AW33" i="2"/>
  <c r="AX33" i="2"/>
  <c r="AY33" i="2"/>
  <c r="AZ33" i="2"/>
  <c r="AX34" i="2"/>
  <c r="AY34" i="2"/>
  <c r="AZ34" i="2"/>
  <c r="AW34" i="2"/>
  <c r="AU34" i="2"/>
  <c r="AV34" i="2"/>
  <c r="DB13" i="2"/>
  <c r="DB12" i="2"/>
  <c r="AA19" i="2"/>
  <c r="DD19" i="2" s="1"/>
  <c r="DC19" i="2"/>
  <c r="DD34" i="2"/>
  <c r="DC34" i="2"/>
  <c r="Z18" i="2"/>
  <c r="DB18" i="2"/>
  <c r="AU33" i="2"/>
  <c r="CO10" i="2"/>
  <c r="BM10" i="2"/>
  <c r="CN10" i="2"/>
  <c r="BN10" i="2"/>
  <c r="BN16" i="2"/>
  <c r="CN16" i="2"/>
  <c r="BM16" i="2"/>
  <c r="CO16" i="2"/>
  <c r="BN9" i="2"/>
  <c r="CO9" i="2"/>
  <c r="BM9" i="2"/>
  <c r="CN9" i="2"/>
  <c r="CO50" i="2"/>
  <c r="BN8" i="2"/>
  <c r="CO8" i="2"/>
  <c r="BM8" i="2"/>
  <c r="CN8" i="2"/>
  <c r="BC50" i="2"/>
  <c r="CN50" i="2"/>
  <c r="BN15" i="2"/>
  <c r="CO15" i="2"/>
  <c r="BM15" i="2"/>
  <c r="CN15" i="2"/>
  <c r="BN14" i="2"/>
  <c r="CO14" i="2"/>
  <c r="BM14" i="2"/>
  <c r="CN14" i="2"/>
  <c r="CD50" i="2"/>
  <c r="V27" i="2"/>
  <c r="CY27" i="2" s="1"/>
  <c r="H23" i="2"/>
  <c r="AN8" i="2"/>
  <c r="AM8" i="2"/>
  <c r="O40" i="2"/>
  <c r="M40" i="2"/>
  <c r="J10" i="2"/>
  <c r="N40" i="2"/>
  <c r="N10" i="2" s="1"/>
  <c r="J15" i="2"/>
  <c r="M45" i="2"/>
  <c r="O45" i="2"/>
  <c r="N45" i="2"/>
  <c r="N15" i="2" s="1"/>
  <c r="H25" i="2"/>
  <c r="AM10" i="2"/>
  <c r="AN10" i="2"/>
  <c r="H31" i="2"/>
  <c r="AN16" i="2"/>
  <c r="AM16" i="2"/>
  <c r="H30" i="2"/>
  <c r="AM15" i="2"/>
  <c r="AN15" i="2"/>
  <c r="J14" i="2"/>
  <c r="N44" i="2"/>
  <c r="N14" i="2" s="1"/>
  <c r="M44" i="2"/>
  <c r="O44" i="2"/>
  <c r="H24" i="2"/>
  <c r="AN9" i="2"/>
  <c r="AM9" i="2"/>
  <c r="AN50" i="2"/>
  <c r="J16" i="2"/>
  <c r="N46" i="2"/>
  <c r="O46" i="2"/>
  <c r="M46" i="2"/>
  <c r="O39" i="2"/>
  <c r="J9" i="2"/>
  <c r="M39" i="2"/>
  <c r="N39" i="2"/>
  <c r="N9" i="2" s="1"/>
  <c r="H29" i="2"/>
  <c r="AM14" i="2"/>
  <c r="AN14" i="2"/>
  <c r="AC50" i="2"/>
  <c r="AD47" i="2" s="1"/>
  <c r="N38" i="2"/>
  <c r="J8" i="2"/>
  <c r="M38" i="2"/>
  <c r="O38" i="2"/>
  <c r="AM50" i="2"/>
  <c r="R19" i="1"/>
  <c r="R20" i="1" s="1"/>
  <c r="U20" i="1" s="1"/>
  <c r="T32" i="1"/>
  <c r="N32" i="1"/>
  <c r="Q32" i="1"/>
  <c r="P25" i="1"/>
  <c r="R22" i="1"/>
  <c r="Z22" i="1" s="1"/>
  <c r="R36" i="1"/>
  <c r="R38" i="1" s="1"/>
  <c r="N39" i="1"/>
  <c r="O32" i="1"/>
  <c r="R29" i="1"/>
  <c r="Z29" i="1" s="1"/>
  <c r="R26" i="1"/>
  <c r="H32" i="1"/>
  <c r="Z26" i="1"/>
  <c r="X39" i="1"/>
  <c r="J25" i="1"/>
  <c r="M25" i="1"/>
  <c r="W34" i="1"/>
  <c r="K32" i="1"/>
  <c r="P32" i="1"/>
  <c r="W38" i="1"/>
  <c r="R35" i="1"/>
  <c r="R39" i="1" s="1"/>
  <c r="S25" i="1"/>
  <c r="Q39" i="1"/>
  <c r="L25" i="1"/>
  <c r="T25" i="1"/>
  <c r="Q25" i="1"/>
  <c r="I25" i="1"/>
  <c r="O25" i="1"/>
  <c r="H39" i="1"/>
  <c r="K25" i="1"/>
  <c r="P39" i="1"/>
  <c r="N25" i="1"/>
  <c r="H25" i="1"/>
  <c r="Z19" i="1"/>
  <c r="K39" i="1"/>
  <c r="CC27" i="2" l="1"/>
  <c r="DC12" i="2"/>
  <c r="DD12" i="2"/>
  <c r="DB28" i="2"/>
  <c r="AA18" i="2"/>
  <c r="DD18" i="2" s="1"/>
  <c r="DC18" i="2"/>
  <c r="DC13" i="2"/>
  <c r="DD13" i="2"/>
  <c r="J31" i="2"/>
  <c r="L31" i="2" s="1"/>
  <c r="L16" i="2"/>
  <c r="J29" i="2"/>
  <c r="L29" i="2" s="1"/>
  <c r="L14" i="2"/>
  <c r="J25" i="2"/>
  <c r="L25" i="2" s="1"/>
  <c r="L10" i="2"/>
  <c r="J23" i="2"/>
  <c r="L23" i="2" s="1"/>
  <c r="L8" i="2"/>
  <c r="J24" i="2"/>
  <c r="L24" i="2" s="1"/>
  <c r="L9" i="2"/>
  <c r="J30" i="2"/>
  <c r="L30" i="2" s="1"/>
  <c r="L15" i="2"/>
  <c r="AP38" i="2"/>
  <c r="BD38" i="2" s="1"/>
  <c r="AP40" i="2"/>
  <c r="BD40" i="2" s="1"/>
  <c r="CO20" i="2"/>
  <c r="BP38" i="2"/>
  <c r="CM27" i="2"/>
  <c r="AP39" i="2"/>
  <c r="BD39" i="2" s="1"/>
  <c r="BP45" i="2"/>
  <c r="BN24" i="2"/>
  <c r="BM24" i="2"/>
  <c r="CN24" i="2"/>
  <c r="CO24" i="2"/>
  <c r="BN30" i="2"/>
  <c r="BM30" i="2"/>
  <c r="CO30" i="2"/>
  <c r="CN30" i="2"/>
  <c r="BN25" i="2"/>
  <c r="BM25" i="2"/>
  <c r="CO25" i="2"/>
  <c r="CN25" i="2"/>
  <c r="O10" i="2"/>
  <c r="BP40" i="2"/>
  <c r="BP44" i="2"/>
  <c r="O9" i="2"/>
  <c r="BN20" i="2"/>
  <c r="O16" i="2"/>
  <c r="O14" i="2"/>
  <c r="N30" i="2"/>
  <c r="BJ15" i="2"/>
  <c r="BI15" i="2"/>
  <c r="BH15" i="2"/>
  <c r="BG15" i="2"/>
  <c r="BF15" i="2"/>
  <c r="BE15" i="2"/>
  <c r="BD15" i="2"/>
  <c r="BC15" i="2"/>
  <c r="BK15" i="2"/>
  <c r="BL27" i="2"/>
  <c r="BB27" i="2"/>
  <c r="AP45" i="2"/>
  <c r="N16" i="2"/>
  <c r="O15" i="2"/>
  <c r="AP46" i="2"/>
  <c r="O8" i="2"/>
  <c r="AP44" i="2"/>
  <c r="BP39" i="2"/>
  <c r="N24" i="2"/>
  <c r="BE9" i="2"/>
  <c r="BD9" i="2"/>
  <c r="BK9" i="2"/>
  <c r="BC9" i="2"/>
  <c r="BJ9" i="2"/>
  <c r="BI9" i="2"/>
  <c r="BH9" i="2"/>
  <c r="BG9" i="2"/>
  <c r="BF9" i="2"/>
  <c r="BM31" i="2"/>
  <c r="CO31" i="2"/>
  <c r="CN31" i="2"/>
  <c r="BN31" i="2"/>
  <c r="BM23" i="2"/>
  <c r="CO23" i="2"/>
  <c r="CN23" i="2"/>
  <c r="BN23" i="2"/>
  <c r="CN20" i="2"/>
  <c r="CN29" i="2"/>
  <c r="BN29" i="2"/>
  <c r="BM29" i="2"/>
  <c r="CO29" i="2"/>
  <c r="N25" i="2"/>
  <c r="BD10" i="2"/>
  <c r="BK10" i="2"/>
  <c r="BC10" i="2"/>
  <c r="BJ10" i="2"/>
  <c r="BI10" i="2"/>
  <c r="BH10" i="2"/>
  <c r="BG10" i="2"/>
  <c r="BF10" i="2"/>
  <c r="BE10" i="2"/>
  <c r="BM20" i="2"/>
  <c r="BP46" i="2"/>
  <c r="N29" i="2"/>
  <c r="BK14" i="2"/>
  <c r="BC14" i="2"/>
  <c r="BJ14" i="2"/>
  <c r="BI14" i="2"/>
  <c r="BH14" i="2"/>
  <c r="BG14" i="2"/>
  <c r="BF14" i="2"/>
  <c r="BE14" i="2"/>
  <c r="BD14" i="2"/>
  <c r="N8" i="2"/>
  <c r="AM29" i="2"/>
  <c r="AN29" i="2"/>
  <c r="AN31" i="2"/>
  <c r="AM31" i="2"/>
  <c r="AN23" i="2"/>
  <c r="AM23" i="2"/>
  <c r="P39" i="2"/>
  <c r="AD39" i="2" s="1"/>
  <c r="P38" i="2"/>
  <c r="AN24" i="2"/>
  <c r="AM24" i="2"/>
  <c r="AM30" i="2"/>
  <c r="AN30" i="2"/>
  <c r="AN25" i="2"/>
  <c r="AM25" i="2"/>
  <c r="P44" i="2"/>
  <c r="AD44" i="2" s="1"/>
  <c r="P46" i="2"/>
  <c r="AD46" i="2" s="1"/>
  <c r="P45" i="2"/>
  <c r="AD45" i="2" s="1"/>
  <c r="AM20" i="2"/>
  <c r="M9" i="2"/>
  <c r="AN20" i="2"/>
  <c r="AD49" i="2"/>
  <c r="M10" i="2"/>
  <c r="M14" i="2"/>
  <c r="M15" i="2"/>
  <c r="M8" i="2"/>
  <c r="AD48" i="2"/>
  <c r="M16" i="2"/>
  <c r="P40" i="2"/>
  <c r="AD40" i="2" s="1"/>
  <c r="R23" i="1"/>
  <c r="U23" i="1" s="1"/>
  <c r="Z23" i="1" s="1"/>
  <c r="R30" i="1"/>
  <c r="R27" i="1"/>
  <c r="W35" i="1"/>
  <c r="W39" i="1" s="1"/>
  <c r="Z20" i="1"/>
  <c r="CE46" i="2" l="1"/>
  <c r="CE45" i="2"/>
  <c r="CE44" i="2"/>
  <c r="CE39" i="2"/>
  <c r="CE40" i="2"/>
  <c r="CE38" i="2"/>
  <c r="DC28" i="2"/>
  <c r="DD28" i="2"/>
  <c r="BN35" i="2"/>
  <c r="CN35" i="2"/>
  <c r="BF30" i="2"/>
  <c r="BE30" i="2"/>
  <c r="BD30" i="2"/>
  <c r="BK30" i="2"/>
  <c r="BC30" i="2"/>
  <c r="BJ30" i="2"/>
  <c r="BI30" i="2"/>
  <c r="BH30" i="2"/>
  <c r="BG30" i="2"/>
  <c r="BG29" i="2"/>
  <c r="BF29" i="2"/>
  <c r="BE29" i="2"/>
  <c r="BD29" i="2"/>
  <c r="BK29" i="2"/>
  <c r="BC29" i="2"/>
  <c r="BJ29" i="2"/>
  <c r="BI29" i="2"/>
  <c r="BH29" i="2"/>
  <c r="N31" i="2"/>
  <c r="BI16" i="2"/>
  <c r="BH16" i="2"/>
  <c r="BG16" i="2"/>
  <c r="BF16" i="2"/>
  <c r="BE16" i="2"/>
  <c r="BD16" i="2"/>
  <c r="BK16" i="2"/>
  <c r="BC16" i="2"/>
  <c r="BJ16" i="2"/>
  <c r="BP50" i="2"/>
  <c r="BQ36" i="2" s="1"/>
  <c r="BD45" i="2"/>
  <c r="BD44" i="2"/>
  <c r="CO35" i="2"/>
  <c r="O23" i="2"/>
  <c r="CL8" i="2"/>
  <c r="CD8" i="2"/>
  <c r="CK8" i="2"/>
  <c r="CJ8" i="2"/>
  <c r="CI8" i="2"/>
  <c r="CH8" i="2"/>
  <c r="CG8" i="2"/>
  <c r="CE8" i="2"/>
  <c r="CF8" i="2"/>
  <c r="O31" i="2"/>
  <c r="CG16" i="2"/>
  <c r="CF16" i="2"/>
  <c r="CE16" i="2"/>
  <c r="CL16" i="2"/>
  <c r="CD16" i="2"/>
  <c r="CK16" i="2"/>
  <c r="CJ16" i="2"/>
  <c r="CI16" i="2"/>
  <c r="CH16" i="2"/>
  <c r="AP50" i="2"/>
  <c r="AQ36" i="2" s="1"/>
  <c r="BD46" i="2"/>
  <c r="O25" i="2"/>
  <c r="CJ10" i="2"/>
  <c r="CI10" i="2"/>
  <c r="CH10" i="2"/>
  <c r="CG10" i="2"/>
  <c r="CF10" i="2"/>
  <c r="CE10" i="2"/>
  <c r="CK10" i="2"/>
  <c r="CD10" i="2"/>
  <c r="CL10" i="2"/>
  <c r="BM35" i="2"/>
  <c r="O29" i="2"/>
  <c r="CI14" i="2"/>
  <c r="CH14" i="2"/>
  <c r="CG14" i="2"/>
  <c r="CF14" i="2"/>
  <c r="CE14" i="2"/>
  <c r="CL14" i="2"/>
  <c r="CD14" i="2"/>
  <c r="CJ14" i="2"/>
  <c r="CK14" i="2"/>
  <c r="N23" i="2"/>
  <c r="BF8" i="2"/>
  <c r="BE8" i="2"/>
  <c r="BD8" i="2"/>
  <c r="BK8" i="2"/>
  <c r="BC8" i="2"/>
  <c r="BJ8" i="2"/>
  <c r="BI8" i="2"/>
  <c r="BH8" i="2"/>
  <c r="BG8" i="2"/>
  <c r="BF25" i="2"/>
  <c r="BE25" i="2"/>
  <c r="BD25" i="2"/>
  <c r="BK25" i="2"/>
  <c r="BC25" i="2"/>
  <c r="AP25" i="2" s="1"/>
  <c r="BJ25" i="2"/>
  <c r="BI25" i="2"/>
  <c r="BH25" i="2"/>
  <c r="BG25" i="2"/>
  <c r="BG24" i="2"/>
  <c r="BF24" i="2"/>
  <c r="BE24" i="2"/>
  <c r="BD24" i="2"/>
  <c r="BK24" i="2"/>
  <c r="BC24" i="2"/>
  <c r="BJ24" i="2"/>
  <c r="BI24" i="2"/>
  <c r="BH24" i="2"/>
  <c r="O30" i="2"/>
  <c r="CH15" i="2"/>
  <c r="CG15" i="2"/>
  <c r="CF15" i="2"/>
  <c r="CE15" i="2"/>
  <c r="CL15" i="2"/>
  <c r="CD15" i="2"/>
  <c r="CK15" i="2"/>
  <c r="CJ15" i="2"/>
  <c r="CI15" i="2"/>
  <c r="O24" i="2"/>
  <c r="CK9" i="2"/>
  <c r="CJ9" i="2"/>
  <c r="CI9" i="2"/>
  <c r="CH9" i="2"/>
  <c r="CG9" i="2"/>
  <c r="CF9" i="2"/>
  <c r="CL9" i="2"/>
  <c r="CE9" i="2"/>
  <c r="CD9" i="2"/>
  <c r="P50" i="2"/>
  <c r="Q36" i="2" s="1"/>
  <c r="AM35" i="2"/>
  <c r="AN35" i="2"/>
  <c r="AD41" i="2"/>
  <c r="M29" i="2"/>
  <c r="AI14" i="2"/>
  <c r="AJ14" i="2"/>
  <c r="AK14" i="2"/>
  <c r="AD14" i="2"/>
  <c r="AF14" i="2"/>
  <c r="AC14" i="2"/>
  <c r="AG14" i="2"/>
  <c r="AE14" i="2"/>
  <c r="AH14" i="2"/>
  <c r="AD38" i="2"/>
  <c r="AD43" i="2"/>
  <c r="AD42" i="2"/>
  <c r="M30" i="2"/>
  <c r="AI15" i="2"/>
  <c r="AJ15" i="2"/>
  <c r="AK15" i="2"/>
  <c r="AD15" i="2"/>
  <c r="AE15" i="2"/>
  <c r="AF15" i="2"/>
  <c r="AG15" i="2"/>
  <c r="AC15" i="2"/>
  <c r="AH15" i="2"/>
  <c r="M23" i="2"/>
  <c r="AI8" i="2"/>
  <c r="AC8" i="2"/>
  <c r="AJ8" i="2"/>
  <c r="AK8" i="2"/>
  <c r="AD8" i="2"/>
  <c r="AF8" i="2"/>
  <c r="AG8" i="2"/>
  <c r="AH8" i="2"/>
  <c r="AE8" i="2"/>
  <c r="M31" i="2"/>
  <c r="AI16" i="2"/>
  <c r="AJ16" i="2"/>
  <c r="AE16" i="2"/>
  <c r="AK16" i="2"/>
  <c r="AD16" i="2"/>
  <c r="AF16" i="2"/>
  <c r="AG16" i="2"/>
  <c r="AH16" i="2"/>
  <c r="AC16" i="2"/>
  <c r="M25" i="2"/>
  <c r="AI10" i="2"/>
  <c r="AE10" i="2"/>
  <c r="AJ10" i="2"/>
  <c r="AK10" i="2"/>
  <c r="AD10" i="2"/>
  <c r="AF10" i="2"/>
  <c r="AC10" i="2"/>
  <c r="AG10" i="2"/>
  <c r="AH10" i="2"/>
  <c r="M24" i="2"/>
  <c r="AI9" i="2"/>
  <c r="AJ9" i="2"/>
  <c r="AK9" i="2"/>
  <c r="AE9" i="2"/>
  <c r="AD9" i="2"/>
  <c r="AC9" i="2"/>
  <c r="AF9" i="2"/>
  <c r="AG9" i="2"/>
  <c r="AH9" i="2"/>
  <c r="U25" i="1"/>
  <c r="Z27" i="1"/>
  <c r="U27" i="1"/>
  <c r="U30" i="1"/>
  <c r="Z30" i="1" s="1"/>
  <c r="R25" i="1"/>
  <c r="R32" i="1"/>
  <c r="R16" i="1"/>
  <c r="BE20" i="2" l="1"/>
  <c r="BG20" i="2"/>
  <c r="BI20" i="2"/>
  <c r="BH20" i="2"/>
  <c r="BF20" i="2"/>
  <c r="BJ20" i="2"/>
  <c r="BD20" i="2"/>
  <c r="BK20" i="2"/>
  <c r="CF20" i="2"/>
  <c r="CL20" i="2"/>
  <c r="CJ20" i="2"/>
  <c r="CD20" i="2"/>
  <c r="BP8" i="2" s="1"/>
  <c r="CK29" i="2"/>
  <c r="CJ29" i="2"/>
  <c r="CE29" i="2"/>
  <c r="CI29" i="2"/>
  <c r="CH29" i="2"/>
  <c r="CG29" i="2"/>
  <c r="CF29" i="2"/>
  <c r="CL29" i="2"/>
  <c r="CD29" i="2"/>
  <c r="BH23" i="2"/>
  <c r="BG23" i="2"/>
  <c r="BF23" i="2"/>
  <c r="BE23" i="2"/>
  <c r="BD23" i="2"/>
  <c r="BK23" i="2"/>
  <c r="BC23" i="2"/>
  <c r="BJ23" i="2"/>
  <c r="BI23" i="2"/>
  <c r="CL25" i="2"/>
  <c r="CD25" i="2"/>
  <c r="BP25" i="2" s="1"/>
  <c r="CF25" i="2"/>
  <c r="CK25" i="2"/>
  <c r="CJ25" i="2"/>
  <c r="CI25" i="2"/>
  <c r="CH25" i="2"/>
  <c r="CG25" i="2"/>
  <c r="CE25" i="2"/>
  <c r="CE20" i="2"/>
  <c r="CJ30" i="2"/>
  <c r="CI30" i="2"/>
  <c r="CH30" i="2"/>
  <c r="CL30" i="2"/>
  <c r="CG30" i="2"/>
  <c r="CF30" i="2"/>
  <c r="CE30" i="2"/>
  <c r="CD30" i="2"/>
  <c r="CK30" i="2"/>
  <c r="CF23" i="2"/>
  <c r="CE23" i="2"/>
  <c r="CL23" i="2"/>
  <c r="CD23" i="2"/>
  <c r="CH23" i="2"/>
  <c r="CK23" i="2"/>
  <c r="CJ23" i="2"/>
  <c r="CI23" i="2"/>
  <c r="CG23" i="2"/>
  <c r="CE24" i="2"/>
  <c r="CL24" i="2"/>
  <c r="CD24" i="2"/>
  <c r="CK24" i="2"/>
  <c r="CJ24" i="2"/>
  <c r="CG24" i="2"/>
  <c r="CI24" i="2"/>
  <c r="CH24" i="2"/>
  <c r="CF24" i="2"/>
  <c r="CG20" i="2"/>
  <c r="CH20" i="2"/>
  <c r="BC20" i="2"/>
  <c r="AP8" i="2" s="1"/>
  <c r="CI20" i="2"/>
  <c r="BE31" i="2"/>
  <c r="BD31" i="2"/>
  <c r="BK31" i="2"/>
  <c r="BC31" i="2"/>
  <c r="BJ31" i="2"/>
  <c r="BI31" i="2"/>
  <c r="BH31" i="2"/>
  <c r="BF31" i="2"/>
  <c r="BF35" i="2" s="1"/>
  <c r="BG31" i="2"/>
  <c r="BP14" i="2"/>
  <c r="CK20" i="2"/>
  <c r="CI31" i="2"/>
  <c r="CH31" i="2"/>
  <c r="CG31" i="2"/>
  <c r="CF31" i="2"/>
  <c r="CE31" i="2"/>
  <c r="CK31" i="2"/>
  <c r="CL31" i="2"/>
  <c r="CD31" i="2"/>
  <c r="CJ31" i="2"/>
  <c r="AG31" i="2"/>
  <c r="AF31" i="2"/>
  <c r="AE31" i="2"/>
  <c r="AD31" i="2"/>
  <c r="AK31" i="2"/>
  <c r="AC31" i="2"/>
  <c r="AI31" i="2"/>
  <c r="AJ31" i="2"/>
  <c r="AH31" i="2"/>
  <c r="AI29" i="2"/>
  <c r="AG29" i="2"/>
  <c r="AF29" i="2"/>
  <c r="AE29" i="2"/>
  <c r="AK29" i="2"/>
  <c r="AC29" i="2"/>
  <c r="AD29" i="2"/>
  <c r="AJ29" i="2"/>
  <c r="AH29" i="2"/>
  <c r="AD23" i="2"/>
  <c r="AK23" i="2"/>
  <c r="AC23" i="2"/>
  <c r="AJ23" i="2"/>
  <c r="AI23" i="2"/>
  <c r="AH23" i="2"/>
  <c r="AF23" i="2"/>
  <c r="AG23" i="2"/>
  <c r="AE23" i="2"/>
  <c r="AK24" i="2"/>
  <c r="AC24" i="2"/>
  <c r="AJ24" i="2"/>
  <c r="AI24" i="2"/>
  <c r="AH24" i="2"/>
  <c r="AG24" i="2"/>
  <c r="AF24" i="2"/>
  <c r="AE24" i="2"/>
  <c r="AD24" i="2"/>
  <c r="AH30" i="2"/>
  <c r="AG30" i="2"/>
  <c r="AF30" i="2"/>
  <c r="AE30" i="2"/>
  <c r="AD30" i="2"/>
  <c r="AK30" i="2"/>
  <c r="AC30" i="2"/>
  <c r="AJ30" i="2"/>
  <c r="AI30" i="2"/>
  <c r="AJ25" i="2"/>
  <c r="AI25" i="2"/>
  <c r="AH25" i="2"/>
  <c r="AG25" i="2"/>
  <c r="AF25" i="2"/>
  <c r="AE25" i="2"/>
  <c r="AK25" i="2"/>
  <c r="AC25" i="2"/>
  <c r="CS25" i="2" s="1"/>
  <c r="AD50" i="2"/>
  <c r="Q46" i="2" s="1"/>
  <c r="AD20" i="2"/>
  <c r="AE20" i="2"/>
  <c r="AC20" i="2"/>
  <c r="P10" i="2" s="1"/>
  <c r="CS10" i="2" s="1"/>
  <c r="AG20" i="2"/>
  <c r="AF20" i="2"/>
  <c r="AH20" i="2"/>
  <c r="U32" i="1"/>
  <c r="BP15" i="2" l="1"/>
  <c r="BG35" i="2"/>
  <c r="BE35" i="2"/>
  <c r="BP9" i="2"/>
  <c r="CJ35" i="2"/>
  <c r="AP16" i="2"/>
  <c r="BJ35" i="2"/>
  <c r="BP16" i="2"/>
  <c r="BK35" i="2"/>
  <c r="BP10" i="2"/>
  <c r="CI35" i="2"/>
  <c r="CK35" i="2"/>
  <c r="CE35" i="2"/>
  <c r="BD35" i="2"/>
  <c r="CG35" i="2"/>
  <c r="CF35" i="2"/>
  <c r="BP17" i="2"/>
  <c r="BP11" i="2"/>
  <c r="BP18" i="2"/>
  <c r="BP13" i="2"/>
  <c r="BP12" i="2"/>
  <c r="BP19" i="2"/>
  <c r="AP14" i="2"/>
  <c r="AP18" i="2"/>
  <c r="AP12" i="2"/>
  <c r="AP13" i="2"/>
  <c r="AP17" i="2"/>
  <c r="AP11" i="2"/>
  <c r="AP19" i="2"/>
  <c r="AP10" i="2"/>
  <c r="AP15" i="2"/>
  <c r="AP9" i="2"/>
  <c r="BI35" i="2"/>
  <c r="CD35" i="2"/>
  <c r="BP29" i="2" s="1"/>
  <c r="BH35" i="2"/>
  <c r="CL35" i="2"/>
  <c r="CH35" i="2"/>
  <c r="BC35" i="2"/>
  <c r="AP31" i="2" s="1"/>
  <c r="Q38" i="2"/>
  <c r="AD35" i="2"/>
  <c r="AE35" i="2"/>
  <c r="AC35" i="2"/>
  <c r="CS31" i="2" s="1"/>
  <c r="Q44" i="2"/>
  <c r="AE44" i="2" s="1"/>
  <c r="Q45" i="2"/>
  <c r="AE45" i="2" s="1"/>
  <c r="Q39" i="2"/>
  <c r="AE39" i="2" s="1"/>
  <c r="Q40" i="2"/>
  <c r="AE40" i="2" s="1"/>
  <c r="P8" i="2"/>
  <c r="CS8" i="2" s="1"/>
  <c r="P16" i="2"/>
  <c r="CS16" i="2" s="1"/>
  <c r="P17" i="2"/>
  <c r="P18" i="2"/>
  <c r="CS18" i="2" s="1"/>
  <c r="P11" i="2"/>
  <c r="CS11" i="2" s="1"/>
  <c r="P19" i="2"/>
  <c r="CS19" i="2" s="1"/>
  <c r="P12" i="2"/>
  <c r="CS12" i="2" s="1"/>
  <c r="P13" i="2"/>
  <c r="CS13" i="2" s="1"/>
  <c r="P9" i="2"/>
  <c r="CS9" i="2" s="1"/>
  <c r="P15" i="2"/>
  <c r="CS15" i="2" s="1"/>
  <c r="P14" i="2"/>
  <c r="CS14" i="2" s="1"/>
  <c r="AE46" i="2"/>
  <c r="AE49" i="2"/>
  <c r="AE41" i="2"/>
  <c r="AE42" i="2"/>
  <c r="AE43" i="2"/>
  <c r="CS17" i="2" l="1"/>
  <c r="BP23" i="2"/>
  <c r="CS23" i="2"/>
  <c r="BP20" i="2"/>
  <c r="BQ6" i="2" s="1"/>
  <c r="BQ9" i="2" s="1"/>
  <c r="BP31" i="2"/>
  <c r="BP30" i="2"/>
  <c r="AP20" i="2"/>
  <c r="AQ6" i="2" s="1"/>
  <c r="AQ18" i="2" s="1"/>
  <c r="BP24" i="2"/>
  <c r="AP23" i="2"/>
  <c r="AP30" i="2"/>
  <c r="AP24" i="2"/>
  <c r="AP29" i="2"/>
  <c r="CS29" i="2"/>
  <c r="CS24" i="2"/>
  <c r="Q50" i="2"/>
  <c r="R36" i="2" s="1"/>
  <c r="P20" i="2"/>
  <c r="Q6" i="2" s="1"/>
  <c r="Q14" i="2" s="1"/>
  <c r="CT14" i="2" s="1"/>
  <c r="AE38" i="2"/>
  <c r="AE48" i="2"/>
  <c r="AE47" i="2"/>
  <c r="AI20" i="2"/>
  <c r="BQ30" i="2" l="1"/>
  <c r="AQ11" i="2"/>
  <c r="AQ13" i="2"/>
  <c r="AQ19" i="2"/>
  <c r="AQ10" i="2"/>
  <c r="BQ14" i="2"/>
  <c r="BQ13" i="2"/>
  <c r="BQ8" i="2"/>
  <c r="BQ18" i="2"/>
  <c r="BQ16" i="2"/>
  <c r="BQ19" i="2"/>
  <c r="BQ10" i="2"/>
  <c r="BQ11" i="2"/>
  <c r="BQ15" i="2"/>
  <c r="AQ9" i="2"/>
  <c r="BQ17" i="2"/>
  <c r="AQ17" i="2"/>
  <c r="BQ12" i="2"/>
  <c r="AQ8" i="2"/>
  <c r="AQ16" i="2"/>
  <c r="AQ14" i="2"/>
  <c r="AP35" i="2"/>
  <c r="AQ21" i="2" s="1"/>
  <c r="AQ24" i="2" s="1"/>
  <c r="AQ12" i="2"/>
  <c r="AQ15" i="2"/>
  <c r="Q18" i="2"/>
  <c r="CT18" i="2" s="1"/>
  <c r="Q13" i="2"/>
  <c r="CT13" i="2" s="1"/>
  <c r="Q17" i="2"/>
  <c r="Q11" i="2"/>
  <c r="CT11" i="2" s="1"/>
  <c r="Q9" i="2"/>
  <c r="CT9" i="2" s="1"/>
  <c r="Q12" i="2"/>
  <c r="CT12" i="2" s="1"/>
  <c r="Q16" i="2"/>
  <c r="CT16" i="2" s="1"/>
  <c r="Q8" i="2"/>
  <c r="CT8" i="2" s="1"/>
  <c r="Q10" i="2"/>
  <c r="CT10" i="2" s="1"/>
  <c r="Q19" i="2"/>
  <c r="CT19" i="2" s="1"/>
  <c r="Q15" i="2"/>
  <c r="CT15" i="2" s="1"/>
  <c r="AE50" i="2"/>
  <c r="AF49" i="2"/>
  <c r="AF47" i="2"/>
  <c r="AF48" i="2"/>
  <c r="AK20" i="2"/>
  <c r="AJ20" i="2"/>
  <c r="CT17" i="2" l="1"/>
  <c r="BQ20" i="2"/>
  <c r="BR6" i="2" s="1"/>
  <c r="BR13" i="2" s="1"/>
  <c r="AQ29" i="2"/>
  <c r="AQ23" i="2"/>
  <c r="AQ25" i="2"/>
  <c r="AQ31" i="2"/>
  <c r="R38" i="2"/>
  <c r="AF38" i="2" s="1"/>
  <c r="R46" i="2"/>
  <c r="R44" i="2"/>
  <c r="AF44" i="2" s="1"/>
  <c r="R40" i="2"/>
  <c r="AF40" i="2" s="1"/>
  <c r="R39" i="2"/>
  <c r="AF39" i="2" s="1"/>
  <c r="R45" i="2"/>
  <c r="AF45" i="2" s="1"/>
  <c r="Q20" i="2"/>
  <c r="R6" i="2" s="1"/>
  <c r="R14" i="2" s="1"/>
  <c r="CU14" i="2" s="1"/>
  <c r="AF42" i="2"/>
  <c r="AF41" i="2"/>
  <c r="AF43" i="2"/>
  <c r="BR16" i="2" l="1"/>
  <c r="BR18" i="2"/>
  <c r="BR17" i="2"/>
  <c r="BR15" i="2"/>
  <c r="BR9" i="2"/>
  <c r="BR12" i="2"/>
  <c r="BR14" i="2"/>
  <c r="BR19" i="2"/>
  <c r="BR8" i="2"/>
  <c r="BR11" i="2"/>
  <c r="BR10" i="2"/>
  <c r="R15" i="2"/>
  <c r="CU15" i="2" s="1"/>
  <c r="R12" i="2"/>
  <c r="CU12" i="2" s="1"/>
  <c r="R17" i="2"/>
  <c r="R19" i="2"/>
  <c r="CU19" i="2" s="1"/>
  <c r="R18" i="2"/>
  <c r="CU18" i="2" s="1"/>
  <c r="R11" i="2"/>
  <c r="CU11" i="2" s="1"/>
  <c r="R16" i="2"/>
  <c r="CU16" i="2" s="1"/>
  <c r="AF46" i="2"/>
  <c r="AF50" i="2" s="1"/>
  <c r="R8" i="2"/>
  <c r="CU8" i="2" s="1"/>
  <c r="R10" i="2"/>
  <c r="CU10" i="2" s="1"/>
  <c r="R13" i="2"/>
  <c r="CU13" i="2" s="1"/>
  <c r="AF35" i="2"/>
  <c r="R9" i="2"/>
  <c r="CU9" i="2" s="1"/>
  <c r="R50" i="2"/>
  <c r="S36" i="2" s="1"/>
  <c r="CU17" i="2" l="1"/>
  <c r="BR20" i="2"/>
  <c r="BS6" i="2" s="1"/>
  <c r="BS8" i="2" s="1"/>
  <c r="S46" i="2"/>
  <c r="R20" i="2"/>
  <c r="S6" i="2" s="1"/>
  <c r="S8" i="2" s="1"/>
  <c r="CV8" i="2" s="1"/>
  <c r="S44" i="2"/>
  <c r="AG44" i="2" s="1"/>
  <c r="S39" i="2"/>
  <c r="S40" i="2"/>
  <c r="S38" i="2"/>
  <c r="AG38" i="2" s="1"/>
  <c r="S45" i="2"/>
  <c r="AG49" i="2"/>
  <c r="BS10" i="2" l="1"/>
  <c r="BS15" i="2"/>
  <c r="BS12" i="2"/>
  <c r="BS19" i="2"/>
  <c r="BS18" i="2"/>
  <c r="BS13" i="2"/>
  <c r="BS17" i="2"/>
  <c r="BS16" i="2"/>
  <c r="BS9" i="2"/>
  <c r="BS14" i="2"/>
  <c r="BS11" i="2"/>
  <c r="S9" i="2"/>
  <c r="CV9" i="2" s="1"/>
  <c r="S10" i="2"/>
  <c r="CV10" i="2" s="1"/>
  <c r="S17" i="2"/>
  <c r="S15" i="2"/>
  <c r="CV15" i="2" s="1"/>
  <c r="S13" i="2"/>
  <c r="CV13" i="2" s="1"/>
  <c r="S14" i="2"/>
  <c r="CV14" i="2" s="1"/>
  <c r="S11" i="2"/>
  <c r="CV11" i="2" s="1"/>
  <c r="S16" i="2"/>
  <c r="CV16" i="2" s="1"/>
  <c r="S19" i="2"/>
  <c r="CV19" i="2" s="1"/>
  <c r="S12" i="2"/>
  <c r="CV12" i="2" s="1"/>
  <c r="S18" i="2"/>
  <c r="CV18" i="2" s="1"/>
  <c r="S50" i="2"/>
  <c r="T36" i="2" s="1"/>
  <c r="AG48" i="2"/>
  <c r="AG47" i="2"/>
  <c r="AG45" i="2"/>
  <c r="AG41" i="2"/>
  <c r="AG46" i="2"/>
  <c r="AG43" i="2"/>
  <c r="AG42" i="2"/>
  <c r="AG40" i="2"/>
  <c r="AG39" i="2"/>
  <c r="CV17" i="2" l="1"/>
  <c r="BS20" i="2"/>
  <c r="BT6" i="2" s="1"/>
  <c r="BT12" i="2" s="1"/>
  <c r="CC12" i="2" s="1"/>
  <c r="S20" i="2"/>
  <c r="T6" i="2" s="1"/>
  <c r="T12" i="2" s="1"/>
  <c r="CW12" i="2" s="1"/>
  <c r="AG35" i="2"/>
  <c r="AG50" i="2"/>
  <c r="BT8" i="2" l="1"/>
  <c r="BT10" i="2"/>
  <c r="BT17" i="2"/>
  <c r="BT15" i="2"/>
  <c r="BT19" i="2"/>
  <c r="CC19" i="2" s="1"/>
  <c r="BT16" i="2"/>
  <c r="BT18" i="2"/>
  <c r="CC18" i="2" s="1"/>
  <c r="BT11" i="2"/>
  <c r="BT9" i="2"/>
  <c r="BT14" i="2"/>
  <c r="BT13" i="2"/>
  <c r="CC13" i="2" s="1"/>
  <c r="T19" i="2"/>
  <c r="CW19" i="2" s="1"/>
  <c r="T10" i="2"/>
  <c r="CW10" i="2" s="1"/>
  <c r="T9" i="2"/>
  <c r="CW9" i="2" s="1"/>
  <c r="T15" i="2"/>
  <c r="CW15" i="2" s="1"/>
  <c r="DF15" i="2" s="1"/>
  <c r="T16" i="2"/>
  <c r="CW16" i="2" s="1"/>
  <c r="DF16" i="2" s="1"/>
  <c r="T14" i="2"/>
  <c r="CW14" i="2" s="1"/>
  <c r="DF14" i="2" s="1"/>
  <c r="T13" i="2"/>
  <c r="CW13" i="2" s="1"/>
  <c r="T17" i="2"/>
  <c r="T8" i="2"/>
  <c r="CW8" i="2" s="1"/>
  <c r="T11" i="2"/>
  <c r="CW11" i="2" s="1"/>
  <c r="T18" i="2"/>
  <c r="CW18" i="2" s="1"/>
  <c r="T46" i="2"/>
  <c r="T44" i="2"/>
  <c r="T40" i="2"/>
  <c r="T39" i="2"/>
  <c r="T38" i="2"/>
  <c r="T45" i="2"/>
  <c r="CW17" i="2" l="1"/>
  <c r="BT20" i="2"/>
  <c r="BU6" i="2" s="1"/>
  <c r="BU14" i="2" s="1"/>
  <c r="CC14" i="2" s="1"/>
  <c r="T20" i="2"/>
  <c r="U6" i="2" s="1"/>
  <c r="U11" i="2" s="1"/>
  <c r="CX11" i="2" s="1"/>
  <c r="T50" i="2"/>
  <c r="U36" i="2" s="1"/>
  <c r="U41" i="2" s="1"/>
  <c r="AH39" i="2"/>
  <c r="AH48" i="2"/>
  <c r="AH49" i="2"/>
  <c r="AH47" i="2"/>
  <c r="AH43" i="2"/>
  <c r="AH40" i="2"/>
  <c r="AH44" i="2"/>
  <c r="AH38" i="2"/>
  <c r="AH45" i="2"/>
  <c r="AH41" i="2"/>
  <c r="AH46" i="2"/>
  <c r="AH42" i="2"/>
  <c r="BU16" i="2" l="1"/>
  <c r="CC16" i="2" s="1"/>
  <c r="CM14" i="2"/>
  <c r="BU15" i="2"/>
  <c r="CC15" i="2" s="1"/>
  <c r="U17" i="2"/>
  <c r="AH35" i="2"/>
  <c r="U47" i="2"/>
  <c r="U10" i="2"/>
  <c r="CX10" i="2" s="1"/>
  <c r="U8" i="2"/>
  <c r="CX8" i="2" s="1"/>
  <c r="U9" i="2"/>
  <c r="CX9" i="2" s="1"/>
  <c r="AH50" i="2"/>
  <c r="CX17" i="2" l="1"/>
  <c r="CM16" i="2"/>
  <c r="CM15" i="2"/>
  <c r="AI35" i="2"/>
  <c r="U50" i="2"/>
  <c r="U20" i="2"/>
  <c r="V6" i="2" s="1"/>
  <c r="V17" i="2" s="1"/>
  <c r="AI46" i="2"/>
  <c r="AI44" i="2"/>
  <c r="AI42" i="2"/>
  <c r="AI45" i="2"/>
  <c r="AI43" i="2"/>
  <c r="AI48" i="2"/>
  <c r="AI39" i="2"/>
  <c r="AI47" i="2"/>
  <c r="AI49" i="2"/>
  <c r="AI40" i="2"/>
  <c r="AI41" i="2"/>
  <c r="W17" i="2" l="1"/>
  <c r="X17" i="2" s="1"/>
  <c r="CY17" i="2"/>
  <c r="V11" i="2"/>
  <c r="CY11" i="2" s="1"/>
  <c r="AI38" i="2"/>
  <c r="AI50" i="2" s="1"/>
  <c r="V36" i="2"/>
  <c r="AJ35" i="2" l="1"/>
  <c r="V48" i="2"/>
  <c r="W48" i="2" s="1"/>
  <c r="X48" i="2" s="1"/>
  <c r="V47" i="2"/>
  <c r="CZ17" i="2"/>
  <c r="W11" i="2"/>
  <c r="CZ11" i="2" s="1"/>
  <c r="CZ18" i="2"/>
  <c r="V42" i="2"/>
  <c r="W42" i="2" s="1"/>
  <c r="X42" i="2" s="1"/>
  <c r="V41" i="2"/>
  <c r="AJ41" i="2" s="1"/>
  <c r="AB38" i="2"/>
  <c r="AJ45" i="2"/>
  <c r="V9" i="2"/>
  <c r="CY9" i="2" s="1"/>
  <c r="V8" i="2"/>
  <c r="CY8" i="2" s="1"/>
  <c r="V10" i="2"/>
  <c r="CY10" i="2" s="1"/>
  <c r="AJ46" i="2"/>
  <c r="AJ40" i="2"/>
  <c r="AJ44" i="2"/>
  <c r="AJ49" i="2"/>
  <c r="AJ43" i="2"/>
  <c r="X11" i="2" l="1"/>
  <c r="DA11" i="2" s="1"/>
  <c r="DF11" i="2" s="1"/>
  <c r="DA17" i="2"/>
  <c r="DF17" i="2" s="1"/>
  <c r="DA18" i="2"/>
  <c r="DF18" i="2" s="1"/>
  <c r="W47" i="2"/>
  <c r="X47" i="2" s="1"/>
  <c r="W41" i="2"/>
  <c r="X41" i="2" s="1"/>
  <c r="V20" i="2"/>
  <c r="W6" i="2" s="1"/>
  <c r="CZ12" i="2" s="1"/>
  <c r="V50" i="2"/>
  <c r="W36" i="2" s="1"/>
  <c r="AJ47" i="2"/>
  <c r="AJ48" i="2"/>
  <c r="AJ42" i="2"/>
  <c r="AJ39" i="2"/>
  <c r="AJ38" i="2"/>
  <c r="W43" i="2" l="1"/>
  <c r="W49" i="2"/>
  <c r="AK49" i="2" s="1"/>
  <c r="CZ13" i="2"/>
  <c r="CZ19" i="2"/>
  <c r="AJ50" i="2"/>
  <c r="W9" i="2"/>
  <c r="CZ9" i="2" s="1"/>
  <c r="W8" i="2"/>
  <c r="CZ8" i="2" s="1"/>
  <c r="W10" i="2"/>
  <c r="CZ10" i="2" s="1"/>
  <c r="AK47" i="2"/>
  <c r="AK46" i="2"/>
  <c r="AK48" i="2"/>
  <c r="AK42" i="2"/>
  <c r="AK40" i="2"/>
  <c r="AK39" i="2"/>
  <c r="AK35" i="2" l="1"/>
  <c r="W50" i="2"/>
  <c r="X36" i="2" s="1"/>
  <c r="X49" i="2" s="1"/>
  <c r="W20" i="2"/>
  <c r="X6" i="2" s="1"/>
  <c r="AK44" i="2"/>
  <c r="AK38" i="2"/>
  <c r="AK45" i="2"/>
  <c r="AK43" i="2"/>
  <c r="AK41" i="2"/>
  <c r="DA19" i="2" l="1"/>
  <c r="DF19" i="2" s="1"/>
  <c r="DA12" i="2"/>
  <c r="DF12" i="2" s="1"/>
  <c r="DA13" i="2"/>
  <c r="DF13" i="2" s="1"/>
  <c r="X43" i="2"/>
  <c r="X9" i="2"/>
  <c r="DA9" i="2" s="1"/>
  <c r="DF9" i="2" s="1"/>
  <c r="X8" i="2"/>
  <c r="DA8" i="2" s="1"/>
  <c r="DF8" i="2" s="1"/>
  <c r="X10" i="2"/>
  <c r="DA10" i="2" s="1"/>
  <c r="DF10" i="2" s="1"/>
  <c r="AK50" i="2"/>
  <c r="AL45" i="2"/>
  <c r="DF20" i="2" l="1"/>
  <c r="AL43" i="2"/>
  <c r="X20" i="2"/>
  <c r="Y6" i="2" s="1"/>
  <c r="Y20" i="2" s="1"/>
  <c r="Z6" i="2" s="1"/>
  <c r="Z20" i="2" s="1"/>
  <c r="AA6" i="2" s="1"/>
  <c r="AA20" i="2" s="1"/>
  <c r="X50" i="2"/>
  <c r="Y36" i="2" s="1"/>
  <c r="AB13" i="2"/>
  <c r="AL13" i="2"/>
  <c r="AB8" i="2"/>
  <c r="AL8" i="2"/>
  <c r="AL16" i="2"/>
  <c r="AB16" i="2"/>
  <c r="AL12" i="2"/>
  <c r="AB12" i="2"/>
  <c r="AB19" i="2"/>
  <c r="AL19" i="2"/>
  <c r="AL10" i="2"/>
  <c r="AB10" i="2"/>
  <c r="AL14" i="2"/>
  <c r="AB14" i="2"/>
  <c r="AB18" i="2"/>
  <c r="AL18" i="2"/>
  <c r="AB9" i="2"/>
  <c r="AL9" i="2"/>
  <c r="AB11" i="2"/>
  <c r="AL11" i="2"/>
  <c r="AB15" i="2"/>
  <c r="AL15" i="2"/>
  <c r="AL17" i="2"/>
  <c r="AB17" i="2"/>
  <c r="AL41" i="2"/>
  <c r="AL44" i="2"/>
  <c r="AL38" i="2"/>
  <c r="AL42" i="2"/>
  <c r="AL47" i="2"/>
  <c r="AL49" i="2"/>
  <c r="AL40" i="2"/>
  <c r="AL48" i="2"/>
  <c r="AL39" i="2"/>
  <c r="AL46" i="2"/>
  <c r="AL20" i="2" l="1"/>
  <c r="AL50" i="2"/>
  <c r="Y50" i="2" l="1"/>
  <c r="Z36" i="2" s="1"/>
  <c r="Z50" i="2" l="1"/>
  <c r="AA36" i="2" s="1"/>
  <c r="AA50" i="2" l="1"/>
  <c r="BD50" i="2" l="1"/>
  <c r="AQ38" i="2" l="1"/>
  <c r="AQ30" i="2"/>
  <c r="AQ44" i="2"/>
  <c r="AQ46" i="2"/>
  <c r="AQ40" i="2"/>
  <c r="AQ45" i="2"/>
  <c r="AQ39" i="2"/>
  <c r="BE45" i="2" l="1"/>
  <c r="BE40" i="2"/>
  <c r="BE46" i="2"/>
  <c r="BE39" i="2"/>
  <c r="BE44" i="2"/>
  <c r="AQ50" i="2"/>
  <c r="AR36" i="2" s="1"/>
  <c r="BE38" i="2"/>
  <c r="AQ35" i="2"/>
  <c r="AR21" i="2" s="1"/>
  <c r="AR30" i="2" s="1"/>
  <c r="AR23" i="2" l="1"/>
  <c r="AR25" i="2"/>
  <c r="AR29" i="2"/>
  <c r="AR31" i="2"/>
  <c r="AR24" i="2"/>
  <c r="BE50" i="2"/>
  <c r="AR45" i="2" l="1"/>
  <c r="BF45" i="2" s="1"/>
  <c r="AR38" i="2"/>
  <c r="BF38" i="2" s="1"/>
  <c r="AR40" i="2"/>
  <c r="AR35" i="2"/>
  <c r="AS21" i="2" s="1"/>
  <c r="AR44" i="2"/>
  <c r="AR46" i="2"/>
  <c r="AR39" i="2"/>
  <c r="AS23" i="2" l="1"/>
  <c r="AS30" i="2"/>
  <c r="BF39" i="2"/>
  <c r="BF46" i="2"/>
  <c r="BF40" i="2"/>
  <c r="AS29" i="2"/>
  <c r="AS31" i="2"/>
  <c r="AS24" i="2"/>
  <c r="AS25" i="2"/>
  <c r="BF44" i="2"/>
  <c r="AR50" i="2"/>
  <c r="AS36" i="2" s="1"/>
  <c r="BF50" i="2" l="1"/>
  <c r="AS38" i="2" s="1"/>
  <c r="AS46" i="2" l="1"/>
  <c r="AS39" i="2"/>
  <c r="BG39" i="2" s="1"/>
  <c r="AS45" i="2"/>
  <c r="BG45" i="2" s="1"/>
  <c r="AS40" i="2"/>
  <c r="BG40" i="2" s="1"/>
  <c r="AS44" i="2"/>
  <c r="BG44" i="2" s="1"/>
  <c r="AS35" i="2"/>
  <c r="AT21" i="2" s="1"/>
  <c r="AT30" i="2" s="1"/>
  <c r="BG38" i="2"/>
  <c r="AS50" i="2" l="1"/>
  <c r="AT36" i="2" s="1"/>
  <c r="BG46" i="2"/>
  <c r="BG50" i="2" s="1"/>
  <c r="AT29" i="2"/>
  <c r="AT23" i="2"/>
  <c r="AT25" i="2"/>
  <c r="AT24" i="2"/>
  <c r="AT31" i="2"/>
  <c r="AQ20" i="2"/>
  <c r="AR6" i="2" s="1"/>
  <c r="AT40" i="2" l="1"/>
  <c r="BH40" i="2" s="1"/>
  <c r="AT46" i="2"/>
  <c r="AT39" i="2"/>
  <c r="AT45" i="2"/>
  <c r="AT38" i="2"/>
  <c r="AT44" i="2"/>
  <c r="AR16" i="2"/>
  <c r="AR17" i="2"/>
  <c r="AR11" i="2"/>
  <c r="AR8" i="2"/>
  <c r="AR10" i="2"/>
  <c r="AR19" i="2"/>
  <c r="AR14" i="2"/>
  <c r="AR13" i="2"/>
  <c r="AR18" i="2"/>
  <c r="AR15" i="2"/>
  <c r="AR12" i="2"/>
  <c r="AR9" i="2"/>
  <c r="BI44" i="2" l="1"/>
  <c r="BL44" i="2"/>
  <c r="BN44" i="2"/>
  <c r="BH44" i="2"/>
  <c r="BK44" i="2"/>
  <c r="BM44" i="2"/>
  <c r="BJ44" i="2"/>
  <c r="BB38" i="2"/>
  <c r="BN38" i="2"/>
  <c r="BJ38" i="2"/>
  <c r="BL38" i="2"/>
  <c r="BI38" i="2"/>
  <c r="BK38" i="2"/>
  <c r="BH38" i="2"/>
  <c r="BM38" i="2"/>
  <c r="BL45" i="2"/>
  <c r="BI45" i="2"/>
  <c r="BN45" i="2"/>
  <c r="BH45" i="2"/>
  <c r="BM45" i="2"/>
  <c r="BJ45" i="2"/>
  <c r="BK45" i="2"/>
  <c r="BI39" i="2"/>
  <c r="BK39" i="2"/>
  <c r="BN39" i="2"/>
  <c r="BM39" i="2"/>
  <c r="BH39" i="2"/>
  <c r="BJ39" i="2"/>
  <c r="BL39" i="2"/>
  <c r="BH46" i="2"/>
  <c r="AT35" i="2"/>
  <c r="AU21" i="2" s="1"/>
  <c r="AU30" i="2" s="1"/>
  <c r="AT50" i="2"/>
  <c r="AU36" i="2" s="1"/>
  <c r="AR20" i="2"/>
  <c r="AS6" i="2" s="1"/>
  <c r="AU23" i="2" l="1"/>
  <c r="AU29" i="2"/>
  <c r="AU31" i="2"/>
  <c r="AU24" i="2"/>
  <c r="AU25" i="2"/>
  <c r="BH50" i="2"/>
  <c r="AU40" i="2" s="1"/>
  <c r="AS17" i="2"/>
  <c r="AS11" i="2"/>
  <c r="AS13" i="2"/>
  <c r="AS8" i="2"/>
  <c r="AS19" i="2"/>
  <c r="AS10" i="2"/>
  <c r="AS18" i="2"/>
  <c r="AS15" i="2"/>
  <c r="AS12" i="2"/>
  <c r="AS9" i="2"/>
  <c r="AS14" i="2"/>
  <c r="AS16" i="2"/>
  <c r="AU46" i="2" l="1"/>
  <c r="BI46" i="2" s="1"/>
  <c r="BB29" i="2"/>
  <c r="BL29" i="2"/>
  <c r="BL31" i="2"/>
  <c r="BB31" i="2"/>
  <c r="BB25" i="2"/>
  <c r="BL25" i="2"/>
  <c r="BL24" i="2"/>
  <c r="BB24" i="2"/>
  <c r="BL23" i="2"/>
  <c r="BB23" i="2"/>
  <c r="AU35" i="2"/>
  <c r="AV21" i="2" s="1"/>
  <c r="BI40" i="2"/>
  <c r="AS20" i="2"/>
  <c r="AT6" i="2" s="1"/>
  <c r="AU50" i="2" l="1"/>
  <c r="AV36" i="2" s="1"/>
  <c r="AV41" i="2" s="1"/>
  <c r="BJ41" i="2" s="1"/>
  <c r="BI50" i="2"/>
  <c r="AV30" i="2"/>
  <c r="BM40" i="2"/>
  <c r="BK40" i="2"/>
  <c r="BJ40" i="2"/>
  <c r="BL40" i="2"/>
  <c r="BN40" i="2"/>
  <c r="AT8" i="2"/>
  <c r="AT10" i="2"/>
  <c r="AT15" i="2"/>
  <c r="AT19" i="2"/>
  <c r="AT14" i="2"/>
  <c r="AT13" i="2"/>
  <c r="AT18" i="2"/>
  <c r="AT16" i="2"/>
  <c r="AT9" i="2"/>
  <c r="AT17" i="2"/>
  <c r="AT11" i="2"/>
  <c r="AT12" i="2"/>
  <c r="AV47" i="2" l="1"/>
  <c r="AW47" i="2" s="1"/>
  <c r="AX47" i="2" s="1"/>
  <c r="BN47" i="2" s="1"/>
  <c r="BL15" i="2"/>
  <c r="BB15" i="2"/>
  <c r="BL14" i="2"/>
  <c r="BB14" i="2"/>
  <c r="BL16" i="2"/>
  <c r="BB16" i="2"/>
  <c r="BB30" i="2"/>
  <c r="BL30" i="2"/>
  <c r="BJ42" i="2"/>
  <c r="AV35" i="2"/>
  <c r="AW21" i="2" s="1"/>
  <c r="BL46" i="2"/>
  <c r="BN46" i="2"/>
  <c r="BM46" i="2"/>
  <c r="BK46" i="2"/>
  <c r="BJ46" i="2"/>
  <c r="BJ48" i="2"/>
  <c r="AU10" i="2"/>
  <c r="AU9" i="2"/>
  <c r="AU8" i="2"/>
  <c r="AT20" i="2"/>
  <c r="AU6" i="2" s="1"/>
  <c r="AU17" i="2" s="1"/>
  <c r="BM47" i="2" l="1"/>
  <c r="BL47" i="2"/>
  <c r="BK47" i="2"/>
  <c r="BJ47" i="2"/>
  <c r="BJ50" i="2" s="1"/>
  <c r="AV50" i="2"/>
  <c r="AW36" i="2" s="1"/>
  <c r="AW41" i="2" s="1"/>
  <c r="AX41" i="2" s="1"/>
  <c r="AU11" i="2"/>
  <c r="AU20" i="2" s="1"/>
  <c r="AV6" i="2" s="1"/>
  <c r="AV10" i="2"/>
  <c r="AV9" i="2"/>
  <c r="AV8" i="2"/>
  <c r="BL41" i="2" l="1"/>
  <c r="AW48" i="2"/>
  <c r="AX48" i="2" s="1"/>
  <c r="AW43" i="2"/>
  <c r="BK43" i="2" s="1"/>
  <c r="AW42" i="2"/>
  <c r="BK42" i="2" s="1"/>
  <c r="AW10" i="2"/>
  <c r="BN41" i="2"/>
  <c r="BK41" i="2"/>
  <c r="BM41" i="2"/>
  <c r="AW49" i="2"/>
  <c r="BK49" i="2" s="1"/>
  <c r="BL48" i="2"/>
  <c r="BB26" i="2"/>
  <c r="BB32" i="2"/>
  <c r="AW35" i="2"/>
  <c r="AW8" i="2"/>
  <c r="AW9" i="2"/>
  <c r="AV17" i="2"/>
  <c r="AV11" i="2"/>
  <c r="AX42" i="2" l="1"/>
  <c r="BL42" i="2" s="1"/>
  <c r="AW50" i="2"/>
  <c r="AX36" i="2" s="1"/>
  <c r="AX49" i="2" s="1"/>
  <c r="BL49" i="2" s="1"/>
  <c r="BN48" i="2"/>
  <c r="BK48" i="2"/>
  <c r="BK50" i="2" s="1"/>
  <c r="BM48" i="2"/>
  <c r="AX8" i="2"/>
  <c r="BL8" i="2" s="1"/>
  <c r="AX9" i="2"/>
  <c r="BL9" i="2" s="1"/>
  <c r="BN42" i="2"/>
  <c r="BM42" i="2"/>
  <c r="AX10" i="2"/>
  <c r="BL10" i="2" s="1"/>
  <c r="AX43" i="2"/>
  <c r="BL43" i="2" s="1"/>
  <c r="BL50" i="2" s="1"/>
  <c r="BL32" i="2"/>
  <c r="BL26" i="2"/>
  <c r="BL18" i="2"/>
  <c r="AW11" i="2"/>
  <c r="AX11" i="2" s="1"/>
  <c r="BL11" i="2" s="1"/>
  <c r="AW17" i="2"/>
  <c r="AX17" i="2" s="1"/>
  <c r="BL17" i="2" s="1"/>
  <c r="AV20" i="2"/>
  <c r="AW6" i="2" s="1"/>
  <c r="BB9" i="2" l="1"/>
  <c r="BB8" i="2"/>
  <c r="AX50" i="2"/>
  <c r="AY36" i="2" s="1"/>
  <c r="AY49" i="2" s="1"/>
  <c r="BB10" i="2"/>
  <c r="CE50" i="2"/>
  <c r="BB17" i="2"/>
  <c r="BL12" i="2"/>
  <c r="BB12" i="2"/>
  <c r="BB18" i="2"/>
  <c r="BB11" i="2"/>
  <c r="AY43" i="2" l="1"/>
  <c r="AY50" i="2" s="1"/>
  <c r="AZ36" i="2" s="1"/>
  <c r="AZ50" i="2" s="1"/>
  <c r="BA36" i="2" s="1"/>
  <c r="BA50" i="2" s="1"/>
  <c r="BB49" i="2"/>
  <c r="BN49" i="2"/>
  <c r="BM49" i="2"/>
  <c r="BQ45" i="2"/>
  <c r="BQ39" i="2"/>
  <c r="BQ46" i="2"/>
  <c r="BQ44" i="2"/>
  <c r="BQ38" i="2"/>
  <c r="BQ40" i="2"/>
  <c r="AW20" i="2"/>
  <c r="AX6" i="2" s="1"/>
  <c r="BL19" i="2" s="1"/>
  <c r="BM43" i="2" l="1"/>
  <c r="BM50" i="2" s="1"/>
  <c r="BN43" i="2"/>
  <c r="BN50" i="2" s="1"/>
  <c r="CF40" i="2"/>
  <c r="CF38" i="2"/>
  <c r="CF44" i="2"/>
  <c r="CF46" i="2"/>
  <c r="CF39" i="2"/>
  <c r="CF45" i="2"/>
  <c r="BQ50" i="2"/>
  <c r="BR36" i="2" s="1"/>
  <c r="BR30" i="2" s="1"/>
  <c r="CF50" i="2" l="1"/>
  <c r="BR38" i="2" s="1"/>
  <c r="BL13" i="2"/>
  <c r="BL20" i="2" s="1"/>
  <c r="AX20" i="2"/>
  <c r="AY6" i="2" s="1"/>
  <c r="BR39" i="2" l="1"/>
  <c r="BR45" i="2"/>
  <c r="BR40" i="2"/>
  <c r="BR44" i="2"/>
  <c r="BR46" i="2"/>
  <c r="BB19" i="2"/>
  <c r="BB13" i="2"/>
  <c r="CG38" i="2"/>
  <c r="CG40" i="2" l="1"/>
  <c r="CG44" i="2"/>
  <c r="CG45" i="2"/>
  <c r="CG39" i="2"/>
  <c r="CG50" i="2" s="1"/>
  <c r="CG46" i="2"/>
  <c r="BR50" i="2"/>
  <c r="BS36" i="2" s="1"/>
  <c r="BS30" i="2" s="1"/>
  <c r="AY20" i="2"/>
  <c r="AZ6" i="2" s="1"/>
  <c r="AZ20" i="2" s="1"/>
  <c r="BA6" i="2" s="1"/>
  <c r="BA20" i="2" s="1"/>
  <c r="BS39" i="2" l="1"/>
  <c r="BS46" i="2"/>
  <c r="BS45" i="2"/>
  <c r="BS44" i="2"/>
  <c r="BS40" i="2"/>
  <c r="BS38" i="2"/>
  <c r="CH38" i="2" s="1"/>
  <c r="CH40" i="2" l="1"/>
  <c r="CH44" i="2"/>
  <c r="CH39" i="2"/>
  <c r="CH45" i="2"/>
  <c r="BS50" i="2"/>
  <c r="BT36" i="2" s="1"/>
  <c r="CH46" i="2"/>
  <c r="CH50" i="2" l="1"/>
  <c r="BT39" i="2"/>
  <c r="CC39" i="2" s="1"/>
  <c r="BT38" i="2"/>
  <c r="CC38" i="2" s="1"/>
  <c r="BT44" i="2"/>
  <c r="CC44" i="2" s="1"/>
  <c r="BT40" i="2"/>
  <c r="BT46" i="2"/>
  <c r="CI46" i="2" s="1"/>
  <c r="BT45" i="2"/>
  <c r="CC45" i="2" s="1"/>
  <c r="CK39" i="2" l="1"/>
  <c r="CJ39" i="2"/>
  <c r="CL39" i="2"/>
  <c r="CI39" i="2"/>
  <c r="CI38" i="2"/>
  <c r="CI45" i="2"/>
  <c r="CL45" i="2"/>
  <c r="CJ38" i="2"/>
  <c r="CM38" i="2"/>
  <c r="CK38" i="2"/>
  <c r="CJ45" i="2"/>
  <c r="CL38" i="2"/>
  <c r="CM45" i="2"/>
  <c r="CI44" i="2"/>
  <c r="CJ44" i="2"/>
  <c r="CK45" i="2"/>
  <c r="CM39" i="2"/>
  <c r="CK44" i="2"/>
  <c r="BT50" i="2"/>
  <c r="BU36" i="2" s="1"/>
  <c r="BU9" i="2" s="1"/>
  <c r="CL44" i="2"/>
  <c r="CI40" i="2"/>
  <c r="CM44" i="2"/>
  <c r="CI50" i="2" l="1"/>
  <c r="BU46" i="2" s="1"/>
  <c r="CC46" i="2" s="1"/>
  <c r="BU47" i="2"/>
  <c r="BU8" i="2"/>
  <c r="BU10" i="2"/>
  <c r="BU41" i="2"/>
  <c r="CJ47" i="2" l="1"/>
  <c r="CJ41" i="2"/>
  <c r="BU20" i="2"/>
  <c r="BV6" i="2" s="1"/>
  <c r="BV11" i="2" s="1"/>
  <c r="CJ46" i="2"/>
  <c r="CK46" i="2"/>
  <c r="CM46" i="2"/>
  <c r="CL46" i="2"/>
  <c r="BU40" i="2"/>
  <c r="CC40" i="2" s="1"/>
  <c r="BV17" i="2" l="1"/>
  <c r="CK40" i="2"/>
  <c r="CJ40" i="2"/>
  <c r="CJ50" i="2" s="1"/>
  <c r="BU50" i="2"/>
  <c r="BV36" i="2" s="1"/>
  <c r="BV10" i="2" s="1"/>
  <c r="CL40" i="2"/>
  <c r="CM40" i="2"/>
  <c r="BV42" i="2" l="1"/>
  <c r="BV41" i="2"/>
  <c r="BV8" i="2"/>
  <c r="BV48" i="2"/>
  <c r="BV47" i="2"/>
  <c r="BV9" i="2"/>
  <c r="BV20" i="2" s="1"/>
  <c r="BW6" i="2" s="1"/>
  <c r="CK41" i="2"/>
  <c r="CK42" i="2"/>
  <c r="BV50" i="2" l="1"/>
  <c r="BW36" i="2" s="1"/>
  <c r="BW42" i="2" s="1"/>
  <c r="BX42" i="2" s="1"/>
  <c r="CK48" i="2"/>
  <c r="CK47" i="2"/>
  <c r="CL42" i="2"/>
  <c r="BW48" i="2"/>
  <c r="BW47" i="2"/>
  <c r="BW41" i="2"/>
  <c r="BW17" i="2"/>
  <c r="BW11" i="2"/>
  <c r="CK50" i="2"/>
  <c r="BW49" i="2"/>
  <c r="BW9" i="2"/>
  <c r="BW8" i="2"/>
  <c r="CM42" i="2" l="1"/>
  <c r="CC42" i="2"/>
  <c r="BW10" i="2"/>
  <c r="BW20" i="2" s="1"/>
  <c r="BX6" i="2" s="1"/>
  <c r="CM19" i="2" s="1"/>
  <c r="BW43" i="2"/>
  <c r="CL49" i="2"/>
  <c r="CL41" i="2"/>
  <c r="BX41" i="2"/>
  <c r="CM41" i="2" s="1"/>
  <c r="BX47" i="2"/>
  <c r="CC47" i="2" s="1"/>
  <c r="CL47" i="2"/>
  <c r="BX11" i="2"/>
  <c r="CL48" i="2"/>
  <c r="BX48" i="2"/>
  <c r="CM48" i="2" s="1"/>
  <c r="CM18" i="2"/>
  <c r="CC48" i="2" l="1"/>
  <c r="CC41" i="2"/>
  <c r="CL43" i="2"/>
  <c r="CL50" i="2" s="1"/>
  <c r="BW50" i="2"/>
  <c r="BX36" i="2" s="1"/>
  <c r="CM11" i="2"/>
  <c r="CC11" i="2"/>
  <c r="CM13" i="2"/>
  <c r="BX17" i="2"/>
  <c r="CM47" i="2"/>
  <c r="BX49" i="2" l="1"/>
  <c r="BX8" i="2"/>
  <c r="BX9" i="2"/>
  <c r="BX10" i="2"/>
  <c r="BX43" i="2"/>
  <c r="BX50" i="2" s="1"/>
  <c r="BY36" i="2" s="1"/>
  <c r="CM17" i="2"/>
  <c r="CC17" i="2"/>
  <c r="CM12" i="2"/>
  <c r="BX20" i="2"/>
  <c r="BY6" i="2" s="1"/>
  <c r="BP35" i="2"/>
  <c r="BQ21" i="2" s="1"/>
  <c r="BQ23" i="2" s="1"/>
  <c r="BT30" i="2"/>
  <c r="BY43" i="2" l="1"/>
  <c r="BY49" i="2"/>
  <c r="BY50" i="2" s="1"/>
  <c r="BZ36" i="2" s="1"/>
  <c r="BZ49" i="2" s="1"/>
  <c r="CC49" i="2" s="1"/>
  <c r="CC10" i="2"/>
  <c r="CM10" i="2"/>
  <c r="CC9" i="2"/>
  <c r="CM9" i="2"/>
  <c r="CC8" i="2"/>
  <c r="CM8" i="2"/>
  <c r="CM20" i="2" s="1"/>
  <c r="CM43" i="2"/>
  <c r="CM49" i="2"/>
  <c r="BQ31" i="2"/>
  <c r="BQ25" i="2"/>
  <c r="BQ24" i="2"/>
  <c r="BU30" i="2"/>
  <c r="CC30" i="2" s="1"/>
  <c r="BZ43" i="2"/>
  <c r="CC43" i="2" s="1"/>
  <c r="BQ29" i="2"/>
  <c r="CM50" i="2" l="1"/>
  <c r="CM30" i="2"/>
  <c r="BZ50" i="2"/>
  <c r="CA36" i="2" s="1"/>
  <c r="CA50" i="2" s="1"/>
  <c r="CB36" i="2" s="1"/>
  <c r="CB50" i="2" s="1"/>
  <c r="BY20" i="2"/>
  <c r="BZ6" i="2" s="1"/>
  <c r="BQ35" i="2"/>
  <c r="BR21" i="2" s="1"/>
  <c r="BR23" i="2" s="1"/>
  <c r="BR31" i="2" l="1"/>
  <c r="BR24" i="2"/>
  <c r="BR25" i="2"/>
  <c r="BR29" i="2"/>
  <c r="BZ20" i="2" l="1"/>
  <c r="CA6" i="2" s="1"/>
  <c r="CA20" i="2" s="1"/>
  <c r="CB6" i="2" s="1"/>
  <c r="CB20" i="2" s="1"/>
  <c r="BR35" i="2"/>
  <c r="BS21" i="2" s="1"/>
  <c r="BS23" i="2" s="1"/>
  <c r="BS25" i="2" l="1"/>
  <c r="BS31" i="2"/>
  <c r="BS29" i="2"/>
  <c r="BS24" i="2"/>
  <c r="BS35" i="2" l="1"/>
  <c r="BT21" i="2" s="1"/>
  <c r="BT23" i="2" s="1"/>
  <c r="BT31" i="2" l="1"/>
  <c r="BT25" i="2"/>
  <c r="BT29" i="2"/>
  <c r="BT24" i="2"/>
  <c r="BT35" i="2" l="1"/>
  <c r="BU21" i="2" s="1"/>
  <c r="BU29" i="2" l="1"/>
  <c r="BU23" i="2"/>
  <c r="CC23" i="2" s="1"/>
  <c r="BU24" i="2"/>
  <c r="CC24" i="2" s="1"/>
  <c r="BU25" i="2"/>
  <c r="CC25" i="2" s="1"/>
  <c r="BU31" i="2"/>
  <c r="CC31" i="2" s="1"/>
  <c r="CM23" i="2" l="1"/>
  <c r="CM25" i="2"/>
  <c r="CM31" i="2"/>
  <c r="CM24" i="2"/>
  <c r="BU35" i="2"/>
  <c r="BV21" i="2" s="1"/>
  <c r="BV29" i="2" s="1"/>
  <c r="CM29" i="2" l="1"/>
  <c r="CC29" i="2"/>
  <c r="BV35" i="2" l="1"/>
  <c r="BW21" i="2" s="1"/>
  <c r="CC26" i="2" l="1"/>
  <c r="BW35" i="2"/>
  <c r="CM26" i="2" l="1"/>
  <c r="CZ34" i="2" l="1"/>
  <c r="DA34" i="2"/>
  <c r="CZ28" i="2"/>
  <c r="DA28" i="2"/>
  <c r="CX26" i="2" l="1"/>
  <c r="CY26" i="2"/>
  <c r="DA26" i="2"/>
  <c r="CZ26" i="2"/>
  <c r="CY32" i="2" l="1"/>
  <c r="CX32" i="2"/>
  <c r="DA32" i="2"/>
  <c r="CZ32" i="2"/>
  <c r="DA33" i="2"/>
  <c r="BL33" i="2"/>
  <c r="AX21" i="2"/>
  <c r="BB33" i="2"/>
  <c r="BB34" i="2" l="1"/>
  <c r="AX35" i="2"/>
  <c r="AY21" i="2" s="1"/>
  <c r="BL28" i="2" l="1"/>
  <c r="BB28" i="2"/>
  <c r="BL34" i="2"/>
  <c r="AY35" i="2"/>
  <c r="AZ21" i="2" s="1"/>
  <c r="AZ35" i="2" s="1"/>
  <c r="BA21" i="2" s="1"/>
  <c r="BA35" i="2" s="1"/>
  <c r="BL35" i="2" l="1"/>
  <c r="CM32" i="2"/>
  <c r="CC32" i="2"/>
  <c r="CC34" i="2"/>
  <c r="CM34" i="2"/>
  <c r="CM33" i="2"/>
  <c r="BX21" i="2"/>
  <c r="CC33" i="2"/>
  <c r="CM28" i="2" l="1"/>
  <c r="CM35" i="2" s="1"/>
  <c r="BX35" i="2"/>
  <c r="BY21" i="2" s="1"/>
  <c r="CC28" i="2" l="1"/>
  <c r="BY35" i="2"/>
  <c r="BZ21" i="2" s="1"/>
  <c r="BZ35" i="2" s="1"/>
  <c r="CA21" i="2" s="1"/>
  <c r="CA35" i="2" s="1"/>
  <c r="CB21" i="2" s="1"/>
  <c r="CB35" i="2" s="1"/>
  <c r="DT29" i="2"/>
  <c r="DT25" i="2"/>
  <c r="DT24" i="2"/>
  <c r="DT35" i="2"/>
  <c r="DT23" i="2"/>
  <c r="DT31" i="2"/>
  <c r="DT30" i="2"/>
  <c r="CX25" i="2"/>
  <c r="CX24" i="2"/>
  <c r="CY25" i="2"/>
  <c r="CY23" i="2"/>
  <c r="CX23" i="2"/>
  <c r="CY24" i="2"/>
  <c r="CS30" i="2"/>
  <c r="P35" i="2"/>
  <c r="Q21" i="2" s="1"/>
  <c r="CU30" i="2" l="1"/>
  <c r="Q35" i="2" l="1"/>
  <c r="R21" i="2" s="1"/>
  <c r="CU29" i="2" s="1"/>
  <c r="CU25" i="2" l="1"/>
  <c r="CU23" i="2"/>
  <c r="CU24" i="2"/>
  <c r="CU31" i="2"/>
  <c r="R35" i="2" l="1"/>
  <c r="S21" i="2" s="1"/>
  <c r="S28" i="2" l="1"/>
  <c r="S26" i="2"/>
  <c r="S23" i="2"/>
  <c r="CV23" i="2" s="1"/>
  <c r="S31" i="2"/>
  <c r="CV31" i="2" s="1"/>
  <c r="S34" i="2"/>
  <c r="S27" i="2"/>
  <c r="S29" i="2"/>
  <c r="CV29" i="2" s="1"/>
  <c r="S24" i="2"/>
  <c r="CV24" i="2" s="1"/>
  <c r="S32" i="2"/>
  <c r="S30" i="2"/>
  <c r="S25" i="2"/>
  <c r="S33" i="2"/>
  <c r="CV25" i="2"/>
  <c r="CV34" i="2" l="1"/>
  <c r="CV30" i="2"/>
  <c r="CV26" i="2"/>
  <c r="CV27" i="2"/>
  <c r="CV33" i="2"/>
  <c r="CV32" i="2"/>
  <c r="CV28" i="2"/>
  <c r="S35" i="2"/>
  <c r="T21" i="2" s="1"/>
  <c r="T25" i="2" l="1"/>
  <c r="T33" i="2"/>
  <c r="T23" i="2"/>
  <c r="T28" i="2"/>
  <c r="T31" i="2"/>
  <c r="CW31" i="2" s="1"/>
  <c r="DF31" i="2" s="1"/>
  <c r="T26" i="2"/>
  <c r="T34" i="2"/>
  <c r="T29" i="2"/>
  <c r="T24" i="2"/>
  <c r="T27" i="2"/>
  <c r="T30" i="2"/>
  <c r="T32" i="2"/>
  <c r="CW29" i="2"/>
  <c r="AB29" i="2"/>
  <c r="DE29" i="2" s="1"/>
  <c r="AL29" i="2"/>
  <c r="CW28" i="2" l="1"/>
  <c r="DF28" i="2" s="1"/>
  <c r="AB28" i="2"/>
  <c r="DE28" i="2" s="1"/>
  <c r="AL28" i="2"/>
  <c r="CW23" i="2"/>
  <c r="DF23" i="2" s="1"/>
  <c r="AL23" i="2"/>
  <c r="CW33" i="2"/>
  <c r="DF33" i="2" s="1"/>
  <c r="AB33" i="2"/>
  <c r="DE33" i="2" s="1"/>
  <c r="AL33" i="2"/>
  <c r="T35" i="2"/>
  <c r="U21" i="2" s="1"/>
  <c r="U35" i="2" s="1"/>
  <c r="V21" i="2" s="1"/>
  <c r="V35" i="2" s="1"/>
  <c r="W21" i="2" s="1"/>
  <c r="W35" i="2" s="1"/>
  <c r="X21" i="2" s="1"/>
  <c r="X35" i="2" s="1"/>
  <c r="Y21" i="2" s="1"/>
  <c r="Y35" i="2" s="1"/>
  <c r="Z21" i="2" s="1"/>
  <c r="Z35" i="2" s="1"/>
  <c r="AA21" i="2" s="1"/>
  <c r="AA35" i="2" s="1"/>
  <c r="AB23" i="2"/>
  <c r="DE23" i="2" s="1"/>
  <c r="AB24" i="2"/>
  <c r="DE24" i="2" s="1"/>
  <c r="AL24" i="2"/>
  <c r="AL25" i="2"/>
  <c r="AB25" i="2"/>
  <c r="DE25" i="2" s="1"/>
  <c r="CW25" i="2"/>
  <c r="DF25" i="2" s="1"/>
  <c r="CW26" i="2"/>
  <c r="DF26" i="2" s="1"/>
  <c r="AB26" i="2"/>
  <c r="DE26" i="2" s="1"/>
  <c r="AL26" i="2"/>
  <c r="CW30" i="2"/>
  <c r="DF30" i="2" s="1"/>
  <c r="AL30" i="2"/>
  <c r="AB30" i="2"/>
  <c r="DE30" i="2" s="1"/>
  <c r="AL31" i="2"/>
  <c r="AB31" i="2"/>
  <c r="DE31" i="2" s="1"/>
  <c r="CW24" i="2"/>
  <c r="DF24" i="2" s="1"/>
  <c r="CW32" i="2"/>
  <c r="DF32" i="2" s="1"/>
  <c r="AB32" i="2"/>
  <c r="DE32" i="2" s="1"/>
  <c r="AL32" i="2"/>
  <c r="CW27" i="2"/>
  <c r="DF27" i="2" s="1"/>
  <c r="AB27" i="2"/>
  <c r="DE27" i="2" s="1"/>
  <c r="AL27" i="2"/>
  <c r="CW34" i="2"/>
  <c r="DF34" i="2" s="1"/>
  <c r="AB34" i="2"/>
  <c r="DE34" i="2" s="1"/>
  <c r="AL34" i="2"/>
  <c r="DF29" i="2"/>
  <c r="AL35" i="2" l="1"/>
  <c r="DF35" i="2"/>
</calcChain>
</file>

<file path=xl/sharedStrings.xml><?xml version="1.0" encoding="utf-8"?>
<sst xmlns="http://schemas.openxmlformats.org/spreadsheetml/2006/main" count="611" uniqueCount="138">
  <si>
    <t>Rural (World Bank 2020)</t>
  </si>
  <si>
    <t>% of doses</t>
  </si>
  <si>
    <t>Weeks</t>
  </si>
  <si>
    <t>Months</t>
  </si>
  <si>
    <t>Main</t>
  </si>
  <si>
    <t>Urban</t>
  </si>
  <si>
    <t>Rural</t>
  </si>
  <si>
    <t>Boosters</t>
  </si>
  <si>
    <t>18+</t>
  </si>
  <si>
    <t>5-11</t>
  </si>
  <si>
    <t>12+</t>
  </si>
  <si>
    <t>Mnth</t>
  </si>
  <si>
    <t>Sum (should = 100%/18)</t>
  </si>
  <si>
    <t>Sum</t>
  </si>
  <si>
    <t>18+ boost</t>
  </si>
  <si>
    <t>Scenario 3: Urban=rural. Adult, then boosters, then kids</t>
  </si>
  <si>
    <t>Scenario 1: Urban=rural. Adult, then kids, then boosters</t>
  </si>
  <si>
    <t>Scenario 2: Urban=rural. Adult, then kids [no boosters]</t>
  </si>
  <si>
    <t>Scenario 4: Urban=rural. Adult, then boosters [no kids]</t>
  </si>
  <si>
    <t>Scenario 5: Urban=rural. Adult-only [no boosters, no kids]</t>
  </si>
  <si>
    <t>Scenario 6: Urban first. Adult urban 1st 6 mnth, adult urban boosters 7-12 mth, rural adults slow yr 1 then year 2, kids last</t>
  </si>
  <si>
    <t>12-17</t>
  </si>
  <si>
    <t>60+</t>
  </si>
  <si>
    <t>18-59</t>
  </si>
  <si>
    <t>60+ booster</t>
  </si>
  <si>
    <t>N</t>
  </si>
  <si>
    <t>N left to vacc for target of:</t>
  </si>
  <si>
    <t xml:space="preserve">Doses as of 1 Nov </t>
  </si>
  <si>
    <t>Under 5</t>
  </si>
  <si>
    <t>Population</t>
  </si>
  <si>
    <t>Number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</si>
  <si>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</si>
  <si>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</si>
  <si>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</si>
  <si>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</si>
  <si>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</si>
  <si>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</si>
  <si>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</si>
  <si>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</si>
  <si>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</si>
  <si>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</si>
  <si>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</si>
  <si>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</si>
  <si>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</si>
  <si>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</si>
  <si>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</si>
  <si>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</si>
  <si>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</si>
  <si>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to 94</t>
  </si>
  <si>
    <t>95 plus</t>
  </si>
  <si>
    <t>5 to 11</t>
  </si>
  <si>
    <t>12 to 17</t>
  </si>
  <si>
    <t>18 to 59</t>
  </si>
  <si>
    <t>5+</t>
  </si>
  <si>
    <t>All</t>
  </si>
  <si>
    <t>18 to 59 booster</t>
  </si>
  <si>
    <t>% double vacc</t>
  </si>
  <si>
    <t>Pakistan</t>
  </si>
  <si>
    <t>Azad Jammur and Kashmir</t>
  </si>
  <si>
    <t>Balochistan</t>
  </si>
  <si>
    <t>Gligit Balistan</t>
  </si>
  <si>
    <t>Islamabab Capital Territory</t>
  </si>
  <si>
    <t>Khyber Pakhtunkhwa</t>
  </si>
  <si>
    <t>Punjab</t>
  </si>
  <si>
    <t>Sindh</t>
  </si>
  <si>
    <t>% rural</t>
  </si>
  <si>
    <t>% urban</t>
  </si>
  <si>
    <t xml:space="preserve">From Pakistan Bur Stats </t>
  </si>
  <si>
    <t>https://www.google.com/url?sa=t&amp;rct=j&amp;q=&amp;esrc=s&amp;source=web&amp;cd=&amp;ved=2ahUKEwjijqT9ndP0AhXcS2wGHVCoACYQFnoECBsQAQ&amp;url=https%3A%2F%2Fwww.pbs.gov.pk%2Fsites%2Fdefault%2Ffiles%2F%2FPopulation_Census_2017_Results_0.pdf&amp;usg=AOvVaw1LvLMyLcJTXrs1-smqRxxS</t>
  </si>
  <si>
    <t xml:space="preserve">1 dose </t>
  </si>
  <si>
    <t>Vaccination as of 1 Nov, IHME</t>
  </si>
  <si>
    <t>2 dose</t>
  </si>
  <si>
    <t>RR Urban to rural</t>
  </si>
  <si>
    <t>% pt diff</t>
  </si>
  <si>
    <t>% vacc rural</t>
  </si>
  <si>
    <t>Average</t>
  </si>
  <si>
    <t>Vac Reg</t>
  </si>
  <si>
    <t>70+</t>
  </si>
  <si>
    <t>RR vacc</t>
  </si>
  <si>
    <t>Reg proportion</t>
  </si>
  <si>
    <t>RR</t>
  </si>
  <si>
    <t>Total doses</t>
  </si>
  <si>
    <t>Check</t>
  </si>
  <si>
    <t>% doses</t>
  </si>
  <si>
    <t>% single only vacc</t>
  </si>
  <si>
    <t>Single only</t>
  </si>
  <si>
    <t>% 12+</t>
  </si>
  <si>
    <t>% 12-59</t>
  </si>
  <si>
    <t>%60+</t>
  </si>
  <si>
    <t>Assume:</t>
  </si>
  <si>
    <t>of initially vacc get boosted</t>
  </si>
  <si>
    <t>Scenario 1: Urban=rural (i.e. rural catch up for adults). Adult, then kids, then boosters</t>
  </si>
  <si>
    <t>Percentage allocation</t>
  </si>
  <si>
    <t>60% vaccination</t>
  </si>
  <si>
    <t>80% vaccination</t>
  </si>
  <si>
    <t>70% vaccination</t>
  </si>
  <si>
    <t>Scenario 2: Urban = rural (i.e. rural catch up). Adult, eldery boost at 6 months, then kids, then remaining adult boosters</t>
  </si>
  <si>
    <t>Scenario 3: Current rate for adults (i.e. urban faster) till all done, then kids (same rural / urban), then boosters (same rural/urban)</t>
  </si>
  <si>
    <t>Assumed double vacc at outset in model (nil single vacc)</t>
  </si>
  <si>
    <t>Agents</t>
  </si>
  <si>
    <t>60% Vacc</t>
  </si>
  <si>
    <t>60+ double vacc'ed</t>
  </si>
  <si>
    <t>18-59 double vacc'ed</t>
  </si>
  <si>
    <t>12-17 double vacc'ed</t>
  </si>
  <si>
    <t>5-11 double vacc'ed</t>
  </si>
  <si>
    <t>60+ booster - one shot</t>
  </si>
  <si>
    <t>18 to 59 booster - one shot</t>
  </si>
  <si>
    <t>70% Vacc</t>
  </si>
  <si>
    <t>80% Vac</t>
  </si>
  <si>
    <t>Age</t>
  </si>
  <si>
    <t>Scenario 1</t>
  </si>
  <si>
    <t>Scenario 3</t>
  </si>
  <si>
    <t>Scenario 2</t>
  </si>
  <si>
    <t>Scenario 4</t>
  </si>
  <si>
    <t>Scenario 5</t>
  </si>
  <si>
    <t>Scenario 6</t>
  </si>
  <si>
    <t>comment</t>
  </si>
  <si>
    <t>Age 0 to 4</t>
  </si>
  <si>
    <t>Ages 5 to 9</t>
  </si>
  <si>
    <t>Ages 10 and 11</t>
  </si>
  <si>
    <t>Ages 12 to 17</t>
  </si>
  <si>
    <t>Ages 18 and 19</t>
  </si>
  <si>
    <t>Frontline workers</t>
  </si>
  <si>
    <t>Ages 60 to 64</t>
  </si>
  <si>
    <t>Ages 65 to 69</t>
  </si>
  <si>
    <t>Pregnant Urban</t>
  </si>
  <si>
    <t>Pregnant Rural</t>
  </si>
  <si>
    <t>totalAgents</t>
  </si>
  <si>
    <t>age</t>
  </si>
  <si>
    <t>totalPop</t>
  </si>
  <si>
    <t>0-4</t>
  </si>
  <si>
    <t>agents</t>
  </si>
  <si>
    <t>Second Prop</t>
  </si>
  <si>
    <t>First</t>
  </si>
  <si>
    <t>Second</t>
  </si>
  <si>
    <t>Total</t>
  </si>
  <si>
    <t>vaccinatedCount</t>
  </si>
  <si>
    <t>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</si>
</sst>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0.0"/>
    <numFmt numFmtId="166" formatCode="0.000%"/>
    <numFmt numFmtId="167" formatCode="0.000000000000000%"/>
    <numFmt numFmtId="168" formatCode="_-* #,##0_-;\-* #,##0_-;_-* &quot;-&quot;??_-;_-@_-"/>
    <numFmt numFmtId="169" formatCode="_-* #,##0.000_-;\-* #,##0.00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6"/>
      <color theme="5" tint="-0.249977111117893"/>
      <name val="Calibri"/>
      <family val="2"/>
      <scheme val="minor"/>
    </font>
    <font>
      <sz val="7"/>
      <color theme="5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6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7"/>
      <color theme="9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6"/>
      <color theme="7" tint="-0.499984740745262"/>
      <name val="Calibri"/>
      <family val="2"/>
      <scheme val="minor"/>
    </font>
    <font>
      <sz val="7"/>
      <color theme="7" tint="-0.499984740745262"/>
      <name val="Calibri"/>
      <family val="2"/>
      <scheme val="minor"/>
    </font>
    <font>
      <sz val="7"/>
      <name val="Calibri"/>
      <family val="2"/>
      <scheme val="minor"/>
    </font>
    <font>
      <sz val="6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9">
    <xf numFmtId="0" fontId="0" fillId="0" borderId="0" xfId="0"/>
    <xf numFmtId="16" fontId="0" fillId="0" borderId="0" xfId="0" quotePrefix="1" applyNumberFormat="1"/>
    <xf numFmtId="10" fontId="0" fillId="0" borderId="0" xfId="0" applyNumberFormat="1"/>
    <xf numFmtId="0" fontId="2" fillId="0" borderId="0" xfId="0" applyFont="1"/>
    <xf numFmtId="10" fontId="3" fillId="0" borderId="2" xfId="1" applyNumberFormat="1" applyFont="1" applyBorder="1"/>
    <xf numFmtId="10" fontId="3" fillId="0" borderId="3" xfId="1" applyNumberFormat="1" applyFont="1" applyBorder="1"/>
    <xf numFmtId="10" fontId="3" fillId="0" borderId="3" xfId="0" applyNumberFormat="1" applyFont="1" applyBorder="1"/>
    <xf numFmtId="10" fontId="3" fillId="0" borderId="4" xfId="0" applyNumberFormat="1" applyFont="1" applyBorder="1"/>
    <xf numFmtId="10" fontId="3" fillId="0" borderId="5" xfId="0" applyNumberFormat="1" applyFont="1" applyBorder="1"/>
    <xf numFmtId="10" fontId="3" fillId="0" borderId="1" xfId="0" applyNumberFormat="1" applyFont="1" applyBorder="1"/>
    <xf numFmtId="10" fontId="3" fillId="0" borderId="6" xfId="0" applyNumberFormat="1" applyFont="1" applyBorder="1"/>
    <xf numFmtId="10" fontId="3" fillId="0" borderId="5" xfId="1" applyNumberFormat="1" applyFont="1" applyBorder="1"/>
    <xf numFmtId="10" fontId="3" fillId="0" borderId="1" xfId="1" applyNumberFormat="1" applyFont="1" applyBorder="1"/>
    <xf numFmtId="10" fontId="3" fillId="0" borderId="7" xfId="0" applyNumberFormat="1" applyFont="1" applyBorder="1"/>
    <xf numFmtId="10" fontId="3" fillId="0" borderId="8" xfId="0" applyNumberFormat="1" applyFont="1" applyBorder="1"/>
    <xf numFmtId="10" fontId="3" fillId="0" borderId="9" xfId="0" applyNumberFormat="1" applyFont="1" applyBorder="1"/>
    <xf numFmtId="0" fontId="3" fillId="0" borderId="0" xfId="0" applyFont="1"/>
    <xf numFmtId="0" fontId="4" fillId="0" borderId="0" xfId="0" applyFont="1"/>
    <xf numFmtId="166" fontId="2" fillId="0" borderId="0" xfId="1" applyNumberFormat="1" applyFont="1"/>
    <xf numFmtId="9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/>
    <xf numFmtId="10" fontId="3" fillId="0" borderId="10" xfId="1" applyNumberFormat="1" applyFont="1" applyBorder="1"/>
    <xf numFmtId="10" fontId="3" fillId="0" borderId="10" xfId="0" applyNumberFormat="1" applyFont="1" applyBorder="1"/>
    <xf numFmtId="9" fontId="0" fillId="0" borderId="0" xfId="0" applyNumberFormat="1"/>
    <xf numFmtId="10" fontId="3" fillId="0" borderId="11" xfId="0" applyNumberFormat="1" applyFont="1" applyBorder="1"/>
    <xf numFmtId="1" fontId="0" fillId="0" borderId="0" xfId="0" applyNumberFormat="1"/>
    <xf numFmtId="168" fontId="0" fillId="0" borderId="0" xfId="2" applyNumberFormat="1" applyFont="1"/>
    <xf numFmtId="1" fontId="0" fillId="0" borderId="0" xfId="0" quotePrefix="1" applyNumberFormat="1"/>
    <xf numFmtId="9" fontId="0" fillId="0" borderId="0" xfId="1" applyFont="1"/>
    <xf numFmtId="2" fontId="0" fillId="0" borderId="0" xfId="0" applyNumberFormat="1"/>
    <xf numFmtId="2" fontId="8" fillId="0" borderId="0" xfId="0" applyNumberFormat="1" applyFont="1"/>
    <xf numFmtId="168" fontId="0" fillId="0" borderId="0" xfId="0" applyNumberFormat="1"/>
    <xf numFmtId="169" fontId="0" fillId="0" borderId="0" xfId="0" applyNumberFormat="1"/>
    <xf numFmtId="168" fontId="5" fillId="0" borderId="0" xfId="0" applyNumberFormat="1" applyFont="1"/>
    <xf numFmtId="0" fontId="9" fillId="0" borderId="0" xfId="0" applyFont="1"/>
    <xf numFmtId="168" fontId="9" fillId="0" borderId="0" xfId="0" applyNumberFormat="1" applyFont="1"/>
    <xf numFmtId="164" fontId="0" fillId="0" borderId="0" xfId="1" applyNumberFormat="1" applyFont="1"/>
    <xf numFmtId="9" fontId="0" fillId="0" borderId="0" xfId="1" applyNumberFormat="1" applyFont="1"/>
    <xf numFmtId="9" fontId="6" fillId="0" borderId="0" xfId="1" applyFont="1"/>
    <xf numFmtId="43" fontId="9" fillId="0" borderId="0" xfId="2" applyFont="1"/>
    <xf numFmtId="9" fontId="6" fillId="0" borderId="0" xfId="0" applyNumberFormat="1" applyFont="1"/>
    <xf numFmtId="168" fontId="5" fillId="0" borderId="0" xfId="2" applyNumberFormat="1" applyFont="1"/>
    <xf numFmtId="168" fontId="0" fillId="0" borderId="0" xfId="2" quotePrefix="1" applyNumberFormat="1" applyFont="1"/>
    <xf numFmtId="168" fontId="10" fillId="0" borderId="0" xfId="2" applyNumberFormat="1" applyFont="1"/>
    <xf numFmtId="168" fontId="11" fillId="0" borderId="2" xfId="2" applyNumberFormat="1" applyFont="1" applyBorder="1"/>
    <xf numFmtId="168" fontId="11" fillId="0" borderId="0" xfId="0" applyNumberFormat="1" applyFont="1" applyBorder="1"/>
    <xf numFmtId="168" fontId="11" fillId="0" borderId="0" xfId="0" applyNumberFormat="1" applyFont="1"/>
    <xf numFmtId="0" fontId="13" fillId="0" borderId="0" xfId="0" applyFont="1"/>
    <xf numFmtId="168" fontId="13" fillId="0" borderId="0" xfId="0" applyNumberFormat="1" applyFont="1"/>
    <xf numFmtId="0" fontId="7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68" fontId="17" fillId="0" borderId="0" xfId="0" applyNumberFormat="1" applyFont="1"/>
    <xf numFmtId="168" fontId="18" fillId="0" borderId="2" xfId="2" applyNumberFormat="1" applyFont="1" applyBorder="1"/>
    <xf numFmtId="168" fontId="18" fillId="0" borderId="0" xfId="0" applyNumberFormat="1" applyFont="1"/>
    <xf numFmtId="10" fontId="19" fillId="0" borderId="2" xfId="1" applyNumberFormat="1" applyFont="1" applyBorder="1"/>
    <xf numFmtId="10" fontId="19" fillId="0" borderId="3" xfId="0" applyNumberFormat="1" applyFont="1" applyBorder="1"/>
    <xf numFmtId="10" fontId="19" fillId="0" borderId="10" xfId="0" applyNumberFormat="1" applyFont="1" applyBorder="1"/>
    <xf numFmtId="10" fontId="19" fillId="0" borderId="1" xfId="0" applyNumberFormat="1" applyFont="1" applyBorder="1"/>
    <xf numFmtId="10" fontId="19" fillId="0" borderId="11" xfId="0" applyNumberFormat="1" applyFont="1" applyBorder="1"/>
    <xf numFmtId="10" fontId="19" fillId="0" borderId="8" xfId="0" applyNumberFormat="1" applyFont="1" applyBorder="1"/>
    <xf numFmtId="168" fontId="18" fillId="0" borderId="0" xfId="0" applyNumberFormat="1" applyFont="1" applyBorder="1"/>
    <xf numFmtId="10" fontId="16" fillId="0" borderId="0" xfId="0" applyNumberFormat="1" applyFont="1"/>
    <xf numFmtId="10" fontId="19" fillId="0" borderId="3" xfId="1" applyNumberFormat="1" applyFont="1" applyBorder="1"/>
    <xf numFmtId="10" fontId="19" fillId="0" borderId="10" xfId="1" applyNumberFormat="1" applyFont="1" applyBorder="1"/>
    <xf numFmtId="10" fontId="19" fillId="0" borderId="1" xfId="1" applyNumberFormat="1" applyFont="1" applyBorder="1"/>
    <xf numFmtId="0" fontId="20" fillId="0" borderId="0" xfId="0" applyFont="1"/>
    <xf numFmtId="168" fontId="20" fillId="0" borderId="0" xfId="0" applyNumberFormat="1" applyFont="1"/>
    <xf numFmtId="0" fontId="21" fillId="0" borderId="0" xfId="0" applyFont="1"/>
    <xf numFmtId="168" fontId="22" fillId="0" borderId="2" xfId="2" applyNumberFormat="1" applyFont="1" applyBorder="1"/>
    <xf numFmtId="168" fontId="22" fillId="0" borderId="0" xfId="0" applyNumberFormat="1" applyFont="1"/>
    <xf numFmtId="10" fontId="23" fillId="0" borderId="2" xfId="1" applyNumberFormat="1" applyFont="1" applyBorder="1"/>
    <xf numFmtId="10" fontId="23" fillId="0" borderId="3" xfId="0" applyNumberFormat="1" applyFont="1" applyBorder="1"/>
    <xf numFmtId="10" fontId="23" fillId="0" borderId="10" xfId="0" applyNumberFormat="1" applyFont="1" applyBorder="1"/>
    <xf numFmtId="10" fontId="23" fillId="0" borderId="1" xfId="0" applyNumberFormat="1" applyFont="1" applyBorder="1"/>
    <xf numFmtId="10" fontId="23" fillId="0" borderId="11" xfId="0" applyNumberFormat="1" applyFont="1" applyBorder="1"/>
    <xf numFmtId="10" fontId="23" fillId="0" borderId="8" xfId="0" applyNumberFormat="1" applyFont="1" applyBorder="1"/>
    <xf numFmtId="168" fontId="22" fillId="0" borderId="0" xfId="0" applyNumberFormat="1" applyFont="1" applyBorder="1"/>
    <xf numFmtId="10" fontId="21" fillId="0" borderId="0" xfId="0" applyNumberFormat="1" applyFont="1"/>
    <xf numFmtId="10" fontId="23" fillId="0" borderId="3" xfId="1" applyNumberFormat="1" applyFont="1" applyBorder="1"/>
    <xf numFmtId="10" fontId="23" fillId="0" borderId="10" xfId="1" applyNumberFormat="1" applyFont="1" applyBorder="1"/>
    <xf numFmtId="10" fontId="23" fillId="0" borderId="1" xfId="1" applyNumberFormat="1" applyFont="1" applyBorder="1"/>
    <xf numFmtId="10" fontId="23" fillId="0" borderId="0" xfId="1" applyNumberFormat="1" applyFont="1" applyBorder="1"/>
    <xf numFmtId="43" fontId="22" fillId="2" borderId="2" xfId="2" applyNumberFormat="1" applyFont="1" applyFill="1" applyBorder="1"/>
    <xf numFmtId="43" fontId="22" fillId="3" borderId="2" xfId="2" applyNumberFormat="1" applyFont="1" applyFill="1" applyBorder="1"/>
    <xf numFmtId="43" fontId="22" fillId="4" borderId="2" xfId="2" applyNumberFormat="1" applyFont="1" applyFill="1" applyBorder="1"/>
    <xf numFmtId="168" fontId="21" fillId="0" borderId="0" xfId="0" applyNumberFormat="1" applyFont="1"/>
    <xf numFmtId="0" fontId="24" fillId="0" borderId="0" xfId="0" applyFont="1"/>
    <xf numFmtId="0" fontId="25" fillId="0" borderId="0" xfId="0" applyFont="1"/>
    <xf numFmtId="168" fontId="25" fillId="0" borderId="0" xfId="0" applyNumberFormat="1" applyFont="1"/>
    <xf numFmtId="43" fontId="26" fillId="2" borderId="2" xfId="2" applyNumberFormat="1" applyFont="1" applyFill="1" applyBorder="1"/>
    <xf numFmtId="168" fontId="24" fillId="0" borderId="0" xfId="0" applyNumberFormat="1" applyFont="1"/>
    <xf numFmtId="43" fontId="26" fillId="3" borderId="2" xfId="2" applyNumberFormat="1" applyFont="1" applyFill="1" applyBorder="1"/>
    <xf numFmtId="43" fontId="26" fillId="4" borderId="2" xfId="2" applyNumberFormat="1" applyFont="1" applyFill="1" applyBorder="1"/>
    <xf numFmtId="168" fontId="26" fillId="0" borderId="0" xfId="0" applyNumberFormat="1" applyFont="1" applyBorder="1"/>
    <xf numFmtId="0" fontId="10" fillId="0" borderId="0" xfId="0" applyFont="1"/>
    <xf numFmtId="43" fontId="27" fillId="2" borderId="2" xfId="2" applyNumberFormat="1" applyFont="1" applyFill="1" applyBorder="1"/>
    <xf numFmtId="43" fontId="27" fillId="0" borderId="2" xfId="2" applyNumberFormat="1" applyFont="1" applyBorder="1"/>
    <xf numFmtId="168" fontId="27" fillId="0" borderId="2" xfId="2" applyNumberFormat="1" applyFont="1" applyBorder="1"/>
    <xf numFmtId="43" fontId="27" fillId="3" borderId="2" xfId="2" applyNumberFormat="1" applyFont="1" applyFill="1" applyBorder="1"/>
    <xf numFmtId="43" fontId="27" fillId="4" borderId="2" xfId="2" applyNumberFormat="1" applyFont="1" applyFill="1" applyBorder="1"/>
    <xf numFmtId="168" fontId="27" fillId="5" borderId="2" xfId="2" applyNumberFormat="1" applyFont="1" applyFill="1" applyBorder="1"/>
    <xf numFmtId="168" fontId="27" fillId="0" borderId="0" xfId="0" applyNumberFormat="1" applyFont="1" applyBorder="1"/>
    <xf numFmtId="0" fontId="28" fillId="0" borderId="0" xfId="0" applyFont="1"/>
    <xf numFmtId="168" fontId="28" fillId="0" borderId="0" xfId="0" applyNumberFormat="1" applyFont="1"/>
    <xf numFmtId="0" fontId="29" fillId="0" borderId="0" xfId="0" applyFont="1"/>
    <xf numFmtId="0" fontId="30" fillId="0" borderId="0" xfId="0" applyFont="1"/>
    <xf numFmtId="43" fontId="26" fillId="5" borderId="2" xfId="2" applyNumberFormat="1" applyFont="1" applyFill="1" applyBorder="1"/>
    <xf numFmtId="43" fontId="27" fillId="5" borderId="2" xfId="2" applyNumberFormat="1" applyFont="1" applyFill="1" applyBorder="1"/>
    <xf numFmtId="43" fontId="22" fillId="5" borderId="2" xfId="2" applyNumberFormat="1" applyFont="1" applyFill="1" applyBorder="1"/>
    <xf numFmtId="43" fontId="0" fillId="0" borderId="0" xfId="0" applyNumberFormat="1"/>
    <xf numFmtId="0" fontId="31" fillId="0" borderId="0" xfId="0" applyFont="1"/>
    <xf numFmtId="3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'Urban Rural'!$G$2</c:f>
              <c:strCache>
                <c:ptCount val="1"/>
                <c:pt idx="0">
                  <c:v>1 dose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981627296587927E-3"/>
                  <c:y val="-5.61930686738403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('Urban Rural'!$E$6,'Urban Rural'!$E$8:$E$11)</c:f>
              <c:numCache>
                <c:formatCode>0%</c:formatCode>
                <c:ptCount val="5"/>
                <c:pt idx="0">
                  <c:v>0.27550000000000002</c:v>
                </c:pt>
                <c:pt idx="1">
                  <c:v>0.50580000000000003</c:v>
                </c:pt>
                <c:pt idx="2">
                  <c:v>0.18770000000000001</c:v>
                </c:pt>
                <c:pt idx="3">
                  <c:v>0.36709999999999998</c:v>
                </c:pt>
                <c:pt idx="4">
                  <c:v>0.5202</c:v>
                </c:pt>
              </c:numCache>
            </c:numRef>
          </c:xVal>
          <c:yVal>
            <c:numRef>
              <c:f>('Urban Rural'!$G$6,'Urban Rural'!$G$8:$G$11)</c:f>
              <c:numCache>
                <c:formatCode>0%</c:formatCode>
                <c:ptCount val="5"/>
                <c:pt idx="0">
                  <c:v>0.28000000000000003</c:v>
                </c:pt>
                <c:pt idx="1">
                  <c:v>0.34</c:v>
                </c:pt>
                <c:pt idx="2">
                  <c:v>0.28999999999999998</c:v>
                </c:pt>
                <c:pt idx="3">
                  <c:v>0.33</c:v>
                </c:pt>
                <c:pt idx="4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0-420B-8478-33D98A2B2F22}"/>
            </c:ext>
          </c:extLst>
        </c:ser>
        <c:ser>
          <c:idx val="1"/>
          <c:order val="1"/>
          <c:tx>
            <c:strRef>
              <c:f>'Urban Rural'!$H$2</c:f>
              <c:strCache>
                <c:ptCount val="1"/>
                <c:pt idx="0">
                  <c:v>2 dose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920384951881016E-2"/>
                  <c:y val="8.5617406872864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('Urban Rural'!$E$6,'Urban Rural'!$E$8:$E$11)</c:f>
              <c:numCache>
                <c:formatCode>0%</c:formatCode>
                <c:ptCount val="5"/>
                <c:pt idx="0">
                  <c:v>0.27550000000000002</c:v>
                </c:pt>
                <c:pt idx="1">
                  <c:v>0.50580000000000003</c:v>
                </c:pt>
                <c:pt idx="2">
                  <c:v>0.18770000000000001</c:v>
                </c:pt>
                <c:pt idx="3">
                  <c:v>0.36709999999999998</c:v>
                </c:pt>
                <c:pt idx="4">
                  <c:v>0.5202</c:v>
                </c:pt>
              </c:numCache>
            </c:numRef>
          </c:xVal>
          <c:yVal>
            <c:numRef>
              <c:f>('Urban Rural'!$H$6,'Urban Rural'!$H$8:$H$11)</c:f>
              <c:numCache>
                <c:formatCode>0%</c:formatCode>
                <c:ptCount val="5"/>
                <c:pt idx="0">
                  <c:v>0.16</c:v>
                </c:pt>
                <c:pt idx="1">
                  <c:v>0.19</c:v>
                </c:pt>
                <c:pt idx="2">
                  <c:v>0.17</c:v>
                </c:pt>
                <c:pt idx="3">
                  <c:v>0.19</c:v>
                </c:pt>
                <c:pt idx="4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0-420B-8478-33D98A2B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813704"/>
        <c:axId val="820814032"/>
      </c:scatterChart>
      <c:valAx>
        <c:axId val="82081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14032"/>
        <c:crosses val="autoZero"/>
        <c:crossBetween val="midCat"/>
      </c:valAx>
      <c:valAx>
        <c:axId val="8208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1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360362</xdr:colOff>
      <xdr:row>1</xdr:row>
      <xdr:rowOff>179387</xdr:rowOff>
    </xdr:from>
    <xdr:to>
      <xdr:col>22</xdr:col>
      <xdr:colOff>55562</xdr:colOff>
      <xdr:row>17</xdr:row>
      <xdr:rowOff>20637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F338E-B185-4D36-8F46-6B411F7F0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E354-F9C5-4BA4-9F74-65B24B8A0E00}">
  <dimension ref="A1:AA61"/>
  <sheetViews>
    <sheetView zoomScale="84" workbookViewId="0">
      <selection activeCell="S6" sqref="S6"/>
    </sheetView>
  </sheetViews>
  <sheetFormatPr defaultRowHeight="15" x14ac:dyDescent="0.25"/>
  <cols>
    <col min="5" max="5" width="18.5703125" customWidth="1"/>
    <col min="8" max="25" width="5.7109375" customWidth="1"/>
  </cols>
  <sheetData>
    <row r="1" spans="1:18" x14ac:dyDescent="0.25">
      <c r="B1" t="s">
        <v>0</v>
      </c>
      <c r="J1" s="16"/>
      <c r="K1" s="19">
        <v>0.63</v>
      </c>
      <c r="L1" s="16"/>
      <c r="M1" s="16" t="s">
        <v>1</v>
      </c>
      <c r="N1" s="16" t="s">
        <v>2</v>
      </c>
      <c r="O1" s="16" t="s">
        <v>3</v>
      </c>
      <c r="P1" s="16"/>
      <c r="Q1" s="16"/>
      <c r="R1" s="16"/>
    </row>
    <row r="2" spans="1:18" x14ac:dyDescent="0.25">
      <c r="A2" t="s">
        <v>4</v>
      </c>
      <c r="J2" s="16"/>
      <c r="K2" s="16"/>
      <c r="L2" s="16"/>
      <c r="M2" s="16"/>
      <c r="N2" s="16">
        <v>78</v>
      </c>
      <c r="O2" s="16">
        <v>18</v>
      </c>
      <c r="P2" s="16"/>
      <c r="Q2" s="16"/>
      <c r="R2" s="16"/>
    </row>
    <row r="3" spans="1:18" x14ac:dyDescent="0.25">
      <c r="A3" t="s">
        <v>5</v>
      </c>
      <c r="B3" t="s">
        <v>9</v>
      </c>
      <c r="J3" s="20">
        <v>14834500.179531109</v>
      </c>
      <c r="K3" s="21">
        <v>6.6206871833686995E-2</v>
      </c>
      <c r="L3" s="21">
        <v>7.6649679119068684E-2</v>
      </c>
      <c r="M3" s="21">
        <f>2*K3/$K$15</f>
        <v>5.8270837345065662E-2</v>
      </c>
      <c r="N3" s="20">
        <v>4.4585339779043309</v>
      </c>
      <c r="O3" s="22">
        <v>1.028892456439461</v>
      </c>
      <c r="P3" s="16"/>
      <c r="Q3" s="16"/>
      <c r="R3" s="23">
        <f>(M3/M5)/(M11/M12)</f>
        <v>0.99999999999999944</v>
      </c>
    </row>
    <row r="4" spans="1:18" x14ac:dyDescent="0.25">
      <c r="B4" t="s">
        <v>10</v>
      </c>
      <c r="J4" s="20">
        <v>56773954.409041747</v>
      </c>
      <c r="K4" s="21">
        <v>0.25338406266208474</v>
      </c>
      <c r="L4" s="21">
        <v>0.29335032088093133</v>
      </c>
      <c r="M4" s="21">
        <f t="shared" ref="M4:M6" si="0">2*K4/$K$15</f>
        <v>0.22301161635160768</v>
      </c>
      <c r="N4" s="20">
        <v>17.063507481160379</v>
      </c>
      <c r="O4" s="22">
        <v>3.9377324956523951</v>
      </c>
      <c r="P4" s="16"/>
      <c r="Q4" s="16"/>
      <c r="R4" s="16"/>
    </row>
    <row r="5" spans="1:18" x14ac:dyDescent="0.25">
      <c r="A5" t="s">
        <v>6</v>
      </c>
      <c r="B5" t="s">
        <v>9</v>
      </c>
      <c r="J5" s="20">
        <v>25258743.548931349</v>
      </c>
      <c r="K5" s="21">
        <v>0.11273061960871036</v>
      </c>
      <c r="L5" s="21">
        <v>0.13051161579733317</v>
      </c>
      <c r="M5" s="21">
        <f t="shared" si="0"/>
        <v>9.9217912236192946E-2</v>
      </c>
      <c r="N5" s="20">
        <v>7.5915578542695386</v>
      </c>
      <c r="O5" s="22">
        <v>1.7518979663698937</v>
      </c>
      <c r="P5" s="16"/>
      <c r="Q5" s="16"/>
      <c r="R5" s="16"/>
    </row>
    <row r="6" spans="1:18" x14ac:dyDescent="0.25">
      <c r="B6" t="s">
        <v>10</v>
      </c>
      <c r="J6" s="20">
        <v>96669165.615395397</v>
      </c>
      <c r="K6" s="21">
        <v>0.43143772831652266</v>
      </c>
      <c r="L6" s="21">
        <v>0.49948838420266689</v>
      </c>
      <c r="M6" s="21">
        <f t="shared" si="0"/>
        <v>0.37972248189598068</v>
      </c>
      <c r="N6" s="20">
        <v>29.054080305759562</v>
      </c>
      <c r="O6" s="22">
        <v>6.7047877628675918</v>
      </c>
      <c r="P6" s="16"/>
      <c r="Q6" s="16"/>
      <c r="R6" s="16"/>
    </row>
    <row r="7" spans="1:18" x14ac:dyDescent="0.25">
      <c r="J7" s="16"/>
      <c r="K7" s="16"/>
      <c r="L7" s="16"/>
      <c r="M7" s="21"/>
      <c r="N7" s="16"/>
      <c r="O7" s="22"/>
      <c r="P7" s="16"/>
      <c r="Q7" s="16"/>
      <c r="R7" s="16"/>
    </row>
    <row r="8" spans="1:18" x14ac:dyDescent="0.25">
      <c r="J8" s="20">
        <v>193536363.75289959</v>
      </c>
      <c r="K8" s="21">
        <f>SUM(K3:K6)</f>
        <v>0.86375928242100475</v>
      </c>
      <c r="L8" s="16"/>
      <c r="M8" s="21"/>
      <c r="N8" s="16"/>
      <c r="O8" s="22"/>
      <c r="P8" s="16"/>
      <c r="Q8" s="16"/>
      <c r="R8" s="16"/>
    </row>
    <row r="9" spans="1:18" x14ac:dyDescent="0.25">
      <c r="J9" s="16"/>
      <c r="K9" s="16"/>
      <c r="L9" s="16"/>
      <c r="M9" s="21"/>
      <c r="N9" s="16"/>
      <c r="O9" s="22"/>
      <c r="P9" s="16"/>
      <c r="Q9" s="16"/>
      <c r="R9" s="16"/>
    </row>
    <row r="10" spans="1:18" x14ac:dyDescent="0.25">
      <c r="A10" t="s">
        <v>7</v>
      </c>
      <c r="J10" s="16"/>
      <c r="K10" s="16"/>
      <c r="L10" s="16"/>
      <c r="M10" s="21"/>
      <c r="N10" s="16"/>
      <c r="O10" s="22"/>
      <c r="P10" s="16"/>
      <c r="Q10" s="16"/>
      <c r="R10" s="16"/>
    </row>
    <row r="11" spans="1:18" x14ac:dyDescent="0.25">
      <c r="A11" t="s">
        <v>5</v>
      </c>
      <c r="B11" t="s">
        <v>8</v>
      </c>
      <c r="J11" s="16"/>
      <c r="K11" s="21">
        <v>0.20160037113319151</v>
      </c>
      <c r="L11" s="16"/>
      <c r="M11" s="21">
        <f>K11/$K$15</f>
        <v>8.8717546303326622E-2</v>
      </c>
      <c r="N11" s="20">
        <v>7.7243224260033116</v>
      </c>
      <c r="O11" s="22">
        <v>1.7825359444623028</v>
      </c>
      <c r="P11" s="16"/>
      <c r="Q11" s="16"/>
      <c r="R11" s="16"/>
    </row>
    <row r="12" spans="1:18" x14ac:dyDescent="0.25">
      <c r="A12" t="s">
        <v>6</v>
      </c>
      <c r="B12" t="s">
        <v>8</v>
      </c>
      <c r="J12" s="16"/>
      <c r="K12" s="21">
        <v>0.34326549679435314</v>
      </c>
      <c r="L12" s="16"/>
      <c r="M12" s="21">
        <f>K12/$K$15</f>
        <v>0.15105960586782641</v>
      </c>
      <c r="N12" s="20">
        <v>12.107997954902885</v>
      </c>
      <c r="O12" s="22">
        <v>2.7941533742083582</v>
      </c>
      <c r="P12" s="16"/>
      <c r="Q12" s="16"/>
      <c r="R12" s="16"/>
    </row>
    <row r="13" spans="1:18" x14ac:dyDescent="0.25">
      <c r="J13" s="16"/>
      <c r="K13" s="16"/>
      <c r="L13" s="16"/>
      <c r="M13" s="21"/>
      <c r="N13" s="16"/>
      <c r="O13" s="22"/>
      <c r="P13" s="16"/>
      <c r="Q13" s="16"/>
      <c r="R13" s="16"/>
    </row>
    <row r="14" spans="1:18" x14ac:dyDescent="0.25">
      <c r="J14" s="16"/>
      <c r="K14" s="21">
        <f>SUM(K3:K12)</f>
        <v>2.2723844327695542</v>
      </c>
      <c r="L14" s="16"/>
      <c r="M14" s="21">
        <f>SUM(M3:M12)</f>
        <v>1</v>
      </c>
      <c r="N14" s="20">
        <v>78</v>
      </c>
      <c r="O14" s="22">
        <v>18</v>
      </c>
      <c r="P14" s="16"/>
      <c r="Q14" s="16"/>
      <c r="R14" s="16"/>
    </row>
    <row r="15" spans="1:18" x14ac:dyDescent="0.25">
      <c r="J15" s="16"/>
      <c r="K15" s="21">
        <f>SUM(K3:K6)*2+SUM(K11:K12)</f>
        <v>2.2723844327695542</v>
      </c>
      <c r="L15" s="16"/>
      <c r="M15" s="16"/>
      <c r="N15" s="16"/>
      <c r="O15" s="16"/>
      <c r="P15" s="16"/>
      <c r="Q15" s="16"/>
      <c r="R15" s="16"/>
    </row>
    <row r="16" spans="1:18" x14ac:dyDescent="0.25">
      <c r="J16" s="16"/>
      <c r="K16" s="16"/>
      <c r="L16" s="16"/>
      <c r="M16" s="16"/>
      <c r="N16" s="16"/>
      <c r="O16" s="16"/>
      <c r="P16" s="16"/>
      <c r="Q16" s="16"/>
      <c r="R16" s="16" t="str">
        <f>FIXED(SUM(R19:R23),4)</f>
        <v>0.0556</v>
      </c>
    </row>
    <row r="18" spans="2:27" ht="15.75" thickBot="1" x14ac:dyDescent="0.3">
      <c r="G18" t="s">
        <v>11</v>
      </c>
      <c r="H18">
        <v>1</v>
      </c>
      <c r="I18">
        <v>2</v>
      </c>
      <c r="J18">
        <v>3</v>
      </c>
      <c r="K18">
        <v>4</v>
      </c>
      <c r="L18">
        <v>5</v>
      </c>
      <c r="M18">
        <v>6</v>
      </c>
      <c r="N18">
        <v>7</v>
      </c>
      <c r="O18">
        <v>8</v>
      </c>
      <c r="P18">
        <v>9</v>
      </c>
      <c r="Q18">
        <v>10</v>
      </c>
      <c r="R18">
        <v>11</v>
      </c>
      <c r="S18">
        <v>12</v>
      </c>
      <c r="T18">
        <v>13</v>
      </c>
      <c r="U18">
        <v>14</v>
      </c>
      <c r="V18">
        <v>15</v>
      </c>
      <c r="W18">
        <v>16</v>
      </c>
      <c r="X18">
        <v>17</v>
      </c>
      <c r="Y18">
        <v>18</v>
      </c>
      <c r="Z18" t="s">
        <v>13</v>
      </c>
    </row>
    <row r="19" spans="2:27" x14ac:dyDescent="0.25">
      <c r="B19" s="123"/>
      <c r="E19" s="125" t="s">
        <v>16</v>
      </c>
      <c r="F19" t="s">
        <v>5</v>
      </c>
      <c r="G19" t="s">
        <v>10</v>
      </c>
      <c r="H19" s="4">
        <f>5.56%*$M$4/($M$4+$M$6)</f>
        <v>2.0571999999999997E-2</v>
      </c>
      <c r="I19" s="5">
        <f t="shared" ref="I19:Q19" si="1">5.56%*$M$4/($M$4+$M$6)</f>
        <v>2.0571999999999997E-2</v>
      </c>
      <c r="J19" s="5">
        <f t="shared" si="1"/>
        <v>2.0571999999999997E-2</v>
      </c>
      <c r="K19" s="5">
        <f t="shared" si="1"/>
        <v>2.0571999999999997E-2</v>
      </c>
      <c r="L19" s="5">
        <f t="shared" si="1"/>
        <v>2.0571999999999997E-2</v>
      </c>
      <c r="M19" s="5">
        <f t="shared" si="1"/>
        <v>2.0571999999999997E-2</v>
      </c>
      <c r="N19" s="5">
        <f t="shared" si="1"/>
        <v>2.0571999999999997E-2</v>
      </c>
      <c r="O19" s="5">
        <f t="shared" si="1"/>
        <v>2.0571999999999997E-2</v>
      </c>
      <c r="P19" s="5">
        <f t="shared" si="1"/>
        <v>2.0571999999999997E-2</v>
      </c>
      <c r="Q19" s="5">
        <f t="shared" si="1"/>
        <v>2.0571999999999997E-2</v>
      </c>
      <c r="R19" s="6">
        <f>$M$4-SUM(H19:Q19)</f>
        <v>1.7291616351607697E-2</v>
      </c>
      <c r="S19" s="6"/>
      <c r="T19" s="6"/>
      <c r="U19" s="6"/>
      <c r="V19" s="6"/>
      <c r="W19" s="6"/>
      <c r="X19" s="6"/>
      <c r="Y19" s="7"/>
      <c r="Z19" t="str">
        <f>IF(SUM(H19:Y19)=$M$4,"","error")</f>
        <v/>
      </c>
    </row>
    <row r="20" spans="2:27" x14ac:dyDescent="0.25">
      <c r="B20" s="123"/>
      <c r="E20" s="125"/>
      <c r="G20" s="1" t="s">
        <v>9</v>
      </c>
      <c r="H20" s="8"/>
      <c r="I20" s="9"/>
      <c r="J20" s="9"/>
      <c r="K20" s="9"/>
      <c r="L20" s="9"/>
      <c r="M20" s="9"/>
      <c r="N20" s="9"/>
      <c r="O20" s="9"/>
      <c r="P20" s="9"/>
      <c r="Q20" s="9"/>
      <c r="R20" s="9">
        <f>$M$3/($M$3+$M$5)*($G$25-($R$19+$R$22))</f>
        <v>3.2803836483922912E-3</v>
      </c>
      <c r="S20" s="9">
        <f>$M$3/($M$3+$M$5)*$G$25</f>
        <v>2.0571999999999993E-2</v>
      </c>
      <c r="T20" s="9">
        <f t="shared" ref="T20" si="2">$M$3/($M$3+$M$5)*$G$25</f>
        <v>2.0571999999999993E-2</v>
      </c>
      <c r="U20" s="9">
        <f>M3-SUM(R20:T20)</f>
        <v>1.384645369667338E-2</v>
      </c>
      <c r="V20" s="9"/>
      <c r="W20" s="9"/>
      <c r="X20" s="9"/>
      <c r="Y20" s="10"/>
      <c r="Z20" t="str">
        <f>IF(SUM(H20:Y20)=$M$3,"","error")</f>
        <v/>
      </c>
    </row>
    <row r="21" spans="2:27" x14ac:dyDescent="0.25">
      <c r="B21" s="123"/>
      <c r="E21" s="125"/>
      <c r="G21" t="s">
        <v>14</v>
      </c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>
        <f>M11-SUM(V21:Y21)</f>
        <v>6.429546303326622E-3</v>
      </c>
      <c r="V21" s="9">
        <f t="shared" ref="V21:X21" si="3">$M$11/($M$11+$M$12)*$G$25</f>
        <v>2.0572E-2</v>
      </c>
      <c r="W21" s="9">
        <f t="shared" si="3"/>
        <v>2.0572E-2</v>
      </c>
      <c r="X21" s="9">
        <f t="shared" si="3"/>
        <v>2.0572E-2</v>
      </c>
      <c r="Y21" s="10">
        <f>$M$11/($M$11+$M$12)*$G$25</f>
        <v>2.0572E-2</v>
      </c>
      <c r="Z21" s="3" t="str">
        <f>IF(SUM(H21:Y21)=$M$11,"","error")</f>
        <v/>
      </c>
      <c r="AA21" s="2">
        <f>SUM(U21:Y21)</f>
        <v>8.8717546303326622E-2</v>
      </c>
    </row>
    <row r="22" spans="2:27" x14ac:dyDescent="0.25">
      <c r="B22" s="123"/>
      <c r="E22" s="125"/>
      <c r="F22" t="s">
        <v>6</v>
      </c>
      <c r="G22" t="s">
        <v>10</v>
      </c>
      <c r="H22" s="11">
        <f>5.56%*$M$6/($M$4+$M$6)</f>
        <v>3.5027999999999997E-2</v>
      </c>
      <c r="I22" s="12">
        <f t="shared" ref="I22:Q22" si="4">5.56%*$M$6/($M$4+$M$6)</f>
        <v>3.5027999999999997E-2</v>
      </c>
      <c r="J22" s="12">
        <f t="shared" si="4"/>
        <v>3.5027999999999997E-2</v>
      </c>
      <c r="K22" s="12">
        <f t="shared" si="4"/>
        <v>3.5027999999999997E-2</v>
      </c>
      <c r="L22" s="12">
        <f t="shared" si="4"/>
        <v>3.5027999999999997E-2</v>
      </c>
      <c r="M22" s="12">
        <f t="shared" si="4"/>
        <v>3.5027999999999997E-2</v>
      </c>
      <c r="N22" s="12">
        <f t="shared" si="4"/>
        <v>3.5027999999999997E-2</v>
      </c>
      <c r="O22" s="12">
        <f t="shared" si="4"/>
        <v>3.5027999999999997E-2</v>
      </c>
      <c r="P22" s="12">
        <f t="shared" si="4"/>
        <v>3.5027999999999997E-2</v>
      </c>
      <c r="Q22" s="12">
        <f t="shared" si="4"/>
        <v>3.5027999999999997E-2</v>
      </c>
      <c r="R22" s="9">
        <f>$M$6-SUM(H22:Q22)</f>
        <v>2.9442481895980699E-2</v>
      </c>
      <c r="S22" s="9"/>
      <c r="T22" s="9"/>
      <c r="U22" s="9"/>
      <c r="V22" s="9"/>
      <c r="W22" s="9"/>
      <c r="X22" s="9"/>
      <c r="Y22" s="10"/>
      <c r="Z22" t="str">
        <f>IF(SUM(H22:Y22)=$M$6,"","error")</f>
        <v/>
      </c>
    </row>
    <row r="23" spans="2:27" x14ac:dyDescent="0.25">
      <c r="B23" s="123"/>
      <c r="E23" s="125"/>
      <c r="G23" s="1" t="s">
        <v>9</v>
      </c>
      <c r="H23" s="8"/>
      <c r="I23" s="9"/>
      <c r="J23" s="9"/>
      <c r="K23" s="9"/>
      <c r="L23" s="9"/>
      <c r="M23" s="9"/>
      <c r="N23" s="9"/>
      <c r="O23" s="9"/>
      <c r="P23" s="9"/>
      <c r="Q23" s="9"/>
      <c r="R23" s="9">
        <f>$M$5/($M$3+$M$5)*($G$25-($R$19+$R$22))</f>
        <v>5.5855181040193099E-3</v>
      </c>
      <c r="S23" s="9">
        <f>$M$5/($M$3+$M$5)*$G$25</f>
        <v>3.5028000000000004E-2</v>
      </c>
      <c r="T23" s="9">
        <f t="shared" ref="T23" si="5">$M$5/($M$3+$M$5)*$G$25</f>
        <v>3.5028000000000004E-2</v>
      </c>
      <c r="U23" s="9">
        <f>M5-SUM(R23:T23)</f>
        <v>2.3576394132173634E-2</v>
      </c>
      <c r="V23" s="9"/>
      <c r="W23" s="9"/>
      <c r="X23" s="9"/>
      <c r="Y23" s="10"/>
      <c r="Z23" t="str">
        <f>IF(SUM(H23:Y23)=$M$5,"","error")</f>
        <v/>
      </c>
    </row>
    <row r="24" spans="2:27" ht="15.75" thickBot="1" x14ac:dyDescent="0.3">
      <c r="B24" s="123"/>
      <c r="E24" s="125"/>
      <c r="G24" s="1" t="s">
        <v>14</v>
      </c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>
        <f>M12-SUM(V24:Y24)</f>
        <v>1.0947605867826421E-2</v>
      </c>
      <c r="V24" s="14">
        <f t="shared" ref="V24:X24" si="6">$M$12/($M$11+$M$12)*$G$25</f>
        <v>3.5027999999999997E-2</v>
      </c>
      <c r="W24" s="14">
        <f t="shared" si="6"/>
        <v>3.5027999999999997E-2</v>
      </c>
      <c r="X24" s="14">
        <f t="shared" si="6"/>
        <v>3.5027999999999997E-2</v>
      </c>
      <c r="Y24" s="15">
        <f>$M$12/($M$11+$M$12)*$G$25</f>
        <v>3.5027999999999997E-2</v>
      </c>
      <c r="Z24" t="str">
        <f>IF(SUM(H24:Y24)=$M$12,"","error")</f>
        <v/>
      </c>
    </row>
    <row r="25" spans="2:27" ht="15.75" thickBot="1" x14ac:dyDescent="0.3">
      <c r="F25" s="3" t="s">
        <v>12</v>
      </c>
      <c r="G25" s="18">
        <f>5.56%</f>
        <v>5.5599999999999997E-2</v>
      </c>
      <c r="H25" s="17" t="str">
        <f t="shared" ref="H25:Q25" si="7">IF(SUM(H19:H24)=$G25,"","error")</f>
        <v/>
      </c>
      <c r="I25" s="17" t="str">
        <f t="shared" si="7"/>
        <v/>
      </c>
      <c r="J25" s="17" t="str">
        <f t="shared" si="7"/>
        <v/>
      </c>
      <c r="K25" s="17" t="str">
        <f t="shared" si="7"/>
        <v/>
      </c>
      <c r="L25" s="17" t="str">
        <f t="shared" si="7"/>
        <v/>
      </c>
      <c r="M25" s="17" t="str">
        <f t="shared" si="7"/>
        <v/>
      </c>
      <c r="N25" s="17" t="str">
        <f t="shared" si="7"/>
        <v/>
      </c>
      <c r="O25" s="17" t="str">
        <f t="shared" si="7"/>
        <v/>
      </c>
      <c r="P25" s="17" t="str">
        <f t="shared" si="7"/>
        <v/>
      </c>
      <c r="Q25" s="17" t="str">
        <f t="shared" si="7"/>
        <v/>
      </c>
      <c r="R25" s="17" t="str">
        <f>IF(SUM(R19:R24)=$G25,"","error")</f>
        <v/>
      </c>
      <c r="S25" s="17" t="str">
        <f>IF(SUM(S19:S24)=$G25,"","error")</f>
        <v/>
      </c>
      <c r="T25" s="17" t="str">
        <f t="shared" ref="T25:Y25" si="8">IF(SUM(T19:T24)=$G25,"","error")</f>
        <v/>
      </c>
      <c r="U25" s="17" t="str">
        <f t="shared" si="8"/>
        <v>error</v>
      </c>
      <c r="V25" s="17" t="str">
        <f t="shared" si="8"/>
        <v/>
      </c>
      <c r="W25" s="17" t="str">
        <f t="shared" si="8"/>
        <v/>
      </c>
      <c r="X25" s="17" t="str">
        <f t="shared" si="8"/>
        <v/>
      </c>
      <c r="Y25" s="17" t="str">
        <f t="shared" si="8"/>
        <v/>
      </c>
    </row>
    <row r="26" spans="2:27" x14ac:dyDescent="0.25">
      <c r="B26" s="124"/>
      <c r="E26" s="122" t="s">
        <v>17</v>
      </c>
      <c r="F26" t="s">
        <v>5</v>
      </c>
      <c r="G26" t="s">
        <v>10</v>
      </c>
      <c r="H26" s="4">
        <f>5.56%*$M$4/($M$4+$M$6)</f>
        <v>2.0571999999999997E-2</v>
      </c>
      <c r="I26" s="5">
        <f t="shared" ref="I26:Q26" si="9">5.56%*$M$4/($M$4+$M$6)</f>
        <v>2.0571999999999997E-2</v>
      </c>
      <c r="J26" s="5">
        <f t="shared" si="9"/>
        <v>2.0571999999999997E-2</v>
      </c>
      <c r="K26" s="5">
        <f t="shared" si="9"/>
        <v>2.0571999999999997E-2</v>
      </c>
      <c r="L26" s="5">
        <f t="shared" si="9"/>
        <v>2.0571999999999997E-2</v>
      </c>
      <c r="M26" s="5">
        <f t="shared" si="9"/>
        <v>2.0571999999999997E-2</v>
      </c>
      <c r="N26" s="5">
        <f t="shared" si="9"/>
        <v>2.0571999999999997E-2</v>
      </c>
      <c r="O26" s="5">
        <f t="shared" si="9"/>
        <v>2.0571999999999997E-2</v>
      </c>
      <c r="P26" s="5">
        <f t="shared" si="9"/>
        <v>2.0571999999999997E-2</v>
      </c>
      <c r="Q26" s="5">
        <f t="shared" si="9"/>
        <v>2.0571999999999997E-2</v>
      </c>
      <c r="R26" s="6">
        <f>$M$4-SUM(H26:Q26)</f>
        <v>1.7291616351607697E-2</v>
      </c>
      <c r="S26" s="6"/>
      <c r="T26" s="6"/>
      <c r="U26" s="6"/>
      <c r="V26" s="6"/>
      <c r="W26" s="6"/>
      <c r="X26" s="6"/>
      <c r="Y26" s="7"/>
      <c r="Z26" t="str">
        <f>IF(SUM(H26:Y26)=$M$4,"","error")</f>
        <v/>
      </c>
    </row>
    <row r="27" spans="2:27" x14ac:dyDescent="0.25">
      <c r="B27" s="124"/>
      <c r="E27" s="122"/>
      <c r="G27" s="1" t="s">
        <v>9</v>
      </c>
      <c r="H27" s="8"/>
      <c r="I27" s="9"/>
      <c r="J27" s="9"/>
      <c r="K27" s="9"/>
      <c r="L27" s="9"/>
      <c r="M27" s="9"/>
      <c r="N27" s="9"/>
      <c r="O27" s="9"/>
      <c r="P27" s="9"/>
      <c r="Q27" s="9"/>
      <c r="R27" s="9">
        <f>$M$3/($M$3+$M$5)*($G$25-($R$19+$R$22))</f>
        <v>3.2803836483922912E-3</v>
      </c>
      <c r="S27" s="9">
        <f>$M$3/($M$3+$M$5)*$G$25</f>
        <v>2.0571999999999993E-2</v>
      </c>
      <c r="T27" s="9">
        <f t="shared" ref="T27" si="10">$M$3/($M$3+$M$5)*$G$25</f>
        <v>2.0571999999999993E-2</v>
      </c>
      <c r="U27" s="9">
        <f>M3-SUM(R27:T27)</f>
        <v>1.384645369667338E-2</v>
      </c>
      <c r="V27" s="9"/>
      <c r="W27" s="9"/>
      <c r="X27" s="9"/>
      <c r="Y27" s="10"/>
      <c r="Z27" t="str">
        <f>IF(SUM(H27:Y27)=$M$3,"","error")</f>
        <v/>
      </c>
    </row>
    <row r="28" spans="2:27" x14ac:dyDescent="0.25">
      <c r="B28" s="124"/>
      <c r="E28" s="122"/>
      <c r="G28" t="s">
        <v>14</v>
      </c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0"/>
      <c r="Z28" s="3"/>
    </row>
    <row r="29" spans="2:27" x14ac:dyDescent="0.25">
      <c r="B29" s="124"/>
      <c r="E29" s="122"/>
      <c r="F29" t="s">
        <v>6</v>
      </c>
      <c r="G29" t="s">
        <v>10</v>
      </c>
      <c r="H29" s="11">
        <f>5.56%*$M$6/($M$4+$M$6)</f>
        <v>3.5027999999999997E-2</v>
      </c>
      <c r="I29" s="12">
        <f t="shared" ref="I29:Q29" si="11">5.56%*$M$6/($M$4+$M$6)</f>
        <v>3.5027999999999997E-2</v>
      </c>
      <c r="J29" s="12">
        <f t="shared" si="11"/>
        <v>3.5027999999999997E-2</v>
      </c>
      <c r="K29" s="12">
        <f t="shared" si="11"/>
        <v>3.5027999999999997E-2</v>
      </c>
      <c r="L29" s="12">
        <f t="shared" si="11"/>
        <v>3.5027999999999997E-2</v>
      </c>
      <c r="M29" s="12">
        <f t="shared" si="11"/>
        <v>3.5027999999999997E-2</v>
      </c>
      <c r="N29" s="12">
        <f t="shared" si="11"/>
        <v>3.5027999999999997E-2</v>
      </c>
      <c r="O29" s="12">
        <f t="shared" si="11"/>
        <v>3.5027999999999997E-2</v>
      </c>
      <c r="P29" s="12">
        <f t="shared" si="11"/>
        <v>3.5027999999999997E-2</v>
      </c>
      <c r="Q29" s="12">
        <f t="shared" si="11"/>
        <v>3.5027999999999997E-2</v>
      </c>
      <c r="R29" s="9">
        <f>$M$6-SUM(H29:Q29)</f>
        <v>2.9442481895980699E-2</v>
      </c>
      <c r="S29" s="9"/>
      <c r="T29" s="9"/>
      <c r="U29" s="9"/>
      <c r="V29" s="9"/>
      <c r="W29" s="9"/>
      <c r="X29" s="9"/>
      <c r="Y29" s="10"/>
      <c r="Z29" t="str">
        <f>IF(SUM(H29:Y29)=$M$6,"","error")</f>
        <v/>
      </c>
    </row>
    <row r="30" spans="2:27" x14ac:dyDescent="0.25">
      <c r="B30" s="124"/>
      <c r="E30" s="122"/>
      <c r="G30" s="1" t="s">
        <v>9</v>
      </c>
      <c r="H30" s="8"/>
      <c r="I30" s="9"/>
      <c r="J30" s="9"/>
      <c r="K30" s="9"/>
      <c r="L30" s="9"/>
      <c r="M30" s="9"/>
      <c r="N30" s="9"/>
      <c r="O30" s="9"/>
      <c r="P30" s="9"/>
      <c r="Q30" s="9"/>
      <c r="R30" s="9">
        <f>$M$5/($M$3+$M$5)*($G$25-($R$19+$R$22))</f>
        <v>5.5855181040193099E-3</v>
      </c>
      <c r="S30" s="9">
        <f>$M$5/($M$3+$M$5)*$G$25</f>
        <v>3.5028000000000004E-2</v>
      </c>
      <c r="T30" s="9">
        <f t="shared" ref="T30" si="12">$M$5/($M$3+$M$5)*$G$25</f>
        <v>3.5028000000000004E-2</v>
      </c>
      <c r="U30" s="9">
        <f>M5-SUM(R30:T30)</f>
        <v>2.3576394132173634E-2</v>
      </c>
      <c r="V30" s="9"/>
      <c r="W30" s="9"/>
      <c r="X30" s="9"/>
      <c r="Y30" s="10"/>
      <c r="Z30" t="str">
        <f>IF(SUM(H30:Y30)=$M$5,"","error")</f>
        <v/>
      </c>
    </row>
    <row r="31" spans="2:27" ht="15.75" thickBot="1" x14ac:dyDescent="0.3">
      <c r="B31" s="124"/>
      <c r="E31" s="122"/>
      <c r="G31" s="1" t="s">
        <v>14</v>
      </c>
      <c r="H31" s="1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</row>
    <row r="32" spans="2:27" ht="15.75" thickBot="1" x14ac:dyDescent="0.3">
      <c r="F32" s="3" t="s">
        <v>12</v>
      </c>
      <c r="G32" s="18">
        <f>5.56%</f>
        <v>5.5599999999999997E-2</v>
      </c>
      <c r="H32" s="17" t="str">
        <f t="shared" ref="H32" si="13">IF(SUM(H26:H31)=$G32,"","error")</f>
        <v/>
      </c>
      <c r="I32" s="17" t="str">
        <f t="shared" ref="I32" si="14">IF(SUM(I26:I31)=$G32,"","error")</f>
        <v/>
      </c>
      <c r="J32" s="17" t="str">
        <f t="shared" ref="J32" si="15">IF(SUM(J26:J31)=$G32,"","error")</f>
        <v/>
      </c>
      <c r="K32" s="17" t="str">
        <f t="shared" ref="K32" si="16">IF(SUM(K26:K31)=$G32,"","error")</f>
        <v/>
      </c>
      <c r="L32" s="17" t="str">
        <f t="shared" ref="L32" si="17">IF(SUM(L26:L31)=$G32,"","error")</f>
        <v/>
      </c>
      <c r="M32" s="17" t="str">
        <f t="shared" ref="M32" si="18">IF(SUM(M26:M31)=$G32,"","error")</f>
        <v/>
      </c>
      <c r="N32" s="17" t="str">
        <f t="shared" ref="N32" si="19">IF(SUM(N26:N31)=$G32,"","error")</f>
        <v/>
      </c>
      <c r="O32" s="17" t="str">
        <f t="shared" ref="O32" si="20">IF(SUM(O26:O31)=$G32,"","error")</f>
        <v/>
      </c>
      <c r="P32" s="17" t="str">
        <f t="shared" ref="P32" si="21">IF(SUM(P26:P31)=$G32,"","error")</f>
        <v/>
      </c>
      <c r="Q32" s="17" t="str">
        <f t="shared" ref="Q32" si="22">IF(SUM(Q26:Q31)=$G32,"","error")</f>
        <v/>
      </c>
      <c r="R32" s="17" t="str">
        <f>IF(SUM(R26:R31)=$G32,"","error")</f>
        <v/>
      </c>
      <c r="S32" s="17" t="str">
        <f>IF(SUM(S26:S31)=$G32,"","error")</f>
        <v/>
      </c>
      <c r="T32" s="17" t="str">
        <f t="shared" ref="T32" si="23">IF(SUM(T26:T31)=$G32,"","error")</f>
        <v/>
      </c>
      <c r="U32" s="17" t="str">
        <f t="shared" ref="U32" si="24">IF(SUM(U26:U31)=$G32,"","error")</f>
        <v>error</v>
      </c>
      <c r="V32" s="16"/>
      <c r="W32" s="16"/>
      <c r="X32" s="16"/>
      <c r="Y32" s="16"/>
    </row>
    <row r="33" spans="2:27" x14ac:dyDescent="0.25">
      <c r="B33" s="124"/>
      <c r="E33" s="122" t="s">
        <v>15</v>
      </c>
      <c r="F33" t="s">
        <v>5</v>
      </c>
      <c r="G33" t="s">
        <v>10</v>
      </c>
      <c r="H33" s="4">
        <f>5.56%*$M$4/($M$4+$M$6)</f>
        <v>2.0571999999999997E-2</v>
      </c>
      <c r="I33" s="5">
        <f t="shared" ref="I33:Q33" si="25">5.56%*$M$4/($M$4+$M$6)</f>
        <v>2.0571999999999997E-2</v>
      </c>
      <c r="J33" s="5">
        <f t="shared" si="25"/>
        <v>2.0571999999999997E-2</v>
      </c>
      <c r="K33" s="5">
        <f t="shared" si="25"/>
        <v>2.0571999999999997E-2</v>
      </c>
      <c r="L33" s="5">
        <f t="shared" si="25"/>
        <v>2.0571999999999997E-2</v>
      </c>
      <c r="M33" s="5">
        <f t="shared" si="25"/>
        <v>2.0571999999999997E-2</v>
      </c>
      <c r="N33" s="5">
        <f t="shared" si="25"/>
        <v>2.0571999999999997E-2</v>
      </c>
      <c r="O33" s="5">
        <f t="shared" si="25"/>
        <v>2.0571999999999997E-2</v>
      </c>
      <c r="P33" s="5">
        <f t="shared" si="25"/>
        <v>2.0571999999999997E-2</v>
      </c>
      <c r="Q33" s="5">
        <f t="shared" si="25"/>
        <v>2.0571999999999997E-2</v>
      </c>
      <c r="R33" s="6">
        <f>$M$4-SUM(H33:Q33)</f>
        <v>1.7291616351607697E-2</v>
      </c>
      <c r="S33" s="6"/>
      <c r="T33" s="6"/>
      <c r="U33" s="6"/>
      <c r="V33" s="6"/>
      <c r="W33" s="6"/>
      <c r="X33" s="6"/>
      <c r="Y33" s="7"/>
      <c r="Z33" t="str">
        <f>IF(SUM(H33:Y33)=$M$4,"","error")</f>
        <v/>
      </c>
    </row>
    <row r="34" spans="2:27" x14ac:dyDescent="0.25">
      <c r="B34" s="124"/>
      <c r="E34" s="122"/>
      <c r="G34" s="1" t="s">
        <v>9</v>
      </c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f>M3-SUM(X34:Y34)</f>
        <v>1.7126837345065676E-2</v>
      </c>
      <c r="X34" s="9">
        <f t="shared" ref="X34" si="26">$M$3/($M$3+$M$5)*$G$25</f>
        <v>2.0571999999999993E-2</v>
      </c>
      <c r="Y34" s="10">
        <f>$M$3/($M$3+$M$5)*$G$25</f>
        <v>2.0571999999999993E-2</v>
      </c>
      <c r="Z34" t="str">
        <f>IF(SUM(H34:Y34)=$M$3,"","error")</f>
        <v/>
      </c>
    </row>
    <row r="35" spans="2:27" x14ac:dyDescent="0.25">
      <c r="B35" s="124"/>
      <c r="E35" s="122"/>
      <c r="G35" t="s">
        <v>14</v>
      </c>
      <c r="H35" s="8"/>
      <c r="I35" s="9"/>
      <c r="J35" s="9"/>
      <c r="K35" s="9"/>
      <c r="L35" s="9"/>
      <c r="M35" s="9"/>
      <c r="N35" s="9"/>
      <c r="O35" s="9"/>
      <c r="P35" s="9"/>
      <c r="Q35" s="9"/>
      <c r="R35" s="9">
        <f>$M$11/($M$11+$M$12)*$G$25-R33</f>
        <v>3.280383648392303E-3</v>
      </c>
      <c r="S35" s="9">
        <f>$M$11/($M$11+$M$12)*$G$25</f>
        <v>2.0572E-2</v>
      </c>
      <c r="T35" s="9">
        <f t="shared" ref="T35:V35" si="27">$M$11/($M$11+$M$12)*$G$25</f>
        <v>2.0572E-2</v>
      </c>
      <c r="U35" s="9">
        <f t="shared" si="27"/>
        <v>2.0572E-2</v>
      </c>
      <c r="V35" s="9">
        <f t="shared" si="27"/>
        <v>2.0572E-2</v>
      </c>
      <c r="W35" s="9">
        <f>M11-SUM(R35:V35)</f>
        <v>3.1491626549343121E-3</v>
      </c>
      <c r="X35" s="9"/>
      <c r="Y35" s="10"/>
      <c r="Z35" s="3" t="str">
        <f>IF(SUM(H35:Y35)=$M$11,"","error")</f>
        <v/>
      </c>
    </row>
    <row r="36" spans="2:27" x14ac:dyDescent="0.25">
      <c r="B36" s="124"/>
      <c r="E36" s="122"/>
      <c r="F36" t="s">
        <v>6</v>
      </c>
      <c r="G36" t="s">
        <v>10</v>
      </c>
      <c r="H36" s="11">
        <f>5.56%*$M$6/($M$4+$M$6)</f>
        <v>3.5027999999999997E-2</v>
      </c>
      <c r="I36" s="12">
        <f t="shared" ref="I36:Q36" si="28">5.56%*$M$6/($M$4+$M$6)</f>
        <v>3.5027999999999997E-2</v>
      </c>
      <c r="J36" s="12">
        <f t="shared" si="28"/>
        <v>3.5027999999999997E-2</v>
      </c>
      <c r="K36" s="12">
        <f t="shared" si="28"/>
        <v>3.5027999999999997E-2</v>
      </c>
      <c r="L36" s="12">
        <f t="shared" si="28"/>
        <v>3.5027999999999997E-2</v>
      </c>
      <c r="M36" s="12">
        <f t="shared" si="28"/>
        <v>3.5027999999999997E-2</v>
      </c>
      <c r="N36" s="12">
        <f t="shared" si="28"/>
        <v>3.5027999999999997E-2</v>
      </c>
      <c r="O36" s="12">
        <f t="shared" si="28"/>
        <v>3.5027999999999997E-2</v>
      </c>
      <c r="P36" s="12">
        <f t="shared" si="28"/>
        <v>3.5027999999999997E-2</v>
      </c>
      <c r="Q36" s="12">
        <f t="shared" si="28"/>
        <v>3.5027999999999997E-2</v>
      </c>
      <c r="R36" s="9">
        <f>$M$6-SUM(H36:Q36)</f>
        <v>2.9442481895980699E-2</v>
      </c>
      <c r="S36" s="9"/>
      <c r="T36" s="9"/>
      <c r="U36" s="9"/>
      <c r="V36" s="9"/>
      <c r="W36" s="9"/>
      <c r="X36" s="9"/>
      <c r="Y36" s="10"/>
      <c r="Z36" t="str">
        <f>IF(SUM(H36:Y36)=$M$6,"","error")</f>
        <v/>
      </c>
    </row>
    <row r="37" spans="2:27" x14ac:dyDescent="0.25">
      <c r="B37" s="124"/>
      <c r="E37" s="122"/>
      <c r="G37" s="1" t="s">
        <v>9</v>
      </c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>
        <f>M5-SUM(X37:Y37)</f>
        <v>2.9161912236192938E-2</v>
      </c>
      <c r="X37" s="9">
        <f t="shared" ref="X37" si="29">$M$5/($M$3+$M$5)*$G$25</f>
        <v>3.5028000000000004E-2</v>
      </c>
      <c r="Y37" s="10">
        <f>$M$5/($M$3+$M$5)*$G$25</f>
        <v>3.5028000000000004E-2</v>
      </c>
      <c r="Z37" t="str">
        <f>IF(SUM(H37:Y37)=$M$5,"","error")</f>
        <v/>
      </c>
    </row>
    <row r="38" spans="2:27" ht="15.75" thickBot="1" x14ac:dyDescent="0.3">
      <c r="B38" s="124"/>
      <c r="E38" s="122"/>
      <c r="G38" s="1" t="s">
        <v>14</v>
      </c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>
        <f>$M$12/($M$11+$M$12)*$G$25-R36</f>
        <v>5.5855181040192978E-3</v>
      </c>
      <c r="S38" s="14">
        <f>$M$12/($M$11+$M$12)*$G$25</f>
        <v>3.5027999999999997E-2</v>
      </c>
      <c r="T38" s="14">
        <f t="shared" ref="T38:V38" si="30">$M$12/($M$11+$M$12)*$G$25</f>
        <v>3.5027999999999997E-2</v>
      </c>
      <c r="U38" s="14">
        <f t="shared" si="30"/>
        <v>3.5027999999999997E-2</v>
      </c>
      <c r="V38" s="14">
        <f t="shared" si="30"/>
        <v>3.5027999999999997E-2</v>
      </c>
      <c r="W38" s="14">
        <f>M12-SUM(R38:V38)</f>
        <v>5.3620877638071163E-3</v>
      </c>
      <c r="X38" s="14"/>
      <c r="Y38" s="15"/>
      <c r="Z38" t="str">
        <f>IF(SUM(H38:Y38)=$M$12,"","error")</f>
        <v/>
      </c>
    </row>
    <row r="39" spans="2:27" ht="15.75" thickBot="1" x14ac:dyDescent="0.3">
      <c r="F39" s="3" t="s">
        <v>12</v>
      </c>
      <c r="G39" s="18">
        <f>5.56%</f>
        <v>5.5599999999999997E-2</v>
      </c>
      <c r="H39" s="17" t="str">
        <f t="shared" ref="H39:Y39" si="31">IF(SUM(H33:H38)=$G39,"","error")</f>
        <v/>
      </c>
      <c r="I39" s="17" t="str">
        <f t="shared" si="31"/>
        <v/>
      </c>
      <c r="J39" s="17" t="str">
        <f t="shared" si="31"/>
        <v/>
      </c>
      <c r="K39" s="17" t="str">
        <f t="shared" si="31"/>
        <v/>
      </c>
      <c r="L39" s="17" t="str">
        <f t="shared" si="31"/>
        <v/>
      </c>
      <c r="M39" s="17" t="str">
        <f t="shared" si="31"/>
        <v/>
      </c>
      <c r="N39" s="17" t="str">
        <f t="shared" si="31"/>
        <v/>
      </c>
      <c r="O39" s="17" t="str">
        <f t="shared" si="31"/>
        <v/>
      </c>
      <c r="P39" s="17" t="str">
        <f t="shared" si="31"/>
        <v/>
      </c>
      <c r="Q39" s="17" t="str">
        <f t="shared" si="31"/>
        <v/>
      </c>
      <c r="R39" s="17" t="str">
        <f t="shared" si="31"/>
        <v/>
      </c>
      <c r="S39" s="17" t="str">
        <f t="shared" si="31"/>
        <v/>
      </c>
      <c r="T39" s="17" t="str">
        <f t="shared" si="31"/>
        <v/>
      </c>
      <c r="U39" s="17" t="str">
        <f t="shared" si="31"/>
        <v/>
      </c>
      <c r="V39" s="17" t="str">
        <f t="shared" si="31"/>
        <v/>
      </c>
      <c r="W39" s="17" t="str">
        <f t="shared" si="31"/>
        <v>error</v>
      </c>
      <c r="X39" s="17" t="str">
        <f t="shared" si="31"/>
        <v/>
      </c>
      <c r="Y39" s="17" t="str">
        <f t="shared" si="31"/>
        <v/>
      </c>
    </row>
    <row r="40" spans="2:27" x14ac:dyDescent="0.25">
      <c r="B40" s="124"/>
      <c r="E40" s="122" t="s">
        <v>18</v>
      </c>
      <c r="F40" t="s">
        <v>5</v>
      </c>
      <c r="G40" t="s">
        <v>10</v>
      </c>
      <c r="H40" s="4">
        <f>5.56%*$M$4/($M$4+$M$6)</f>
        <v>2.0571999999999997E-2</v>
      </c>
      <c r="I40" s="5">
        <f t="shared" ref="I40:Q40" si="32">5.56%*$M$4/($M$4+$M$6)</f>
        <v>2.0571999999999997E-2</v>
      </c>
      <c r="J40" s="5">
        <f t="shared" si="32"/>
        <v>2.0571999999999997E-2</v>
      </c>
      <c r="K40" s="5">
        <f t="shared" si="32"/>
        <v>2.0571999999999997E-2</v>
      </c>
      <c r="L40" s="5">
        <f t="shared" si="32"/>
        <v>2.0571999999999997E-2</v>
      </c>
      <c r="M40" s="5">
        <f t="shared" si="32"/>
        <v>2.0571999999999997E-2</v>
      </c>
      <c r="N40" s="5">
        <f t="shared" si="32"/>
        <v>2.0571999999999997E-2</v>
      </c>
      <c r="O40" s="5">
        <f t="shared" si="32"/>
        <v>2.0571999999999997E-2</v>
      </c>
      <c r="P40" s="5">
        <f t="shared" si="32"/>
        <v>2.0571999999999997E-2</v>
      </c>
      <c r="Q40" s="5">
        <f t="shared" si="32"/>
        <v>2.0571999999999997E-2</v>
      </c>
      <c r="R40" s="6">
        <f>$M$4-SUM(H40:Q40)</f>
        <v>1.7291616351607697E-2</v>
      </c>
      <c r="S40" s="6"/>
      <c r="T40" s="6"/>
      <c r="U40" s="6"/>
      <c r="V40" s="6"/>
      <c r="W40" s="6"/>
      <c r="X40" s="6"/>
      <c r="Y40" s="7"/>
      <c r="Z40" t="str">
        <f>IF(SUM(H40:Y40)=$M$4,"","error")</f>
        <v/>
      </c>
    </row>
    <row r="41" spans="2:27" x14ac:dyDescent="0.25">
      <c r="B41" s="124"/>
      <c r="E41" s="122"/>
      <c r="G41" s="1" t="s">
        <v>9</v>
      </c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10"/>
      <c r="AA41" s="2"/>
    </row>
    <row r="42" spans="2:27" x14ac:dyDescent="0.25">
      <c r="B42" s="124"/>
      <c r="E42" s="122"/>
      <c r="G42" t="s">
        <v>14</v>
      </c>
      <c r="H42" s="8"/>
      <c r="I42" s="9"/>
      <c r="J42" s="9"/>
      <c r="K42" s="9"/>
      <c r="L42" s="9"/>
      <c r="M42" s="9"/>
      <c r="N42" s="9"/>
      <c r="O42" s="9"/>
      <c r="P42" s="9"/>
      <c r="Q42" s="9"/>
      <c r="R42" s="9">
        <f>$M$11/($M$11+$M$12)*$G$25-R40</f>
        <v>3.280383648392303E-3</v>
      </c>
      <c r="S42" s="9">
        <f>$M$11/($M$11+$M$12)*$G$25</f>
        <v>2.0572E-2</v>
      </c>
      <c r="T42" s="9">
        <f t="shared" ref="T42:V42" si="33">$M$11/($M$11+$M$12)*$G$25</f>
        <v>2.0572E-2</v>
      </c>
      <c r="U42" s="9">
        <f t="shared" si="33"/>
        <v>2.0572E-2</v>
      </c>
      <c r="V42" s="9">
        <f t="shared" si="33"/>
        <v>2.0572E-2</v>
      </c>
      <c r="W42" s="9">
        <f>M11-SUM(R42:V42)</f>
        <v>3.1491626549343121E-3</v>
      </c>
      <c r="X42" s="9"/>
      <c r="Y42" s="10"/>
      <c r="Z42" s="3" t="str">
        <f>IF(SUM(H42:Y42)=$M$11,"","error")</f>
        <v/>
      </c>
    </row>
    <row r="43" spans="2:27" x14ac:dyDescent="0.25">
      <c r="B43" s="124"/>
      <c r="E43" s="122"/>
      <c r="F43" t="s">
        <v>6</v>
      </c>
      <c r="G43" t="s">
        <v>10</v>
      </c>
      <c r="H43" s="11">
        <f>5.56%*$M$6/($M$4+$M$6)</f>
        <v>3.5027999999999997E-2</v>
      </c>
      <c r="I43" s="12">
        <f t="shared" ref="I43:Q43" si="34">5.56%*$M$6/($M$4+$M$6)</f>
        <v>3.5027999999999997E-2</v>
      </c>
      <c r="J43" s="12">
        <f t="shared" si="34"/>
        <v>3.5027999999999997E-2</v>
      </c>
      <c r="K43" s="12">
        <f t="shared" si="34"/>
        <v>3.5027999999999997E-2</v>
      </c>
      <c r="L43" s="12">
        <f t="shared" si="34"/>
        <v>3.5027999999999997E-2</v>
      </c>
      <c r="M43" s="12">
        <f t="shared" si="34"/>
        <v>3.5027999999999997E-2</v>
      </c>
      <c r="N43" s="12">
        <f t="shared" si="34"/>
        <v>3.5027999999999997E-2</v>
      </c>
      <c r="O43" s="12">
        <f t="shared" si="34"/>
        <v>3.5027999999999997E-2</v>
      </c>
      <c r="P43" s="12">
        <f t="shared" si="34"/>
        <v>3.5027999999999997E-2</v>
      </c>
      <c r="Q43" s="12">
        <f t="shared" si="34"/>
        <v>3.5027999999999997E-2</v>
      </c>
      <c r="R43" s="9">
        <f>$M$6-SUM(H43:Q43)</f>
        <v>2.9442481895980699E-2</v>
      </c>
      <c r="S43" s="9"/>
      <c r="T43" s="9"/>
      <c r="U43" s="9"/>
      <c r="V43" s="9"/>
      <c r="W43" s="9"/>
      <c r="X43" s="9"/>
      <c r="Y43" s="10"/>
      <c r="Z43" t="str">
        <f>IF(SUM(H43:Y43)=$M$6,"","error")</f>
        <v/>
      </c>
    </row>
    <row r="44" spans="2:27" x14ac:dyDescent="0.25">
      <c r="B44" s="124"/>
      <c r="E44" s="122"/>
      <c r="G44" s="1" t="s">
        <v>9</v>
      </c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0"/>
    </row>
    <row r="45" spans="2:27" ht="15.75" thickBot="1" x14ac:dyDescent="0.3">
      <c r="B45" s="124"/>
      <c r="E45" s="122"/>
      <c r="G45" s="1" t="s">
        <v>14</v>
      </c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>
        <f>$M$12/($M$11+$M$12)*$G$25-R43</f>
        <v>5.5855181040192978E-3</v>
      </c>
      <c r="S45" s="14">
        <f>$M$12/($M$11+$M$12)*$G$25</f>
        <v>3.5027999999999997E-2</v>
      </c>
      <c r="T45" s="14">
        <f t="shared" ref="T45:V45" si="35">$M$12/($M$11+$M$12)*$G$25</f>
        <v>3.5027999999999997E-2</v>
      </c>
      <c r="U45" s="14">
        <f t="shared" si="35"/>
        <v>3.5027999999999997E-2</v>
      </c>
      <c r="V45" s="14">
        <f t="shared" si="35"/>
        <v>3.5027999999999997E-2</v>
      </c>
      <c r="W45" s="14">
        <f>M12-SUM(R45:V45)</f>
        <v>5.3620877638071163E-3</v>
      </c>
      <c r="X45" s="14"/>
      <c r="Y45" s="15"/>
      <c r="Z45" t="str">
        <f>IF(SUM(H45:Y45)=$M$12,"","error")</f>
        <v/>
      </c>
    </row>
    <row r="46" spans="2:27" ht="15.75" thickBot="1" x14ac:dyDescent="0.3"/>
    <row r="47" spans="2:27" x14ac:dyDescent="0.25">
      <c r="E47" s="122" t="s">
        <v>19</v>
      </c>
      <c r="F47" t="s">
        <v>5</v>
      </c>
      <c r="G47" t="s">
        <v>10</v>
      </c>
      <c r="H47" s="4">
        <f>5.56%*$M$4/($M$4+$M$6)</f>
        <v>2.0571999999999997E-2</v>
      </c>
      <c r="I47" s="5">
        <f t="shared" ref="I47:Q47" si="36">5.56%*$M$4/($M$4+$M$6)</f>
        <v>2.0571999999999997E-2</v>
      </c>
      <c r="J47" s="5">
        <f t="shared" si="36"/>
        <v>2.0571999999999997E-2</v>
      </c>
      <c r="K47" s="5">
        <f t="shared" si="36"/>
        <v>2.0571999999999997E-2</v>
      </c>
      <c r="L47" s="5">
        <f t="shared" si="36"/>
        <v>2.0571999999999997E-2</v>
      </c>
      <c r="M47" s="5">
        <f t="shared" si="36"/>
        <v>2.0571999999999997E-2</v>
      </c>
      <c r="N47" s="5">
        <f t="shared" si="36"/>
        <v>2.0571999999999997E-2</v>
      </c>
      <c r="O47" s="5">
        <f t="shared" si="36"/>
        <v>2.0571999999999997E-2</v>
      </c>
      <c r="P47" s="5">
        <f t="shared" si="36"/>
        <v>2.0571999999999997E-2</v>
      </c>
      <c r="Q47" s="5">
        <f t="shared" si="36"/>
        <v>2.0571999999999997E-2</v>
      </c>
      <c r="R47" s="6">
        <f>$M$4-SUM(H47:Q47)</f>
        <v>1.7291616351607697E-2</v>
      </c>
      <c r="S47" s="6"/>
      <c r="T47" s="6"/>
      <c r="U47" s="6"/>
      <c r="V47" s="6"/>
      <c r="W47" s="6"/>
      <c r="X47" s="6"/>
      <c r="Y47" s="7"/>
      <c r="Z47" t="str">
        <f>IF(SUM(H55:Y55)=$M$4,"","error")</f>
        <v/>
      </c>
    </row>
    <row r="48" spans="2:27" x14ac:dyDescent="0.25">
      <c r="E48" s="122"/>
      <c r="G48" s="1" t="s">
        <v>9</v>
      </c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0"/>
      <c r="Z48" t="str">
        <f>IF(SUM(H56:Y56)=$M$3,"","error")</f>
        <v/>
      </c>
    </row>
    <row r="49" spans="5:26" x14ac:dyDescent="0.25">
      <c r="E49" s="122"/>
      <c r="G49" t="s">
        <v>14</v>
      </c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0"/>
      <c r="Z49" s="3" t="str">
        <f>IF(SUM(H57:Y57)=$M$11,"","error")</f>
        <v/>
      </c>
    </row>
    <row r="50" spans="5:26" x14ac:dyDescent="0.25">
      <c r="E50" s="122"/>
      <c r="F50" t="s">
        <v>6</v>
      </c>
      <c r="G50" t="s">
        <v>10</v>
      </c>
      <c r="H50" s="11">
        <f>5.56%*$M$6/($M$4+$M$6)</f>
        <v>3.5027999999999997E-2</v>
      </c>
      <c r="I50" s="12">
        <f t="shared" ref="I50:Q50" si="37">5.56%*$M$6/($M$4+$M$6)</f>
        <v>3.5027999999999997E-2</v>
      </c>
      <c r="J50" s="12">
        <f t="shared" si="37"/>
        <v>3.5027999999999997E-2</v>
      </c>
      <c r="K50" s="12">
        <f t="shared" si="37"/>
        <v>3.5027999999999997E-2</v>
      </c>
      <c r="L50" s="12">
        <f t="shared" si="37"/>
        <v>3.5027999999999997E-2</v>
      </c>
      <c r="M50" s="12">
        <f t="shared" si="37"/>
        <v>3.5027999999999997E-2</v>
      </c>
      <c r="N50" s="12">
        <f t="shared" si="37"/>
        <v>3.5027999999999997E-2</v>
      </c>
      <c r="O50" s="12">
        <f t="shared" si="37"/>
        <v>3.5027999999999997E-2</v>
      </c>
      <c r="P50" s="12">
        <f t="shared" si="37"/>
        <v>3.5027999999999997E-2</v>
      </c>
      <c r="Q50" s="12">
        <f t="shared" si="37"/>
        <v>3.5027999999999997E-2</v>
      </c>
      <c r="R50" s="9">
        <f>$M$6-SUM(H50:Q50)</f>
        <v>2.9442481895980699E-2</v>
      </c>
      <c r="S50" s="9"/>
      <c r="T50" s="9"/>
      <c r="U50" s="9"/>
      <c r="V50" s="9"/>
      <c r="W50" s="9"/>
      <c r="X50" s="9"/>
      <c r="Y50" s="10"/>
      <c r="Z50" t="str">
        <f>IF(SUM(H58:Y58)=$M$6,"","error")</f>
        <v/>
      </c>
    </row>
    <row r="51" spans="5:26" x14ac:dyDescent="0.25">
      <c r="E51" s="122"/>
      <c r="G51" s="1" t="s">
        <v>9</v>
      </c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10"/>
      <c r="Z51" t="str">
        <f>IF(SUM(H59:Y59)=$M$5,"","error")</f>
        <v/>
      </c>
    </row>
    <row r="52" spans="5:26" ht="15.75" thickBot="1" x14ac:dyDescent="0.3">
      <c r="E52" s="122"/>
      <c r="G52" s="1" t="s">
        <v>14</v>
      </c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5"/>
      <c r="Z52" t="str">
        <f>IF(SUM(H60:Y60)=$M$12,"","error")</f>
        <v/>
      </c>
    </row>
    <row r="54" spans="5:26" ht="15.75" thickBot="1" x14ac:dyDescent="0.3">
      <c r="F54" s="3" t="s">
        <v>12</v>
      </c>
      <c r="G54" s="18">
        <f>5.56%</f>
        <v>5.5599999999999997E-2</v>
      </c>
      <c r="H54" s="17" t="str">
        <f t="shared" ref="H54:V54" si="38">IF(SUM(H40:H45)=$G54,"","error")</f>
        <v/>
      </c>
      <c r="I54" s="17" t="str">
        <f t="shared" si="38"/>
        <v/>
      </c>
      <c r="J54" s="17" t="str">
        <f t="shared" si="38"/>
        <v/>
      </c>
      <c r="K54" s="17" t="str">
        <f t="shared" si="38"/>
        <v/>
      </c>
      <c r="L54" s="17" t="str">
        <f t="shared" si="38"/>
        <v/>
      </c>
      <c r="M54" s="17" t="str">
        <f t="shared" si="38"/>
        <v/>
      </c>
      <c r="N54" s="17" t="str">
        <f t="shared" si="38"/>
        <v/>
      </c>
      <c r="O54" s="17" t="str">
        <f t="shared" si="38"/>
        <v/>
      </c>
      <c r="P54" s="17" t="str">
        <f t="shared" si="38"/>
        <v/>
      </c>
      <c r="Q54" s="17" t="str">
        <f t="shared" si="38"/>
        <v/>
      </c>
      <c r="R54" s="17" t="str">
        <f t="shared" si="38"/>
        <v/>
      </c>
      <c r="S54" s="17" t="str">
        <f t="shared" si="38"/>
        <v/>
      </c>
      <c r="T54" s="17" t="str">
        <f t="shared" si="38"/>
        <v/>
      </c>
      <c r="U54" s="17" t="str">
        <f t="shared" si="38"/>
        <v/>
      </c>
      <c r="V54" s="17" t="str">
        <f t="shared" si="38"/>
        <v/>
      </c>
      <c r="W54" s="17"/>
      <c r="X54" s="16"/>
      <c r="Y54" s="16"/>
    </row>
    <row r="55" spans="5:26" x14ac:dyDescent="0.25">
      <c r="E55" s="122" t="s">
        <v>20</v>
      </c>
      <c r="F55" t="s">
        <v>5</v>
      </c>
      <c r="G55" t="s">
        <v>10</v>
      </c>
      <c r="H55" s="4">
        <f>$M$4/6</f>
        <v>3.7168602725267945E-2</v>
      </c>
      <c r="I55" s="5">
        <f t="shared" ref="I55:M55" si="39">$M$4/6</f>
        <v>3.7168602725267945E-2</v>
      </c>
      <c r="J55" s="5">
        <f t="shared" si="39"/>
        <v>3.7168602725267945E-2</v>
      </c>
      <c r="K55" s="5">
        <f t="shared" si="39"/>
        <v>3.7168602725267945E-2</v>
      </c>
      <c r="L55" s="5">
        <f t="shared" si="39"/>
        <v>3.7168602725267945E-2</v>
      </c>
      <c r="M55" s="5">
        <f t="shared" si="39"/>
        <v>3.7168602725267945E-2</v>
      </c>
      <c r="N55" s="5"/>
      <c r="O55" s="5"/>
      <c r="P55" s="5"/>
      <c r="Q55" s="5"/>
      <c r="R55" s="6"/>
      <c r="S55" s="6"/>
      <c r="T55" s="6"/>
      <c r="U55" s="6"/>
      <c r="V55" s="6"/>
      <c r="W55" s="6"/>
      <c r="X55" s="6"/>
      <c r="Y55" s="7"/>
    </row>
    <row r="56" spans="5:26" x14ac:dyDescent="0.25">
      <c r="E56" s="122"/>
      <c r="G56" s="1" t="s">
        <v>9</v>
      </c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f>($G$61-U60)*$M$3/($M$3+$M$5)</f>
        <v>1.1256657638150699E-2</v>
      </c>
      <c r="V56" s="9">
        <f>($G$61-V60)*$M$3/($M$3+$M$5)</f>
        <v>1.1256657638150699E-2</v>
      </c>
      <c r="W56" s="9">
        <f>($G$61-W60)*$M$3/($M$3+$M$5)</f>
        <v>1.1256657638150699E-2</v>
      </c>
      <c r="X56" s="9">
        <f>($G$61-X60)*$M$3/($M$3+$M$5)</f>
        <v>1.1256657638150699E-2</v>
      </c>
      <c r="Y56" s="10">
        <f>M3-SUM(U56:X56)</f>
        <v>1.3244206792462868E-2</v>
      </c>
    </row>
    <row r="57" spans="5:26" x14ac:dyDescent="0.25">
      <c r="E57" s="122"/>
      <c r="G57" t="s">
        <v>14</v>
      </c>
      <c r="H57" s="8"/>
      <c r="I57" s="9"/>
      <c r="J57" s="9"/>
      <c r="K57" s="9"/>
      <c r="L57" s="9"/>
      <c r="M57" s="9"/>
      <c r="N57" s="9">
        <f>$M$11/6</f>
        <v>1.4786257717221104E-2</v>
      </c>
      <c r="O57" s="9">
        <f t="shared" ref="O57:S57" si="40">$M$11/6</f>
        <v>1.4786257717221104E-2</v>
      </c>
      <c r="P57" s="9">
        <f t="shared" si="40"/>
        <v>1.4786257717221104E-2</v>
      </c>
      <c r="Q57" s="9">
        <f t="shared" si="40"/>
        <v>1.4786257717221104E-2</v>
      </c>
      <c r="R57" s="9">
        <f t="shared" si="40"/>
        <v>1.4786257717221104E-2</v>
      </c>
      <c r="S57" s="9">
        <f t="shared" si="40"/>
        <v>1.4786257717221104E-2</v>
      </c>
      <c r="T57" s="9"/>
      <c r="U57" s="9"/>
      <c r="V57" s="9"/>
      <c r="W57" s="9"/>
      <c r="X57" s="9"/>
      <c r="Y57" s="10"/>
    </row>
    <row r="58" spans="5:26" x14ac:dyDescent="0.25">
      <c r="E58" s="122"/>
      <c r="F58" t="s">
        <v>6</v>
      </c>
      <c r="G58" t="s">
        <v>10</v>
      </c>
      <c r="H58" s="11">
        <f t="shared" ref="H58:M58" si="41">$G$61-H55</f>
        <v>1.8431397274732052E-2</v>
      </c>
      <c r="I58" s="12">
        <f t="shared" si="41"/>
        <v>1.8431397274732052E-2</v>
      </c>
      <c r="J58" s="12">
        <f t="shared" si="41"/>
        <v>1.8431397274732052E-2</v>
      </c>
      <c r="K58" s="12">
        <f t="shared" si="41"/>
        <v>1.8431397274732052E-2</v>
      </c>
      <c r="L58" s="12">
        <f t="shared" si="41"/>
        <v>1.8431397274732052E-2</v>
      </c>
      <c r="M58" s="12">
        <f t="shared" si="41"/>
        <v>1.8431397274732052E-2</v>
      </c>
      <c r="N58" s="12">
        <f t="shared" ref="N58:S58" si="42">$G$61-N57</f>
        <v>4.0813742282778891E-2</v>
      </c>
      <c r="O58" s="12">
        <f t="shared" si="42"/>
        <v>4.0813742282778891E-2</v>
      </c>
      <c r="P58" s="12">
        <f t="shared" si="42"/>
        <v>4.0813742282778891E-2</v>
      </c>
      <c r="Q58" s="12">
        <f t="shared" si="42"/>
        <v>4.0813742282778891E-2</v>
      </c>
      <c r="R58" s="12">
        <f t="shared" si="42"/>
        <v>4.0813742282778891E-2</v>
      </c>
      <c r="S58" s="12">
        <f t="shared" si="42"/>
        <v>4.0813742282778891E-2</v>
      </c>
      <c r="T58" s="9">
        <f>M6-SUM(H58:S58)</f>
        <v>2.4251644550914997E-2</v>
      </c>
      <c r="U58" s="9"/>
      <c r="V58" s="9"/>
      <c r="W58" s="9"/>
      <c r="X58" s="9"/>
      <c r="Y58" s="10"/>
    </row>
    <row r="59" spans="5:26" x14ac:dyDescent="0.25">
      <c r="E59" s="122"/>
      <c r="G59" s="1" t="s">
        <v>9</v>
      </c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>
        <f>($G$61-U60)*$M$5/($M$3+$M$5)</f>
        <v>1.9166741383878229E-2</v>
      </c>
      <c r="V59" s="9">
        <f>($G$61-V60)*$M$5/($M$3+$M$5)</f>
        <v>1.9166741383878229E-2</v>
      </c>
      <c r="W59" s="9">
        <f>($G$61-W60)*$M$5/($M$3+$M$5)</f>
        <v>1.9166741383878229E-2</v>
      </c>
      <c r="X59" s="9">
        <f>($G$61-X60)*$M$5/($M$3+$M$5)</f>
        <v>1.9166741383878229E-2</v>
      </c>
      <c r="Y59" s="10">
        <f>M5-SUM(U59:X59)</f>
        <v>2.255094670068003E-2</v>
      </c>
    </row>
    <row r="60" spans="5:26" ht="15.75" thickBot="1" x14ac:dyDescent="0.3">
      <c r="E60" s="122"/>
      <c r="G60" s="1" t="s">
        <v>14</v>
      </c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>
        <f>$M$12/6</f>
        <v>2.5176600977971069E-2</v>
      </c>
      <c r="U60" s="14">
        <f t="shared" ref="U60:Y60" si="43">$M$12/6</f>
        <v>2.5176600977971069E-2</v>
      </c>
      <c r="V60" s="14">
        <f t="shared" si="43"/>
        <v>2.5176600977971069E-2</v>
      </c>
      <c r="W60" s="14">
        <f t="shared" si="43"/>
        <v>2.5176600977971069E-2</v>
      </c>
      <c r="X60" s="14">
        <f t="shared" si="43"/>
        <v>2.5176600977971069E-2</v>
      </c>
      <c r="Y60" s="15">
        <f t="shared" si="43"/>
        <v>2.5176600977971069E-2</v>
      </c>
    </row>
    <row r="61" spans="5:26" x14ac:dyDescent="0.25">
      <c r="F61" s="3" t="s">
        <v>12</v>
      </c>
      <c r="G61" s="18">
        <f>5.56%</f>
        <v>5.5599999999999997E-2</v>
      </c>
      <c r="H61" s="3" t="str">
        <f t="shared" ref="H61:Y61" si="44">IF(SUM(H55:H60)=$G61,"","error")</f>
        <v/>
      </c>
      <c r="I61" s="3" t="str">
        <f t="shared" si="44"/>
        <v/>
      </c>
      <c r="J61" s="3" t="str">
        <f t="shared" si="44"/>
        <v/>
      </c>
      <c r="K61" s="3" t="str">
        <f t="shared" si="44"/>
        <v/>
      </c>
      <c r="L61" s="3" t="str">
        <f t="shared" si="44"/>
        <v/>
      </c>
      <c r="M61" s="3" t="str">
        <f t="shared" si="44"/>
        <v/>
      </c>
      <c r="N61" s="3" t="str">
        <f t="shared" si="44"/>
        <v/>
      </c>
      <c r="O61" s="3" t="str">
        <f t="shared" si="44"/>
        <v/>
      </c>
      <c r="P61" s="3" t="str">
        <f t="shared" si="44"/>
        <v/>
      </c>
      <c r="Q61" s="3" t="str">
        <f t="shared" si="44"/>
        <v/>
      </c>
      <c r="R61" s="3" t="str">
        <f t="shared" si="44"/>
        <v/>
      </c>
      <c r="S61" s="3" t="str">
        <f t="shared" si="44"/>
        <v/>
      </c>
      <c r="T61" s="3" t="str">
        <f t="shared" si="44"/>
        <v>error</v>
      </c>
      <c r="U61" s="3" t="str">
        <f t="shared" si="44"/>
        <v/>
      </c>
      <c r="V61" s="3" t="str">
        <f t="shared" si="44"/>
        <v/>
      </c>
      <c r="W61" s="3" t="str">
        <f t="shared" si="44"/>
        <v/>
      </c>
      <c r="X61" s="3" t="str">
        <f t="shared" si="44"/>
        <v/>
      </c>
      <c r="Y61" s="3" t="str">
        <f t="shared" si="44"/>
        <v>error</v>
      </c>
    </row>
  </sheetData>
  <mergeCells count="10">
    <mergeCell ref="E55:E60"/>
    <mergeCell ref="E40:E45"/>
    <mergeCell ref="E47:E52"/>
    <mergeCell ref="B19:B24"/>
    <mergeCell ref="B26:B31"/>
    <mergeCell ref="B33:B38"/>
    <mergeCell ref="B40:B45"/>
    <mergeCell ref="E19:E24"/>
    <mergeCell ref="E26:E31"/>
    <mergeCell ref="E33:E38"/>
  </mergeCells>
  <conditionalFormatting sqref="H55:Y60 H19:Y39">
    <cfRule type="colorScale" priority="4">
      <colorScale>
        <cfvo type="min"/>
        <cfvo type="max"/>
        <color rgb="FFFCFCFF"/>
        <color rgb="FF63BE7B"/>
      </colorScale>
    </cfRule>
  </conditionalFormatting>
  <conditionalFormatting sqref="H40:Y45 H54:Y54">
    <cfRule type="colorScale" priority="6">
      <colorScale>
        <cfvo type="min"/>
        <cfvo type="max"/>
        <color rgb="FFFCFCFF"/>
        <color rgb="FF63BE7B"/>
      </colorScale>
    </cfRule>
  </conditionalFormatting>
  <conditionalFormatting sqref="H47:Y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9220-83D5-47BC-B198-85B7D722580B}">
  <dimension ref="B1:Q22"/>
  <sheetViews>
    <sheetView workbookViewId="0">
      <selection activeCell="H23" sqref="H23"/>
    </sheetView>
  </sheetViews>
  <sheetFormatPr defaultRowHeight="15" x14ac:dyDescent="0.25"/>
  <cols>
    <col min="8" max="8" width="9.85546875" bestFit="1" customWidth="1"/>
    <col min="12" max="12" width="11.85546875" bestFit="1" customWidth="1"/>
    <col min="15" max="16" width="15.5703125" bestFit="1" customWidth="1"/>
    <col min="17" max="17" width="14.5703125" bestFit="1" customWidth="1"/>
  </cols>
  <sheetData>
    <row r="1" spans="2:17" x14ac:dyDescent="0.25">
      <c r="I1" t="s">
        <v>76</v>
      </c>
      <c r="L1" t="s">
        <v>79</v>
      </c>
      <c r="M1" t="s">
        <v>78</v>
      </c>
      <c r="P1" s="30">
        <v>0.63</v>
      </c>
    </row>
    <row r="2" spans="2:17" x14ac:dyDescent="0.25">
      <c r="B2" t="s">
        <v>28</v>
      </c>
      <c r="C2">
        <v>2019</v>
      </c>
      <c r="D2">
        <v>44</v>
      </c>
      <c r="E2" t="s">
        <v>29</v>
      </c>
      <c r="F2">
        <v>1</v>
      </c>
      <c r="G2" t="s">
        <v>30</v>
      </c>
      <c r="H2" s="32">
        <v>30526483.028257299</v>
      </c>
      <c r="O2" t="s">
        <v>54</v>
      </c>
      <c r="P2" t="s">
        <v>6</v>
      </c>
      <c r="Q2" t="s">
        <v>5</v>
      </c>
    </row>
    <row r="3" spans="2:17" x14ac:dyDescent="0.25">
      <c r="B3" t="s">
        <v>31</v>
      </c>
      <c r="C3">
        <v>2019</v>
      </c>
      <c r="D3">
        <v>44</v>
      </c>
      <c r="E3" t="s">
        <v>29</v>
      </c>
      <c r="F3">
        <v>1</v>
      </c>
      <c r="G3" t="s">
        <v>30</v>
      </c>
      <c r="H3" s="32">
        <v>29075877.147835098</v>
      </c>
      <c r="L3">
        <f>1000000*SUM(I14:I16)/SUM(H14:H21)</f>
        <v>0.76379301777928366</v>
      </c>
      <c r="M3">
        <f>L3/$L$3</f>
        <v>1</v>
      </c>
      <c r="N3" t="s">
        <v>22</v>
      </c>
      <c r="O3" s="33">
        <f>SUM(H14:H21)</f>
        <v>12018962.97335986</v>
      </c>
      <c r="P3" s="33">
        <f>O3*$P$1</f>
        <v>7571946.6732167117</v>
      </c>
      <c r="Q3" s="33">
        <f>O3-P3</f>
        <v>4447016.3001431488</v>
      </c>
    </row>
    <row r="4" spans="2:17" x14ac:dyDescent="0.25">
      <c r="B4" t="s">
        <v>32</v>
      </c>
      <c r="C4">
        <v>2019</v>
      </c>
      <c r="D4">
        <v>44</v>
      </c>
      <c r="E4" t="s">
        <v>29</v>
      </c>
      <c r="F4">
        <v>1</v>
      </c>
      <c r="G4" t="s">
        <v>30</v>
      </c>
      <c r="H4" s="32">
        <v>27543416.451568402</v>
      </c>
      <c r="I4">
        <f>2.24+2.44/2</f>
        <v>3.46</v>
      </c>
      <c r="L4">
        <f>1000000*SUM(I6:I13)/SUM(H6:H14)</f>
        <v>0.60615039510523494</v>
      </c>
      <c r="M4" s="36">
        <f t="shared" ref="M4:M5" si="0">L4/$L$3</f>
        <v>0.79360557244632557</v>
      </c>
      <c r="N4" t="s">
        <v>52</v>
      </c>
      <c r="O4" s="33">
        <f>0.4*H5+SUM(H6:H13)</f>
        <v>110065234.50837165</v>
      </c>
      <c r="P4" s="33">
        <f>O4*$P$1</f>
        <v>69341097.740274146</v>
      </c>
      <c r="Q4" s="33">
        <f>O4-P4</f>
        <v>40724136.768097505</v>
      </c>
    </row>
    <row r="5" spans="2:17" x14ac:dyDescent="0.25">
      <c r="B5" t="s">
        <v>33</v>
      </c>
      <c r="C5">
        <v>2019</v>
      </c>
      <c r="D5">
        <v>44</v>
      </c>
      <c r="E5" t="s">
        <v>29</v>
      </c>
      <c r="F5">
        <v>1</v>
      </c>
      <c r="G5" t="s">
        <v>30</v>
      </c>
      <c r="H5" s="32">
        <v>24721454.452940904</v>
      </c>
      <c r="I5">
        <f>2.44/2+2.05 +12.7*2/7</f>
        <v>6.8985714285714277</v>
      </c>
      <c r="L5">
        <f>1000000*(I4+ 0.6*I5)/(0.6*H5+ 0.6*H4)</f>
        <v>0.24232793224301954</v>
      </c>
      <c r="M5" s="36">
        <f t="shared" si="0"/>
        <v>0.31726911166009902</v>
      </c>
      <c r="N5" t="s">
        <v>51</v>
      </c>
      <c r="O5" s="33">
        <f>0.6*H4+0.6*H5</f>
        <v>31358922.542705581</v>
      </c>
      <c r="P5" s="33">
        <f>O5*$P$1</f>
        <v>19756121.201904517</v>
      </c>
      <c r="Q5" s="33">
        <f>O5-P5</f>
        <v>11602801.340801064</v>
      </c>
    </row>
    <row r="6" spans="2:17" x14ac:dyDescent="0.25">
      <c r="B6" t="s">
        <v>34</v>
      </c>
      <c r="C6">
        <v>2019</v>
      </c>
      <c r="D6">
        <v>44</v>
      </c>
      <c r="E6" t="s">
        <v>29</v>
      </c>
      <c r="F6">
        <v>1</v>
      </c>
      <c r="G6" t="s">
        <v>30</v>
      </c>
      <c r="H6" s="32">
        <v>21124968.023773201</v>
      </c>
      <c r="I6">
        <f>12.7*5/7</f>
        <v>9.0714285714285712</v>
      </c>
      <c r="N6" s="27" t="s">
        <v>50</v>
      </c>
      <c r="O6" s="33">
        <f>H3+0.4*H4</f>
        <v>40093243.728462458</v>
      </c>
      <c r="P6" s="33">
        <f>O6*$P$1</f>
        <v>25258743.548931349</v>
      </c>
      <c r="Q6" s="33">
        <f>O6-P6</f>
        <v>14834500.179531109</v>
      </c>
    </row>
    <row r="7" spans="2:17" x14ac:dyDescent="0.25">
      <c r="B7" t="s">
        <v>35</v>
      </c>
      <c r="C7">
        <v>2019</v>
      </c>
      <c r="D7">
        <v>44</v>
      </c>
      <c r="E7" t="s">
        <v>29</v>
      </c>
      <c r="F7">
        <v>1</v>
      </c>
      <c r="G7" t="s">
        <v>30</v>
      </c>
      <c r="H7" s="32">
        <v>17540564.33955485</v>
      </c>
      <c r="I7">
        <v>9.23</v>
      </c>
    </row>
    <row r="8" spans="2:17" x14ac:dyDescent="0.25">
      <c r="B8" t="s">
        <v>36</v>
      </c>
      <c r="C8">
        <v>2019</v>
      </c>
      <c r="D8">
        <v>44</v>
      </c>
      <c r="E8" t="s">
        <v>29</v>
      </c>
      <c r="F8">
        <v>1</v>
      </c>
      <c r="G8" t="s">
        <v>30</v>
      </c>
      <c r="H8" s="32">
        <v>15031095.782335348</v>
      </c>
      <c r="I8">
        <v>10.31</v>
      </c>
      <c r="N8" t="s">
        <v>53</v>
      </c>
      <c r="O8" s="33">
        <f>SUM(O3:O4)</f>
        <v>122084197.4817315</v>
      </c>
      <c r="P8" s="33">
        <f>O8*$P$1</f>
        <v>76913044.413490847</v>
      </c>
      <c r="Q8" s="33">
        <f>O8-P8</f>
        <v>45171153.068240657</v>
      </c>
    </row>
    <row r="9" spans="2:17" x14ac:dyDescent="0.25">
      <c r="B9" t="s">
        <v>37</v>
      </c>
      <c r="C9">
        <v>2019</v>
      </c>
      <c r="D9">
        <v>44</v>
      </c>
      <c r="E9" t="s">
        <v>29</v>
      </c>
      <c r="F9">
        <v>1</v>
      </c>
      <c r="G9" t="s">
        <v>30</v>
      </c>
      <c r="H9" s="32">
        <v>13048518.44443905</v>
      </c>
      <c r="I9">
        <v>9.4</v>
      </c>
    </row>
    <row r="10" spans="2:17" x14ac:dyDescent="0.25">
      <c r="B10" t="s">
        <v>38</v>
      </c>
      <c r="C10">
        <v>2019</v>
      </c>
      <c r="D10">
        <v>44</v>
      </c>
      <c r="E10" t="s">
        <v>29</v>
      </c>
      <c r="F10">
        <v>1</v>
      </c>
      <c r="G10" t="s">
        <v>30</v>
      </c>
      <c r="H10" s="32">
        <v>11057456.10040855</v>
      </c>
      <c r="I10">
        <v>8.2799999999999994</v>
      </c>
    </row>
    <row r="11" spans="2:17" x14ac:dyDescent="0.25">
      <c r="B11" t="s">
        <v>39</v>
      </c>
      <c r="C11">
        <v>2019</v>
      </c>
      <c r="D11">
        <v>44</v>
      </c>
      <c r="E11" t="s">
        <v>29</v>
      </c>
      <c r="F11">
        <v>1</v>
      </c>
      <c r="G11" t="s">
        <v>30</v>
      </c>
      <c r="H11" s="32">
        <v>9249436.2952839211</v>
      </c>
      <c r="I11">
        <v>6.47</v>
      </c>
    </row>
    <row r="12" spans="2:17" x14ac:dyDescent="0.25">
      <c r="B12" t="s">
        <v>40</v>
      </c>
      <c r="C12">
        <v>2019</v>
      </c>
      <c r="D12">
        <v>44</v>
      </c>
      <c r="E12" t="s">
        <v>29</v>
      </c>
      <c r="F12">
        <v>1</v>
      </c>
      <c r="G12" t="s">
        <v>30</v>
      </c>
      <c r="H12" s="32">
        <v>7363025.2569421902</v>
      </c>
      <c r="I12">
        <f>10.6/2</f>
        <v>5.3</v>
      </c>
    </row>
    <row r="13" spans="2:17" x14ac:dyDescent="0.25">
      <c r="B13" t="s">
        <v>41</v>
      </c>
      <c r="C13">
        <v>2019</v>
      </c>
      <c r="D13">
        <v>44</v>
      </c>
      <c r="E13" t="s">
        <v>29</v>
      </c>
      <c r="F13">
        <v>1</v>
      </c>
      <c r="G13" t="s">
        <v>30</v>
      </c>
      <c r="H13" s="32">
        <v>5761588.4844581801</v>
      </c>
      <c r="I13">
        <f>10.6/2</f>
        <v>5.3</v>
      </c>
    </row>
    <row r="14" spans="2:17" x14ac:dyDescent="0.25">
      <c r="B14" t="s">
        <v>42</v>
      </c>
      <c r="C14">
        <v>2019</v>
      </c>
      <c r="D14">
        <v>44</v>
      </c>
      <c r="E14" t="s">
        <v>29</v>
      </c>
      <c r="F14">
        <v>1</v>
      </c>
      <c r="G14" t="s">
        <v>30</v>
      </c>
      <c r="H14" s="32">
        <v>4354217.9660891099</v>
      </c>
      <c r="I14">
        <v>3.32</v>
      </c>
    </row>
    <row r="15" spans="2:17" x14ac:dyDescent="0.25">
      <c r="B15" t="s">
        <v>43</v>
      </c>
      <c r="C15">
        <v>2019</v>
      </c>
      <c r="D15">
        <v>44</v>
      </c>
      <c r="E15" t="s">
        <v>29</v>
      </c>
      <c r="F15">
        <v>1</v>
      </c>
      <c r="G15" t="s">
        <v>30</v>
      </c>
      <c r="H15" s="32">
        <v>3144692.36463159</v>
      </c>
      <c r="I15">
        <v>2.67</v>
      </c>
    </row>
    <row r="16" spans="2:17" x14ac:dyDescent="0.25">
      <c r="B16" t="s">
        <v>44</v>
      </c>
      <c r="C16">
        <v>2019</v>
      </c>
      <c r="D16">
        <v>44</v>
      </c>
      <c r="E16" t="s">
        <v>29</v>
      </c>
      <c r="F16">
        <v>1</v>
      </c>
      <c r="G16" t="s">
        <v>30</v>
      </c>
      <c r="H16" s="32">
        <v>2104646.4150852798</v>
      </c>
      <c r="I16">
        <v>3.19</v>
      </c>
      <c r="J16" t="s">
        <v>77</v>
      </c>
    </row>
    <row r="17" spans="2:8" x14ac:dyDescent="0.25">
      <c r="B17" t="s">
        <v>45</v>
      </c>
      <c r="C17">
        <v>2019</v>
      </c>
      <c r="D17">
        <v>44</v>
      </c>
      <c r="E17" t="s">
        <v>29</v>
      </c>
      <c r="F17">
        <v>1</v>
      </c>
      <c r="G17" t="s">
        <v>30</v>
      </c>
      <c r="H17" s="32">
        <v>1323814.647498541</v>
      </c>
    </row>
    <row r="18" spans="2:8" x14ac:dyDescent="0.25">
      <c r="B18" t="s">
        <v>46</v>
      </c>
      <c r="C18">
        <v>2019</v>
      </c>
      <c r="D18">
        <v>44</v>
      </c>
      <c r="E18" t="s">
        <v>29</v>
      </c>
      <c r="F18">
        <v>1</v>
      </c>
      <c r="G18" t="s">
        <v>30</v>
      </c>
      <c r="H18" s="32">
        <v>698220.70326765906</v>
      </c>
    </row>
    <row r="19" spans="2:8" x14ac:dyDescent="0.25">
      <c r="B19" t="s">
        <v>47</v>
      </c>
      <c r="C19">
        <v>2019</v>
      </c>
      <c r="D19">
        <v>44</v>
      </c>
      <c r="E19" t="s">
        <v>29</v>
      </c>
      <c r="F19">
        <v>1</v>
      </c>
      <c r="G19" t="s">
        <v>30</v>
      </c>
      <c r="H19" s="32">
        <v>285159.02688410197</v>
      </c>
    </row>
    <row r="20" spans="2:8" x14ac:dyDescent="0.25">
      <c r="B20" t="s">
        <v>48</v>
      </c>
      <c r="C20">
        <v>2019</v>
      </c>
      <c r="D20">
        <v>44</v>
      </c>
      <c r="E20" t="s">
        <v>29</v>
      </c>
      <c r="F20">
        <v>1</v>
      </c>
      <c r="G20" t="s">
        <v>30</v>
      </c>
      <c r="H20" s="32">
        <v>87844.771652839991</v>
      </c>
    </row>
    <row r="21" spans="2:8" x14ac:dyDescent="0.25">
      <c r="B21" t="s">
        <v>49</v>
      </c>
      <c r="C21">
        <v>2019</v>
      </c>
      <c r="D21">
        <v>44</v>
      </c>
      <c r="E21" t="s">
        <v>29</v>
      </c>
      <c r="F21">
        <v>1</v>
      </c>
      <c r="G21" t="s">
        <v>30</v>
      </c>
      <c r="H21" s="32">
        <v>20367.078250740422</v>
      </c>
    </row>
    <row r="22" spans="2:8" x14ac:dyDescent="0.25">
      <c r="H22" s="32">
        <f>SUM(H2:H21)</f>
        <v>224062846.78115687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76C2-707F-429E-8CEE-A4092B4E5E12}">
  <dimension ref="A1:EH68"/>
  <sheetViews>
    <sheetView topLeftCell="A24" zoomScale="115" zoomScaleNormal="115" workbookViewId="0">
      <selection activeCell="K38" sqref="K38"/>
    </sheetView>
  </sheetViews>
  <sheetFormatPr defaultRowHeight="15" x14ac:dyDescent="0.25"/>
  <cols>
    <col min="5" max="5" width="18.5703125" customWidth="1"/>
    <col min="8" max="8" width="16" bestFit="1" customWidth="1"/>
    <col min="9" max="9" width="12.42578125" customWidth="1"/>
    <col min="10" max="10" width="13.5703125" bestFit="1" customWidth="1"/>
    <col min="11" max="11" width="16.85546875" bestFit="1" customWidth="1"/>
    <col min="12" max="12" width="14.140625" customWidth="1"/>
    <col min="13" max="13" width="13.5703125" bestFit="1" customWidth="1"/>
    <col min="14" max="15" width="12.5703125" bestFit="1" customWidth="1"/>
    <col min="16" max="16" width="7.85546875" customWidth="1"/>
    <col min="17" max="27" width="8.42578125" customWidth="1"/>
    <col min="29" max="40" width="8.7109375" hidden="1" customWidth="1"/>
    <col min="41" max="41" width="8.7109375" customWidth="1"/>
    <col min="55" max="67" width="0" hidden="1" customWidth="1"/>
    <col min="82" max="93" width="0" hidden="1" customWidth="1"/>
    <col min="96" max="96" width="24" bestFit="1" customWidth="1"/>
  </cols>
  <sheetData>
    <row r="1" spans="1:138" x14ac:dyDescent="0.25">
      <c r="A1" t="s">
        <v>6</v>
      </c>
      <c r="B1" t="s">
        <v>8</v>
      </c>
      <c r="P1" s="57" t="s">
        <v>93</v>
      </c>
      <c r="AP1" s="58" t="s">
        <v>95</v>
      </c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P1" s="57" t="s">
        <v>94</v>
      </c>
      <c r="CS1" t="s">
        <v>99</v>
      </c>
    </row>
    <row r="2" spans="1:138" x14ac:dyDescent="0.25">
      <c r="K2" t="s">
        <v>89</v>
      </c>
      <c r="M2" s="30">
        <v>0.8</v>
      </c>
      <c r="N2" t="s">
        <v>90</v>
      </c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</row>
    <row r="3" spans="1:138" x14ac:dyDescent="0.25">
      <c r="K3" t="s">
        <v>86</v>
      </c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</row>
    <row r="4" spans="1:138" x14ac:dyDescent="0.25">
      <c r="K4" t="s">
        <v>87</v>
      </c>
      <c r="M4" s="43">
        <f>(M37-M5*($I$38/SUM($I$38:$I$40)))/(SUM($I$39:$I$40)/SUM($I$38:$I$40))</f>
        <v>0.58300295617951747</v>
      </c>
      <c r="N4" s="43">
        <f>(N37-N5*($I$38/SUM($I$38:$I$40)))/(SUM($I$39:$I$40)/SUM($I$38:$I$40))</f>
        <v>0.68725221713463802</v>
      </c>
      <c r="O4" s="43">
        <f>(O37-O5*($I$38/SUM($I$38:$I$40)))/(SUM($I$39:$I$40)/SUM($I$38:$I$40))</f>
        <v>0.79150147808975879</v>
      </c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</row>
    <row r="5" spans="1:138" x14ac:dyDescent="0.25">
      <c r="K5" t="s">
        <v>88</v>
      </c>
      <c r="M5" s="30">
        <v>0.8</v>
      </c>
      <c r="N5" s="30">
        <v>0.85</v>
      </c>
      <c r="O5" s="30">
        <v>0.9</v>
      </c>
      <c r="AC5" t="s">
        <v>92</v>
      </c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 t="s">
        <v>92</v>
      </c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CD5" t="s">
        <v>92</v>
      </c>
      <c r="CS5" s="56" t="s">
        <v>100</v>
      </c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114" t="s">
        <v>107</v>
      </c>
      <c r="DH5" s="114"/>
      <c r="DI5" s="114"/>
      <c r="DJ5" s="114"/>
      <c r="DK5" s="114"/>
      <c r="DL5" s="114"/>
      <c r="DM5" s="114"/>
      <c r="DN5" s="114"/>
      <c r="DO5" s="114"/>
      <c r="DP5" s="114"/>
      <c r="DQ5" s="114"/>
      <c r="DR5" s="114"/>
      <c r="DS5" s="114"/>
      <c r="DT5" s="114"/>
      <c r="DU5" s="115" t="s">
        <v>108</v>
      </c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</row>
    <row r="6" spans="1:138" x14ac:dyDescent="0.25">
      <c r="B6" s="25"/>
      <c r="H6" s="1"/>
      <c r="I6" s="1"/>
      <c r="J6" s="1"/>
      <c r="K6" s="1"/>
      <c r="L6" s="1"/>
      <c r="M6" s="1"/>
      <c r="N6" s="1"/>
      <c r="O6" s="1"/>
      <c r="P6" s="54">
        <f>1000000*30</f>
        <v>30000000</v>
      </c>
      <c r="Q6" s="55">
        <f>30000000+P20</f>
        <v>30000000</v>
      </c>
      <c r="R6" s="55">
        <f t="shared" ref="R6:AA6" si="0">30000000+Q20</f>
        <v>30000000</v>
      </c>
      <c r="S6" s="55">
        <f t="shared" si="0"/>
        <v>30000000</v>
      </c>
      <c r="T6" s="55">
        <f t="shared" si="0"/>
        <v>30000000</v>
      </c>
      <c r="U6" s="55">
        <f t="shared" si="0"/>
        <v>46522431.351479076</v>
      </c>
      <c r="V6" s="55">
        <f t="shared" si="0"/>
        <v>30000000</v>
      </c>
      <c r="W6" s="55">
        <f t="shared" si="0"/>
        <v>48572735.21470274</v>
      </c>
      <c r="X6" s="55">
        <f t="shared" si="0"/>
        <v>68734931.552081347</v>
      </c>
      <c r="Y6" s="55">
        <f t="shared" si="0"/>
        <v>88897127.889459968</v>
      </c>
      <c r="Z6" s="55">
        <f t="shared" si="0"/>
        <v>109059324.22683859</v>
      </c>
      <c r="AA6" s="55">
        <f t="shared" si="0"/>
        <v>129221520.56421721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P6" s="60">
        <f>1000000*30</f>
        <v>30000000</v>
      </c>
      <c r="AQ6" s="61">
        <f>30000000+AP20</f>
        <v>30000000</v>
      </c>
      <c r="AR6" s="61">
        <f t="shared" ref="AR6:BA6" si="1">30000000+AQ20</f>
        <v>30000000</v>
      </c>
      <c r="AS6" s="61">
        <f t="shared" si="1"/>
        <v>30000000</v>
      </c>
      <c r="AT6" s="61">
        <f t="shared" si="1"/>
        <v>30000000</v>
      </c>
      <c r="AU6" s="61">
        <f t="shared" si="1"/>
        <v>31178119.349035405</v>
      </c>
      <c r="AV6" s="61">
        <f t="shared" si="1"/>
        <v>30000000</v>
      </c>
      <c r="AW6" s="61">
        <f t="shared" si="1"/>
        <v>23599752.132830881</v>
      </c>
      <c r="AX6" s="61">
        <f t="shared" si="1"/>
        <v>42151926.13647379</v>
      </c>
      <c r="AY6" s="61">
        <f t="shared" si="1"/>
        <v>60704100.140116699</v>
      </c>
      <c r="AZ6" s="61">
        <f t="shared" si="1"/>
        <v>79256274.143759608</v>
      </c>
      <c r="BA6" s="61">
        <f t="shared" si="1"/>
        <v>97808448.147402525</v>
      </c>
      <c r="BB6" s="59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P6" s="75">
        <f>1000000*30</f>
        <v>30000000</v>
      </c>
      <c r="BQ6" s="76">
        <f>30000000+BP20</f>
        <v>30000000</v>
      </c>
      <c r="BR6" s="76">
        <f t="shared" ref="BR6:CA6" si="2">30000000+BQ20</f>
        <v>30000000</v>
      </c>
      <c r="BS6" s="76">
        <f t="shared" si="2"/>
        <v>30000000</v>
      </c>
      <c r="BT6" s="76">
        <f t="shared" si="2"/>
        <v>30000000</v>
      </c>
      <c r="BU6" s="76">
        <f t="shared" si="2"/>
        <v>30000000</v>
      </c>
      <c r="BV6" s="76">
        <f t="shared" si="2"/>
        <v>45833807.346591651</v>
      </c>
      <c r="BW6" s="76">
        <f t="shared" si="2"/>
        <v>30000000</v>
      </c>
      <c r="BX6" s="76">
        <f t="shared" si="2"/>
        <v>28626769.050958924</v>
      </c>
      <c r="BY6" s="76">
        <f t="shared" si="2"/>
        <v>45568920.720866129</v>
      </c>
      <c r="BZ6" s="76">
        <f t="shared" si="2"/>
        <v>62511072.390773334</v>
      </c>
      <c r="CA6" s="76">
        <f t="shared" si="2"/>
        <v>79453224.060680538</v>
      </c>
      <c r="CB6" s="76">
        <f t="shared" ref="CB6" si="3">30000000+CA20</f>
        <v>96395375.730587751</v>
      </c>
      <c r="CC6" s="77"/>
      <c r="CD6" s="87"/>
      <c r="CE6" s="87"/>
      <c r="CF6" s="87"/>
      <c r="CG6" s="87"/>
      <c r="CH6" s="87"/>
      <c r="CI6" s="87"/>
      <c r="CJ6" s="87"/>
      <c r="CK6" s="87"/>
      <c r="CL6" s="87"/>
      <c r="CM6" s="87"/>
      <c r="CN6" s="87"/>
      <c r="CO6" s="87"/>
      <c r="CP6" s="87"/>
      <c r="CS6" s="75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G6" s="97"/>
      <c r="DH6" s="98"/>
      <c r="DI6" s="98"/>
      <c r="DJ6" s="98"/>
      <c r="DK6" s="98"/>
      <c r="DL6" s="98"/>
      <c r="DM6" s="98"/>
      <c r="DN6" s="98"/>
      <c r="DO6" s="98"/>
      <c r="DP6" s="98"/>
      <c r="DQ6" s="98"/>
      <c r="DR6" s="98"/>
      <c r="DS6" s="98"/>
      <c r="DT6" s="96"/>
      <c r="DU6" s="75"/>
      <c r="DV6" s="76"/>
      <c r="DW6" s="76"/>
      <c r="DX6" s="76"/>
      <c r="DY6" s="76"/>
      <c r="DZ6" s="76"/>
      <c r="EA6" s="76"/>
      <c r="EB6" s="76"/>
      <c r="EC6" s="76"/>
      <c r="ED6" s="76"/>
      <c r="EE6" s="76"/>
      <c r="EF6" s="76"/>
      <c r="EG6" s="76"/>
      <c r="EH6" s="77"/>
    </row>
    <row r="7" spans="1:138" ht="15.75" thickBot="1" x14ac:dyDescent="0.3">
      <c r="G7" t="s">
        <v>109</v>
      </c>
      <c r="H7" t="s">
        <v>27</v>
      </c>
      <c r="I7" t="s">
        <v>25</v>
      </c>
      <c r="J7" t="s">
        <v>56</v>
      </c>
      <c r="K7" t="s">
        <v>84</v>
      </c>
      <c r="L7" t="s">
        <v>98</v>
      </c>
      <c r="M7" s="30">
        <v>0.6</v>
      </c>
      <c r="N7" s="30">
        <v>0.7</v>
      </c>
      <c r="O7" s="30">
        <v>0.8</v>
      </c>
      <c r="P7">
        <v>1</v>
      </c>
      <c r="Q7">
        <v>2</v>
      </c>
      <c r="R7">
        <v>3</v>
      </c>
      <c r="S7">
        <v>4</v>
      </c>
      <c r="T7">
        <v>5</v>
      </c>
      <c r="U7">
        <v>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 t="s">
        <v>13</v>
      </c>
      <c r="AC7">
        <v>1</v>
      </c>
      <c r="AD7">
        <v>2</v>
      </c>
      <c r="AE7">
        <v>3</v>
      </c>
      <c r="AF7">
        <v>4</v>
      </c>
      <c r="AG7">
        <v>5</v>
      </c>
      <c r="AH7">
        <v>6</v>
      </c>
      <c r="AI7">
        <v>7</v>
      </c>
      <c r="AJ7">
        <v>8</v>
      </c>
      <c r="AK7">
        <v>9</v>
      </c>
      <c r="AL7">
        <v>10</v>
      </c>
      <c r="AM7">
        <v>11</v>
      </c>
      <c r="AN7">
        <v>12</v>
      </c>
      <c r="AP7" s="59">
        <v>1</v>
      </c>
      <c r="AQ7" s="59">
        <v>2</v>
      </c>
      <c r="AR7" s="59">
        <v>3</v>
      </c>
      <c r="AS7" s="59">
        <v>4</v>
      </c>
      <c r="AT7" s="59">
        <v>5</v>
      </c>
      <c r="AU7" s="59">
        <v>6</v>
      </c>
      <c r="AV7" s="59">
        <v>7</v>
      </c>
      <c r="AW7" s="59">
        <v>8</v>
      </c>
      <c r="AX7" s="59">
        <v>9</v>
      </c>
      <c r="AY7" s="59">
        <v>10</v>
      </c>
      <c r="AZ7" s="59">
        <v>11</v>
      </c>
      <c r="BA7" s="59">
        <v>12</v>
      </c>
      <c r="BB7" s="59" t="s">
        <v>13</v>
      </c>
      <c r="BC7" s="59">
        <v>1</v>
      </c>
      <c r="BD7" s="59">
        <v>2</v>
      </c>
      <c r="BE7" s="59">
        <v>3</v>
      </c>
      <c r="BF7" s="59">
        <v>4</v>
      </c>
      <c r="BG7" s="59">
        <v>5</v>
      </c>
      <c r="BH7" s="59">
        <v>6</v>
      </c>
      <c r="BI7" s="59">
        <v>7</v>
      </c>
      <c r="BJ7" s="59">
        <v>8</v>
      </c>
      <c r="BK7" s="59">
        <v>9</v>
      </c>
      <c r="BL7" s="59">
        <v>10</v>
      </c>
      <c r="BM7" s="59">
        <v>11</v>
      </c>
      <c r="BN7" s="59">
        <v>12</v>
      </c>
      <c r="BP7" s="77">
        <v>1</v>
      </c>
      <c r="BQ7" s="77">
        <v>2</v>
      </c>
      <c r="BR7" s="77">
        <v>3</v>
      </c>
      <c r="BS7" s="77">
        <v>4</v>
      </c>
      <c r="BT7" s="77">
        <v>5</v>
      </c>
      <c r="BU7" s="77">
        <v>6</v>
      </c>
      <c r="BV7" s="77">
        <v>7</v>
      </c>
      <c r="BW7" s="77">
        <v>8</v>
      </c>
      <c r="BX7" s="77">
        <v>9</v>
      </c>
      <c r="BY7" s="77">
        <v>10</v>
      </c>
      <c r="BZ7" s="77">
        <v>11</v>
      </c>
      <c r="CA7" s="77">
        <v>12</v>
      </c>
      <c r="CB7" s="77">
        <v>13</v>
      </c>
      <c r="CC7" s="77" t="s">
        <v>13</v>
      </c>
      <c r="CD7" s="77">
        <v>1</v>
      </c>
      <c r="CE7" s="77">
        <v>2</v>
      </c>
      <c r="CF7" s="77">
        <v>3</v>
      </c>
      <c r="CG7" s="77">
        <v>4</v>
      </c>
      <c r="CH7" s="77">
        <v>5</v>
      </c>
      <c r="CI7" s="77">
        <v>6</v>
      </c>
      <c r="CJ7" s="77">
        <v>7</v>
      </c>
      <c r="CK7" s="77">
        <v>8</v>
      </c>
      <c r="CL7" s="77">
        <v>9</v>
      </c>
      <c r="CM7" s="77">
        <v>10</v>
      </c>
      <c r="CN7" s="77">
        <v>11</v>
      </c>
      <c r="CO7" s="77">
        <v>12</v>
      </c>
      <c r="CP7" s="77"/>
      <c r="CR7" t="s">
        <v>11</v>
      </c>
      <c r="CS7" s="104">
        <v>1</v>
      </c>
      <c r="CT7" s="104">
        <v>2</v>
      </c>
      <c r="CU7" s="104">
        <v>3</v>
      </c>
      <c r="CV7" s="104">
        <v>4</v>
      </c>
      <c r="CW7" s="104">
        <v>5</v>
      </c>
      <c r="CX7" s="104">
        <v>6</v>
      </c>
      <c r="CY7" s="104">
        <v>7</v>
      </c>
      <c r="CZ7" s="104">
        <v>8</v>
      </c>
      <c r="DA7" s="104">
        <v>9</v>
      </c>
      <c r="DB7" s="104">
        <v>10</v>
      </c>
      <c r="DC7" s="104">
        <v>11</v>
      </c>
      <c r="DD7" s="104">
        <v>12</v>
      </c>
      <c r="DE7" s="104">
        <v>13</v>
      </c>
      <c r="DG7" s="96">
        <v>1</v>
      </c>
      <c r="DH7" s="96">
        <v>2</v>
      </c>
      <c r="DI7" s="96">
        <v>3</v>
      </c>
      <c r="DJ7" s="96">
        <v>4</v>
      </c>
      <c r="DK7" s="96">
        <v>5</v>
      </c>
      <c r="DL7" s="96">
        <v>6</v>
      </c>
      <c r="DM7" s="96">
        <v>7</v>
      </c>
      <c r="DN7" s="96">
        <v>8</v>
      </c>
      <c r="DO7" s="96">
        <v>9</v>
      </c>
      <c r="DP7" s="96">
        <v>10</v>
      </c>
      <c r="DQ7" s="96">
        <v>11</v>
      </c>
      <c r="DR7" s="96">
        <v>12</v>
      </c>
      <c r="DS7" s="96">
        <v>13</v>
      </c>
      <c r="DT7" s="96"/>
      <c r="DU7" s="77">
        <v>1</v>
      </c>
      <c r="DV7" s="77">
        <v>2</v>
      </c>
      <c r="DW7" s="77">
        <v>3</v>
      </c>
      <c r="DX7" s="77">
        <v>4</v>
      </c>
      <c r="DY7" s="77">
        <v>5</v>
      </c>
      <c r="DZ7" s="77">
        <v>6</v>
      </c>
      <c r="EA7" s="77">
        <v>7</v>
      </c>
      <c r="EB7" s="77">
        <v>8</v>
      </c>
      <c r="EC7" s="77">
        <v>9</v>
      </c>
      <c r="ED7" s="77">
        <v>10</v>
      </c>
      <c r="EE7" s="77">
        <v>11</v>
      </c>
      <c r="EF7" s="77">
        <v>12</v>
      </c>
      <c r="EG7" s="77">
        <v>13</v>
      </c>
      <c r="EH7" s="77"/>
    </row>
    <row r="8" spans="1:138" ht="15.75" thickBot="1" x14ac:dyDescent="0.3">
      <c r="B8" s="124"/>
      <c r="E8" s="126" t="s">
        <v>91</v>
      </c>
      <c r="F8" t="s">
        <v>5</v>
      </c>
      <c r="G8" t="s">
        <v>22</v>
      </c>
      <c r="H8" s="48">
        <f>H38</f>
        <v>5716058.6312323399</v>
      </c>
      <c r="I8" s="50">
        <f t="shared" ref="H8:K10" si="4">I38</f>
        <v>4447016.3001431488</v>
      </c>
      <c r="J8" s="45">
        <f t="shared" si="4"/>
        <v>0.46273298057787704</v>
      </c>
      <c r="K8" s="45">
        <f t="shared" si="4"/>
        <v>0.35990342933834885</v>
      </c>
      <c r="L8" s="45">
        <f>J8+K8/2</f>
        <v>0.64268469524705152</v>
      </c>
      <c r="M8" s="50">
        <f t="shared" ref="M8:O19" si="5">M38</f>
        <v>1399167.4489966987</v>
      </c>
      <c r="N8" s="50">
        <f t="shared" si="5"/>
        <v>1843869.0790110128</v>
      </c>
      <c r="O8" s="50">
        <f t="shared" si="5"/>
        <v>2288570.709025328</v>
      </c>
      <c r="P8" s="51">
        <f t="shared" ref="P8:P19" si="6">MIN($M8,P$6*AC8/AC$20)</f>
        <v>314472.49073311687</v>
      </c>
      <c r="Q8" s="51">
        <f>MIN($M8-SUM($P8:P8),Q$6*AD8/AD$20)</f>
        <v>314472.49073311687</v>
      </c>
      <c r="R8" s="51">
        <f>MIN($M8-SUM($P8:Q8),R$6*AE8/AE$20)</f>
        <v>314472.49073311687</v>
      </c>
      <c r="S8" s="51">
        <f>MIN($M8-SUM($P8:R8),S$6*AF8/AF$20)</f>
        <v>314472.49073311687</v>
      </c>
      <c r="T8" s="51">
        <f>MIN($M8-SUM($P8:S8),T$6*AG8/AG$20)</f>
        <v>141277.48606423126</v>
      </c>
      <c r="U8" s="51">
        <f>MIN($M8-SUM($P8:T8),U$36*AH8/AH$20)</f>
        <v>0</v>
      </c>
      <c r="V8" s="51">
        <f>MIN($M8-SUM($P8:U8),V$36*AI8/AI$20)</f>
        <v>0</v>
      </c>
      <c r="W8" s="51">
        <f>MIN($M8-SUM($P8:V8),W$36*AJ8/AJ$20)</f>
        <v>0</v>
      </c>
      <c r="X8" s="51">
        <f>MIN($M8-SUM($P8:W8),X$36*AK8/AK$20)</f>
        <v>0</v>
      </c>
      <c r="Y8" s="51"/>
      <c r="Z8" s="51"/>
      <c r="AA8" s="51"/>
      <c r="AB8" s="53">
        <f t="shared" ref="AB8:AB19" si="7">SUM(P8:AA8)-M8</f>
        <v>0</v>
      </c>
      <c r="AC8" s="4">
        <f t="shared" ref="AC8:AK10" si="8">$M8/SUM($M$38:$M$40,$M$44:$M$46)</f>
        <v>1.0482416357770559E-2</v>
      </c>
      <c r="AD8" s="4">
        <f t="shared" si="8"/>
        <v>1.0482416357770559E-2</v>
      </c>
      <c r="AE8" s="4">
        <f t="shared" si="8"/>
        <v>1.0482416357770559E-2</v>
      </c>
      <c r="AF8" s="4">
        <f t="shared" si="8"/>
        <v>1.0482416357770559E-2</v>
      </c>
      <c r="AG8" s="4">
        <f t="shared" si="8"/>
        <v>1.0482416357770559E-2</v>
      </c>
      <c r="AH8" s="4">
        <f t="shared" si="8"/>
        <v>1.0482416357770559E-2</v>
      </c>
      <c r="AI8" s="4">
        <f t="shared" si="8"/>
        <v>1.0482416357770559E-2</v>
      </c>
      <c r="AJ8" s="4">
        <f t="shared" si="8"/>
        <v>1.0482416357770559E-2</v>
      </c>
      <c r="AK8" s="4">
        <f t="shared" si="8"/>
        <v>1.0482416357770559E-2</v>
      </c>
      <c r="AL8" s="4">
        <f>IF(SUM($P8:X8)&lt;$M8,$H8/SUM($H$38:$H$46),0)</f>
        <v>0</v>
      </c>
      <c r="AM8" s="4">
        <f t="shared" ref="AM8:AN19" si="9">$H8/SUM($H$38:$H$46)</f>
        <v>5.1021922762725928E-2</v>
      </c>
      <c r="AN8" s="4">
        <f t="shared" si="9"/>
        <v>5.1021922762725928E-2</v>
      </c>
      <c r="AP8" s="62">
        <f t="shared" ref="AP8:AP19" si="10">MIN($N8,AP$6*BC8/BC$20)</f>
        <v>371693.14168300596</v>
      </c>
      <c r="AQ8" s="62">
        <f>MIN($N8-SUM($AP8:AP8),AQ$6*BD8/BD$20)</f>
        <v>371693.14168300596</v>
      </c>
      <c r="AR8" s="62">
        <f>MIN($N8-SUM($AP8:AQ8),AR$6*BE8/BE$20)</f>
        <v>371693.14168300596</v>
      </c>
      <c r="AS8" s="62">
        <f>MIN($N8-SUM($AP8:AR8),AS$6*BF8/BF$20)</f>
        <v>371693.14168300596</v>
      </c>
      <c r="AT8" s="62">
        <f>MIN($N8-SUM($AP8:AS8),AT$6*BG8/BG$20)</f>
        <v>357096.51227898896</v>
      </c>
      <c r="AU8" s="62">
        <f>MIN($N8-SUM($AP8:AT8),AU$36*BH8/BH$20)</f>
        <v>0</v>
      </c>
      <c r="AV8" s="62">
        <f>MIN($N8-SUM($AP8:AU8),AV$36*BI8/BI$20)</f>
        <v>0</v>
      </c>
      <c r="AW8" s="62">
        <f>MIN($N8-SUM($AP8:AV8),AW$36*BJ8/BJ$20)</f>
        <v>0</v>
      </c>
      <c r="AX8" s="62">
        <f>MIN($N8-SUM($AP8:AW8),AX$36*BK8/BK$20)</f>
        <v>0</v>
      </c>
      <c r="AY8" s="62"/>
      <c r="AZ8" s="62"/>
      <c r="BA8" s="62"/>
      <c r="BB8" s="63">
        <f t="shared" ref="BB8:BB19" si="11">SUM(AP8:BA8)-$N8</f>
        <v>0</v>
      </c>
      <c r="BC8" s="64">
        <f t="shared" ref="BC8:BK10" si="12">$N8/SUM($N$38:$N$40,$N$44:$N$46)</f>
        <v>1.238977138943353E-2</v>
      </c>
      <c r="BD8" s="64">
        <f t="shared" si="12"/>
        <v>1.238977138943353E-2</v>
      </c>
      <c r="BE8" s="64">
        <f t="shared" si="12"/>
        <v>1.238977138943353E-2</v>
      </c>
      <c r="BF8" s="64">
        <f t="shared" si="12"/>
        <v>1.238977138943353E-2</v>
      </c>
      <c r="BG8" s="64">
        <f t="shared" si="12"/>
        <v>1.238977138943353E-2</v>
      </c>
      <c r="BH8" s="64">
        <f t="shared" si="12"/>
        <v>1.238977138943353E-2</v>
      </c>
      <c r="BI8" s="64">
        <f t="shared" si="12"/>
        <v>1.238977138943353E-2</v>
      </c>
      <c r="BJ8" s="64">
        <f t="shared" si="12"/>
        <v>1.238977138943353E-2</v>
      </c>
      <c r="BK8" s="64">
        <f t="shared" si="12"/>
        <v>1.238977138943353E-2</v>
      </c>
      <c r="BL8" s="64">
        <f>IF(SUM($AP8:AX8)&lt;$N8,$H8/SUM($H$38:$H$46),0)</f>
        <v>0</v>
      </c>
      <c r="BM8" s="64">
        <f t="shared" ref="BM8:BN19" si="13">$H8/SUM($H$38:$H$46)</f>
        <v>5.1021922762725928E-2</v>
      </c>
      <c r="BN8" s="64">
        <f t="shared" si="13"/>
        <v>5.1021922762725928E-2</v>
      </c>
      <c r="BP8" s="78">
        <f t="shared" ref="BP8:BP19" si="14">MIN($O8,BP$6*CD8/CD$20)</f>
        <v>418217.17468778981</v>
      </c>
      <c r="BQ8" s="78">
        <f>MIN($O8-SUM($BP8:BP8),BQ$6*CE8/CE$20)</f>
        <v>418217.17468778981</v>
      </c>
      <c r="BR8" s="78">
        <f>MIN($O8-SUM($BP8:BQ8),BR$6*CF8/CF$20)</f>
        <v>418217.17468778981</v>
      </c>
      <c r="BS8" s="78">
        <f>MIN($O8-SUM($BP8:BR8),BS$6*CG8/CG$20)</f>
        <v>418217.17468778981</v>
      </c>
      <c r="BT8" s="78">
        <f>MIN($O8-SUM($BP8:BS8),BT$6*CH8/CH$20)</f>
        <v>418217.17468778981</v>
      </c>
      <c r="BU8" s="78">
        <f>MIN($O8-SUM($BP8:BT8),BU$36*CI8/CI$20)</f>
        <v>197484.83558637905</v>
      </c>
      <c r="BV8" s="78">
        <f>MIN($O8-SUM($BP8:BU8),BV$36*CJ8/CJ$20)</f>
        <v>0</v>
      </c>
      <c r="BW8" s="78">
        <f>MIN($O8-SUM($BP8:BV8),BW$36*CK8/CK$20)</f>
        <v>0</v>
      </c>
      <c r="BX8" s="78">
        <f>MIN($O8-SUM($BP8:BW8),BX$36*CL8/CL$20)</f>
        <v>0</v>
      </c>
      <c r="BY8" s="78"/>
      <c r="BZ8" s="78"/>
      <c r="CA8" s="78"/>
      <c r="CB8" s="78"/>
      <c r="CC8" s="79">
        <f t="shared" ref="CC8:CC19" si="15">SUM(BP8:CB8)-O8</f>
        <v>0</v>
      </c>
      <c r="CD8" s="80">
        <f t="shared" ref="CD8:CL10" si="16">$O8/SUM($O$38:$O$40,$O$44:$O$46)</f>
        <v>1.3940572489592998E-2</v>
      </c>
      <c r="CE8" s="80">
        <f t="shared" si="16"/>
        <v>1.3940572489592998E-2</v>
      </c>
      <c r="CF8" s="80">
        <f t="shared" si="16"/>
        <v>1.3940572489592998E-2</v>
      </c>
      <c r="CG8" s="80">
        <f t="shared" si="16"/>
        <v>1.3940572489592998E-2</v>
      </c>
      <c r="CH8" s="80">
        <f t="shared" si="16"/>
        <v>1.3940572489592998E-2</v>
      </c>
      <c r="CI8" s="80">
        <f t="shared" si="16"/>
        <v>1.3940572489592998E-2</v>
      </c>
      <c r="CJ8" s="80">
        <f t="shared" si="16"/>
        <v>1.3940572489592998E-2</v>
      </c>
      <c r="CK8" s="80">
        <f t="shared" si="16"/>
        <v>1.3940572489592998E-2</v>
      </c>
      <c r="CL8" s="80">
        <f t="shared" si="16"/>
        <v>1.3940572489592998E-2</v>
      </c>
      <c r="CM8" s="80">
        <f>IF(SUM($BP8:BX8)&lt;$O8,$H8/SUM($H$38:$H$46),0)</f>
        <v>0</v>
      </c>
      <c r="CN8" s="80">
        <f t="shared" ref="CN8:CO19" si="17">$H8/SUM($H$38:$H$46)</f>
        <v>5.1021922762725928E-2</v>
      </c>
      <c r="CO8" s="80">
        <f t="shared" si="17"/>
        <v>5.1021922762725928E-2</v>
      </c>
      <c r="CP8" s="91"/>
      <c r="CQ8" t="s">
        <v>5</v>
      </c>
      <c r="CR8" t="s">
        <v>101</v>
      </c>
      <c r="CS8" s="105">
        <f>0.5*2500*P8/Popn!$H$22</f>
        <v>1.7543765914941238</v>
      </c>
      <c r="CT8" s="105">
        <f>0.5*2500*Q8/Popn!$H$22</f>
        <v>1.7543765914941238</v>
      </c>
      <c r="CU8" s="105">
        <f>0.5*2500*R8/Popn!$H$22</f>
        <v>1.7543765914941238</v>
      </c>
      <c r="CV8" s="105">
        <f>0.5*2500*S8/Popn!$H$22</f>
        <v>1.7543765914941238</v>
      </c>
      <c r="CW8" s="105">
        <f>0.5*2500*T8/Popn!$H$22</f>
        <v>0.7881576982406725</v>
      </c>
      <c r="CX8" s="106">
        <f>0.5*2500*U8/Popn!$H$22</f>
        <v>0</v>
      </c>
      <c r="CY8" s="106">
        <f>0.5*2500*V8/Popn!$H$22</f>
        <v>0</v>
      </c>
      <c r="CZ8" s="106">
        <f>0.5*2500*W8/Popn!$H$22</f>
        <v>0</v>
      </c>
      <c r="DA8" s="106">
        <f>0.5*2500*X8/Popn!$H$22</f>
        <v>0</v>
      </c>
      <c r="DB8" s="106">
        <f>0.5*2500*Y8/Popn!$H$22</f>
        <v>0</v>
      </c>
      <c r="DC8" s="106">
        <f>0.5*2500*Z8/Popn!$H$22</f>
        <v>0</v>
      </c>
      <c r="DD8" s="106">
        <f>0.5*2500*AA8/Popn!$H$22</f>
        <v>0</v>
      </c>
      <c r="DE8" s="107">
        <f>0.5*2500*AB8/Popn!$H$22</f>
        <v>0</v>
      </c>
      <c r="DF8" s="38">
        <f>SUM(CS8:DD8)</f>
        <v>7.8056640642171677</v>
      </c>
      <c r="DG8" s="99">
        <f>0.5*2500*AP8/Popn!$H$22</f>
        <v>2.0735986968761058</v>
      </c>
      <c r="DH8" s="99">
        <f>0.5*2500*AQ8/Popn!$H$22</f>
        <v>2.0735986968761058</v>
      </c>
      <c r="DI8" s="99">
        <f>0.5*2500*AR8/Popn!$H$22</f>
        <v>2.0735986968761058</v>
      </c>
      <c r="DJ8" s="99">
        <f>0.5*2500*AS8/Popn!$H$22</f>
        <v>2.0735986968761058</v>
      </c>
      <c r="DK8" s="99">
        <f>0.5*2500*AT8/Popn!$H$22</f>
        <v>1.9921671386452939</v>
      </c>
      <c r="DL8" s="116">
        <f>0.5*2500*AU8/Popn!$H$22</f>
        <v>0</v>
      </c>
      <c r="DM8" s="116">
        <f>0.5*2500*AV8/Popn!$H$22</f>
        <v>0</v>
      </c>
      <c r="DN8" s="116">
        <f>0.5*2500*AW8/Popn!$H$22</f>
        <v>0</v>
      </c>
      <c r="DO8" s="116">
        <f>0.5*2500*AX8/Popn!$H$22</f>
        <v>0</v>
      </c>
      <c r="DP8" s="116">
        <f>0.5*2500*AY8/Popn!$H$22</f>
        <v>0</v>
      </c>
      <c r="DQ8" s="116">
        <f>0.5*2500*AZ8/Popn!$H$22</f>
        <v>0</v>
      </c>
      <c r="DR8" s="116">
        <f>0.5*2500*BA8/Popn!$H$22</f>
        <v>0</v>
      </c>
      <c r="DS8" s="116">
        <f>0.5*2500*BB8/Popn!$H$22</f>
        <v>0</v>
      </c>
      <c r="DT8" s="100">
        <f>SUM(DG8:DR8)</f>
        <v>10.286561926149718</v>
      </c>
      <c r="DU8" s="92">
        <f>0.5*2500*BP8/Popn!$H$22</f>
        <v>2.3331465964561735</v>
      </c>
      <c r="DV8" s="92">
        <f>0.5*2500*BQ8/Popn!$H$22</f>
        <v>2.3331465964561735</v>
      </c>
      <c r="DW8" s="92">
        <f>0.5*2500*BR8/Popn!$H$22</f>
        <v>2.3331465964561735</v>
      </c>
      <c r="DX8" s="92">
        <f>0.5*2500*BS8/Popn!$H$22</f>
        <v>2.3331465964561735</v>
      </c>
      <c r="DY8" s="92">
        <f>0.5*2500*BT8/Popn!$H$22</f>
        <v>2.3331465964561735</v>
      </c>
      <c r="DZ8" s="92">
        <f>0.5*2500*BU8/Popn!$H$22</f>
        <v>1.101726805801406</v>
      </c>
      <c r="EA8" s="118">
        <f>0.5*2500*BV8/Popn!$H$22</f>
        <v>0</v>
      </c>
      <c r="EB8" s="118">
        <f>0.5*2500*BW8/Popn!$H$22</f>
        <v>0</v>
      </c>
      <c r="EC8" s="118">
        <f>0.5*2500*BX8/Popn!$H$22</f>
        <v>0</v>
      </c>
      <c r="ED8" s="118">
        <f>0.5*2500*BY8/Popn!$H$22</f>
        <v>0</v>
      </c>
      <c r="EE8" s="118">
        <f>0.5*2500*BZ8/Popn!$H$22</f>
        <v>0</v>
      </c>
      <c r="EF8" s="118">
        <f>0.5*2500*CA8/Popn!$H$22</f>
        <v>0</v>
      </c>
      <c r="EG8" s="118">
        <f>0.5*2500*CB8/Popn!$H$22</f>
        <v>0</v>
      </c>
      <c r="EH8" s="95">
        <f>SUM(DU8:EG8)</f>
        <v>12.767459788082274</v>
      </c>
    </row>
    <row r="9" spans="1:138" ht="15.75" thickBot="1" x14ac:dyDescent="0.3">
      <c r="B9" s="124"/>
      <c r="E9" s="127"/>
      <c r="G9" t="s">
        <v>23</v>
      </c>
      <c r="H9" s="48">
        <f t="shared" si="4"/>
        <v>41541727.200945042</v>
      </c>
      <c r="I9" s="50">
        <f t="shared" si="4"/>
        <v>40724136.768097505</v>
      </c>
      <c r="J9" s="45">
        <f t="shared" si="4"/>
        <v>0.36722747194130062</v>
      </c>
      <c r="K9" s="45">
        <f t="shared" si="4"/>
        <v>0.28562136706545604</v>
      </c>
      <c r="L9" s="45">
        <f t="shared" ref="L9:L10" si="18">J9+K9/2</f>
        <v>0.51003815547402864</v>
      </c>
      <c r="M9" s="50">
        <f t="shared" si="5"/>
        <v>23616891.62801097</v>
      </c>
      <c r="N9" s="50">
        <f t="shared" si="5"/>
        <v>27689305.304820713</v>
      </c>
      <c r="O9" s="50">
        <f t="shared" si="5"/>
        <v>31761718.981630471</v>
      </c>
      <c r="P9" s="51">
        <f t="shared" si="6"/>
        <v>5308058.545072847</v>
      </c>
      <c r="Q9" s="51">
        <f>MIN($M9-SUM($P9:P9),Q$6*AD9/AD$20)</f>
        <v>5308058.545072847</v>
      </c>
      <c r="R9" s="51">
        <f>MIN($M9-SUM($P9:Q9),R$6*AE9/AE$20)</f>
        <v>5308058.545072847</v>
      </c>
      <c r="S9" s="51">
        <f>MIN($M9-SUM($P9:R9),S$6*AF9/AF$20)</f>
        <v>5308058.545072847</v>
      </c>
      <c r="T9" s="51">
        <f>MIN($M9-SUM($P9:S9),T$6*AG9/AG$20)</f>
        <v>2384657.4477195814</v>
      </c>
      <c r="U9" s="51">
        <f>MIN($M9-SUM($P9:T9),U$36*AH9/AH$20)</f>
        <v>0</v>
      </c>
      <c r="V9" s="51">
        <f>MIN($M9-SUM($P9:U9),V$36*AI9/AI$20)</f>
        <v>0</v>
      </c>
      <c r="W9" s="51">
        <f>MIN($M9-SUM($P9:V9),W$36*AJ9/AJ$20)</f>
        <v>0</v>
      </c>
      <c r="X9" s="51">
        <f>MIN($M9-SUM($P9:W9),X$36*AK9/AK$20)</f>
        <v>0</v>
      </c>
      <c r="Y9" s="51"/>
      <c r="Z9" s="51"/>
      <c r="AA9" s="51"/>
      <c r="AB9" s="53">
        <f t="shared" si="7"/>
        <v>0</v>
      </c>
      <c r="AC9" s="4">
        <f t="shared" si="8"/>
        <v>0.17693528483576154</v>
      </c>
      <c r="AD9" s="4">
        <f t="shared" si="8"/>
        <v>0.17693528483576154</v>
      </c>
      <c r="AE9" s="4">
        <f t="shared" si="8"/>
        <v>0.17693528483576154</v>
      </c>
      <c r="AF9" s="4">
        <f t="shared" si="8"/>
        <v>0.17693528483576154</v>
      </c>
      <c r="AG9" s="4">
        <f t="shared" si="8"/>
        <v>0.17693528483576154</v>
      </c>
      <c r="AH9" s="4">
        <f t="shared" si="8"/>
        <v>0.17693528483576154</v>
      </c>
      <c r="AI9" s="4">
        <f t="shared" si="8"/>
        <v>0.17693528483576154</v>
      </c>
      <c r="AJ9" s="4">
        <f t="shared" si="8"/>
        <v>0.17693528483576154</v>
      </c>
      <c r="AK9" s="4">
        <f t="shared" si="8"/>
        <v>0.17693528483576154</v>
      </c>
      <c r="AL9" s="4">
        <f>IF(SUM($P9:X9)&lt;$M9,$H9/SUM($H$38:$H$46),0)</f>
        <v>0</v>
      </c>
      <c r="AM9" s="4">
        <f t="shared" si="9"/>
        <v>0.37080424352118513</v>
      </c>
      <c r="AN9" s="4">
        <f t="shared" si="9"/>
        <v>0.37080424352118513</v>
      </c>
      <c r="AP9" s="62">
        <f t="shared" si="10"/>
        <v>5581700.4563517943</v>
      </c>
      <c r="AQ9" s="62">
        <f>MIN($N9-SUM($AP9:AP9),AQ$6*BD9/BD$20)</f>
        <v>5581700.4563517943</v>
      </c>
      <c r="AR9" s="62">
        <f>MIN($N9-SUM($AP9:AQ9),AR$6*BE9/BE$20)</f>
        <v>5581700.4563517943</v>
      </c>
      <c r="AS9" s="62">
        <f>MIN($N9-SUM($AP9:AR9),AS$6*BF9/BF$20)</f>
        <v>5581700.4563517943</v>
      </c>
      <c r="AT9" s="62">
        <f>MIN($N9-SUM($AP9:AS9),AT$6*BG9/BG$20)</f>
        <v>5362503.4794135354</v>
      </c>
      <c r="AU9" s="62">
        <f>MIN($N9-SUM($AP9:AT9),AU$36*BH9/BH$20)</f>
        <v>0</v>
      </c>
      <c r="AV9" s="62">
        <f>MIN($N9-SUM($AP9:AU9),AV$36*BI9/BI$20)</f>
        <v>0</v>
      </c>
      <c r="AW9" s="62">
        <f>MIN($N9-SUM($AP9:AV9),AW$36*BJ9/BJ$20)</f>
        <v>0</v>
      </c>
      <c r="AX9" s="62">
        <f>MIN($N9-SUM($AP9:AW9),AX$36*BK9/BK$20)</f>
        <v>0</v>
      </c>
      <c r="AY9" s="62"/>
      <c r="AZ9" s="62"/>
      <c r="BA9" s="62"/>
      <c r="BB9" s="63">
        <f t="shared" si="11"/>
        <v>0</v>
      </c>
      <c r="BC9" s="64">
        <f t="shared" si="12"/>
        <v>0.18605668187839311</v>
      </c>
      <c r="BD9" s="64">
        <f t="shared" si="12"/>
        <v>0.18605668187839311</v>
      </c>
      <c r="BE9" s="64">
        <f t="shared" si="12"/>
        <v>0.18605668187839311</v>
      </c>
      <c r="BF9" s="64">
        <f t="shared" si="12"/>
        <v>0.18605668187839311</v>
      </c>
      <c r="BG9" s="64">
        <f t="shared" si="12"/>
        <v>0.18605668187839311</v>
      </c>
      <c r="BH9" s="64">
        <f t="shared" si="12"/>
        <v>0.18605668187839311</v>
      </c>
      <c r="BI9" s="64">
        <f t="shared" si="12"/>
        <v>0.18605668187839311</v>
      </c>
      <c r="BJ9" s="64">
        <f t="shared" si="12"/>
        <v>0.18605668187839311</v>
      </c>
      <c r="BK9" s="64">
        <f t="shared" si="12"/>
        <v>0.18605668187839311</v>
      </c>
      <c r="BL9" s="64">
        <f>IF(SUM($AP9:AX9)&lt;$N9,$H9/SUM($H$38:$H$46),0)</f>
        <v>0</v>
      </c>
      <c r="BM9" s="64">
        <f t="shared" si="13"/>
        <v>0.37080424352118513</v>
      </c>
      <c r="BN9" s="64">
        <f t="shared" si="13"/>
        <v>0.37080424352118513</v>
      </c>
      <c r="BP9" s="78">
        <f t="shared" si="14"/>
        <v>5804188.7556020599</v>
      </c>
      <c r="BQ9" s="78">
        <f>MIN($O9-SUM($BP9:BP9),BQ$6*CE9/CE$20)</f>
        <v>5804188.7556020599</v>
      </c>
      <c r="BR9" s="78">
        <f>MIN($O9-SUM($BP9:BQ9),BR$6*CF9/CF$20)</f>
        <v>5804188.7556020599</v>
      </c>
      <c r="BS9" s="78">
        <f>MIN($O9-SUM($BP9:BR9),BS$6*CG9/CG$20)</f>
        <v>5804188.7556020599</v>
      </c>
      <c r="BT9" s="78">
        <f>MIN($O9-SUM($BP9:BS9),BT$6*CH9/CH$20)</f>
        <v>5804188.7556020599</v>
      </c>
      <c r="BU9" s="78">
        <f>MIN($O9-SUM($BP9:BT9),BU$36*CI9/CI$20)</f>
        <v>2740775.2036201693</v>
      </c>
      <c r="BV9" s="78">
        <f>MIN($O9-SUM($BP9:BU9),BV$36*CJ9/CJ$20)</f>
        <v>0</v>
      </c>
      <c r="BW9" s="78">
        <f>MIN($O9-SUM($BP9:BV9),BW$36*CK9/CK$20)</f>
        <v>0</v>
      </c>
      <c r="BX9" s="78">
        <f>MIN($O9-SUM($BP9:BW9),BX$36*CL9/CL$20)</f>
        <v>0</v>
      </c>
      <c r="BY9" s="78"/>
      <c r="BZ9" s="78"/>
      <c r="CA9" s="78"/>
      <c r="CB9" s="78"/>
      <c r="CC9" s="79">
        <f t="shared" si="15"/>
        <v>0</v>
      </c>
      <c r="CD9" s="80">
        <f t="shared" si="16"/>
        <v>0.19347295852006868</v>
      </c>
      <c r="CE9" s="80">
        <f t="shared" si="16"/>
        <v>0.19347295852006868</v>
      </c>
      <c r="CF9" s="80">
        <f t="shared" si="16"/>
        <v>0.19347295852006868</v>
      </c>
      <c r="CG9" s="80">
        <f t="shared" si="16"/>
        <v>0.19347295852006868</v>
      </c>
      <c r="CH9" s="80">
        <f t="shared" si="16"/>
        <v>0.19347295852006868</v>
      </c>
      <c r="CI9" s="80">
        <f t="shared" si="16"/>
        <v>0.19347295852006868</v>
      </c>
      <c r="CJ9" s="80">
        <f t="shared" si="16"/>
        <v>0.19347295852006868</v>
      </c>
      <c r="CK9" s="80">
        <f t="shared" si="16"/>
        <v>0.19347295852006868</v>
      </c>
      <c r="CL9" s="80">
        <f t="shared" si="16"/>
        <v>0.19347295852006868</v>
      </c>
      <c r="CM9" s="80">
        <f>IF(SUM($BP9:BX9)&lt;$O9,$H9/SUM($H$38:$H$46),0)</f>
        <v>0</v>
      </c>
      <c r="CN9" s="80">
        <f t="shared" si="17"/>
        <v>0.37080424352118513</v>
      </c>
      <c r="CO9" s="80">
        <f t="shared" si="17"/>
        <v>0.37080424352118513</v>
      </c>
      <c r="CP9" s="91"/>
      <c r="CR9" t="s">
        <v>102</v>
      </c>
      <c r="CS9" s="105">
        <f>0.5*2500*P9/Popn!$H$22</f>
        <v>29.612554141211831</v>
      </c>
      <c r="CT9" s="105">
        <f>0.5*2500*Q9/Popn!$H$22</f>
        <v>29.612554141211831</v>
      </c>
      <c r="CU9" s="105">
        <f>0.5*2500*R9/Popn!$H$22</f>
        <v>29.612554141211831</v>
      </c>
      <c r="CV9" s="105">
        <f>0.5*2500*S9/Popn!$H$22</f>
        <v>29.612554141211831</v>
      </c>
      <c r="CW9" s="105">
        <f>0.5*2500*T9/Popn!$H$22</f>
        <v>13.303507709874179</v>
      </c>
      <c r="CX9" s="106">
        <f>0.5*2500*U9/Popn!$H$22</f>
        <v>0</v>
      </c>
      <c r="CY9" s="106">
        <f>0.5*2500*V9/Popn!$H$22</f>
        <v>0</v>
      </c>
      <c r="CZ9" s="106">
        <f>0.5*2500*W9/Popn!$H$22</f>
        <v>0</v>
      </c>
      <c r="DA9" s="106">
        <f>0.5*2500*X9/Popn!$H$22</f>
        <v>0</v>
      </c>
      <c r="DB9" s="106">
        <f>0.5*2500*Y9/Popn!$H$22</f>
        <v>0</v>
      </c>
      <c r="DC9" s="106">
        <f>0.5*2500*Z9/Popn!$H$22</f>
        <v>0</v>
      </c>
      <c r="DD9" s="106">
        <f>0.5*2500*AA9/Popn!$H$22</f>
        <v>0</v>
      </c>
      <c r="DE9" s="107">
        <f>0.5*2500*AB9/Popn!$H$22</f>
        <v>0</v>
      </c>
      <c r="DF9" s="38">
        <f t="shared" ref="DF9:DF19" si="19">SUM(CS9:DD9)</f>
        <v>131.75372427472149</v>
      </c>
      <c r="DG9" s="99">
        <f>0.5*2500*AP9/Popn!$H$22</f>
        <v>31.139145425811407</v>
      </c>
      <c r="DH9" s="99">
        <f>0.5*2500*AQ9/Popn!$H$22</f>
        <v>31.139145425811407</v>
      </c>
      <c r="DI9" s="99">
        <f>0.5*2500*AR9/Popn!$H$22</f>
        <v>31.139145425811407</v>
      </c>
      <c r="DJ9" s="99">
        <f>0.5*2500*AS9/Popn!$H$22</f>
        <v>31.139145425811407</v>
      </c>
      <c r="DK9" s="99">
        <f>0.5*2500*AT9/Popn!$H$22</f>
        <v>29.916291101192222</v>
      </c>
      <c r="DL9" s="116">
        <f>0.5*2500*AU9/Popn!$H$22</f>
        <v>0</v>
      </c>
      <c r="DM9" s="116">
        <f>0.5*2500*AV9/Popn!$H$22</f>
        <v>0</v>
      </c>
      <c r="DN9" s="116">
        <f>0.5*2500*AW9/Popn!$H$22</f>
        <v>0</v>
      </c>
      <c r="DO9" s="116">
        <f>0.5*2500*AX9/Popn!$H$22</f>
        <v>0</v>
      </c>
      <c r="DP9" s="116">
        <f>0.5*2500*AY9/Popn!$H$22</f>
        <v>0</v>
      </c>
      <c r="DQ9" s="116">
        <f>0.5*2500*AZ9/Popn!$H$22</f>
        <v>0</v>
      </c>
      <c r="DR9" s="116">
        <f>0.5*2500*BA9/Popn!$H$22</f>
        <v>0</v>
      </c>
      <c r="DS9" s="116">
        <f>0.5*2500*BB9/Popn!$H$22</f>
        <v>0</v>
      </c>
      <c r="DT9" s="100">
        <f t="shared" ref="DT9:DT19" si="20">SUM(DG9:DR9)</f>
        <v>154.47287280443786</v>
      </c>
      <c r="DU9" s="92">
        <f>0.5*2500*BP9/Popn!$H$22</f>
        <v>32.380361352762755</v>
      </c>
      <c r="DV9" s="92">
        <f>0.5*2500*BQ9/Popn!$H$22</f>
        <v>32.380361352762755</v>
      </c>
      <c r="DW9" s="92">
        <f>0.5*2500*BR9/Popn!$H$22</f>
        <v>32.380361352762755</v>
      </c>
      <c r="DX9" s="92">
        <f>0.5*2500*BS9/Popn!$H$22</f>
        <v>32.380361352762755</v>
      </c>
      <c r="DY9" s="92">
        <f>0.5*2500*BT9/Popn!$H$22</f>
        <v>32.380361352762755</v>
      </c>
      <c r="DZ9" s="92">
        <f>0.5*2500*BU9/Popn!$H$22</f>
        <v>15.290214570340483</v>
      </c>
      <c r="EA9" s="118">
        <f>0.5*2500*BV9/Popn!$H$22</f>
        <v>0</v>
      </c>
      <c r="EB9" s="118">
        <f>0.5*2500*BW9/Popn!$H$22</f>
        <v>0</v>
      </c>
      <c r="EC9" s="118">
        <f>0.5*2500*BX9/Popn!$H$22</f>
        <v>0</v>
      </c>
      <c r="ED9" s="118">
        <f>0.5*2500*BY9/Popn!$H$22</f>
        <v>0</v>
      </c>
      <c r="EE9" s="118">
        <f>0.5*2500*BZ9/Popn!$H$22</f>
        <v>0</v>
      </c>
      <c r="EF9" s="118">
        <f>0.5*2500*CA9/Popn!$H$22</f>
        <v>0</v>
      </c>
      <c r="EG9" s="118">
        <f>0.5*2500*CB9/Popn!$H$22</f>
        <v>0</v>
      </c>
      <c r="EH9" s="95">
        <f t="shared" ref="EH9:EH19" si="21">SUM(DU9:EG9)</f>
        <v>177.19202133415425</v>
      </c>
    </row>
    <row r="10" spans="1:138" ht="15.75" thickBot="1" x14ac:dyDescent="0.3">
      <c r="B10" s="124"/>
      <c r="E10" s="127"/>
      <c r="G10" s="27" t="s">
        <v>21</v>
      </c>
      <c r="H10" s="48">
        <f t="shared" si="4"/>
        <v>4731715.2634574072</v>
      </c>
      <c r="I10" s="50">
        <f t="shared" si="4"/>
        <v>11602801.340801064</v>
      </c>
      <c r="J10" s="45">
        <f t="shared" si="4"/>
        <v>0.1468108816837729</v>
      </c>
      <c r="K10" s="45">
        <f t="shared" si="4"/>
        <v>0.11418624130960116</v>
      </c>
      <c r="L10" s="45">
        <f t="shared" si="18"/>
        <v>0.20390400233857348</v>
      </c>
      <c r="M10" s="50">
        <f t="shared" si="5"/>
        <v>13832766.881824298</v>
      </c>
      <c r="N10" s="50">
        <f t="shared" si="5"/>
        <v>14993047.015904402</v>
      </c>
      <c r="O10" s="50">
        <f t="shared" si="5"/>
        <v>16153327.149984509</v>
      </c>
      <c r="P10" s="51">
        <f t="shared" si="6"/>
        <v>3109009.3313542493</v>
      </c>
      <c r="Q10" s="51">
        <f>MIN($M10-SUM($P10:P10),Q$6*AD10/AD$20)</f>
        <v>3109009.3313542493</v>
      </c>
      <c r="R10" s="51">
        <f>MIN($M10-SUM($P10:Q10),R$6*AE10/AE$20)</f>
        <v>3109009.3313542493</v>
      </c>
      <c r="S10" s="51">
        <f>MIN($M10-SUM($P10:R10),S$6*AF10/AF$20)</f>
        <v>3109009.3313542493</v>
      </c>
      <c r="T10" s="51">
        <f>MIN($M10-SUM($P10:S10),T$6*AG10/AG$20)</f>
        <v>1396729.5564073008</v>
      </c>
      <c r="U10" s="51">
        <f>MIN($M10-SUM($P10:T10),U$36*AH10/AH$20)</f>
        <v>0</v>
      </c>
      <c r="V10" s="51">
        <f>MIN($M10-SUM($P10:U10),V$36*AI10/AI$20)</f>
        <v>0</v>
      </c>
      <c r="W10" s="51">
        <f>MIN($M10-SUM($P10:V10),W$36*AJ10/AJ$20)</f>
        <v>0</v>
      </c>
      <c r="X10" s="51">
        <f>MIN($M10-SUM($P10:W10),X$36*AK10/AK$20)</f>
        <v>0</v>
      </c>
      <c r="Y10" s="51"/>
      <c r="Z10" s="51"/>
      <c r="AA10" s="51"/>
      <c r="AB10" s="53">
        <f t="shared" si="7"/>
        <v>0</v>
      </c>
      <c r="AC10" s="4">
        <f t="shared" si="8"/>
        <v>0.10363364437847496</v>
      </c>
      <c r="AD10" s="4">
        <f t="shared" si="8"/>
        <v>0.10363364437847496</v>
      </c>
      <c r="AE10" s="4">
        <f t="shared" si="8"/>
        <v>0.10363364437847496</v>
      </c>
      <c r="AF10" s="4">
        <f t="shared" si="8"/>
        <v>0.10363364437847496</v>
      </c>
      <c r="AG10" s="4">
        <f t="shared" si="8"/>
        <v>0.10363364437847496</v>
      </c>
      <c r="AH10" s="4">
        <f t="shared" si="8"/>
        <v>0.10363364437847496</v>
      </c>
      <c r="AI10" s="4">
        <f t="shared" si="8"/>
        <v>0.10363364437847496</v>
      </c>
      <c r="AJ10" s="4">
        <f t="shared" si="8"/>
        <v>0.10363364437847496</v>
      </c>
      <c r="AK10" s="4">
        <f t="shared" si="8"/>
        <v>0.10363364437847496</v>
      </c>
      <c r="AL10" s="4">
        <f>IF(SUM($P10:X10)&lt;$M10,$H10/SUM($H$38:$H$46),0)</f>
        <v>0</v>
      </c>
      <c r="AM10" s="4">
        <f t="shared" si="9"/>
        <v>4.2235607834429541E-2</v>
      </c>
      <c r="AN10" s="4">
        <f t="shared" si="9"/>
        <v>4.2235607834429541E-2</v>
      </c>
      <c r="AP10" s="62">
        <f t="shared" si="10"/>
        <v>3022347.3088076226</v>
      </c>
      <c r="AQ10" s="62">
        <f>MIN($N10-SUM($AP10:AP10),AQ$6*BD10/BD$20)</f>
        <v>3022347.3088076226</v>
      </c>
      <c r="AR10" s="62">
        <f>MIN($N10-SUM($AP10:AQ10),AR$6*BE10/BE$20)</f>
        <v>3022347.3088076226</v>
      </c>
      <c r="AS10" s="62">
        <f>MIN($N10-SUM($AP10:AR10),AS$6*BF10/BF$20)</f>
        <v>3022347.3088076226</v>
      </c>
      <c r="AT10" s="62">
        <f>MIN($N10-SUM($AP10:AS10),AT$6*BG10/BG$20)</f>
        <v>2903657.7806739118</v>
      </c>
      <c r="AU10" s="62">
        <f>MIN($N10-SUM($AP10:AT10),AU$36*BH10/BH$20)</f>
        <v>0</v>
      </c>
      <c r="AV10" s="62">
        <f>MIN($N10-SUM($AP10:AU10),AV$36*BI10/BI$20)</f>
        <v>0</v>
      </c>
      <c r="AW10" s="62">
        <f>MIN($N10-SUM($AP10:AV10),AW$36*BJ10/BJ$20)</f>
        <v>0</v>
      </c>
      <c r="AX10" s="62">
        <f>MIN($N10-SUM($AP10:AW10),AX$36*BK10/BK$20)</f>
        <v>0</v>
      </c>
      <c r="AY10" s="62"/>
      <c r="AZ10" s="62"/>
      <c r="BA10" s="62"/>
      <c r="BB10" s="63">
        <f t="shared" si="11"/>
        <v>0</v>
      </c>
      <c r="BC10" s="64">
        <f t="shared" si="12"/>
        <v>0.10074491029358741</v>
      </c>
      <c r="BD10" s="64">
        <f t="shared" si="12"/>
        <v>0.10074491029358741</v>
      </c>
      <c r="BE10" s="64">
        <f t="shared" si="12"/>
        <v>0.10074491029358741</v>
      </c>
      <c r="BF10" s="64">
        <f t="shared" si="12"/>
        <v>0.10074491029358741</v>
      </c>
      <c r="BG10" s="64">
        <f t="shared" si="12"/>
        <v>0.10074491029358741</v>
      </c>
      <c r="BH10" s="64">
        <f t="shared" si="12"/>
        <v>0.10074491029358741</v>
      </c>
      <c r="BI10" s="64">
        <f t="shared" si="12"/>
        <v>0.10074491029358741</v>
      </c>
      <c r="BJ10" s="64">
        <f t="shared" si="12"/>
        <v>0.10074491029358741</v>
      </c>
      <c r="BK10" s="64">
        <f t="shared" si="12"/>
        <v>0.10074491029358741</v>
      </c>
      <c r="BL10" s="64">
        <f>IF(SUM($AP10:AX10)&lt;$N10,$H10/SUM($H$38:$H$46),0)</f>
        <v>0</v>
      </c>
      <c r="BM10" s="64">
        <f t="shared" si="13"/>
        <v>4.2235607834429541E-2</v>
      </c>
      <c r="BN10" s="64">
        <f t="shared" si="13"/>
        <v>4.2235607834429541E-2</v>
      </c>
      <c r="BP10" s="78">
        <f t="shared" si="14"/>
        <v>2951885.5658828258</v>
      </c>
      <c r="BQ10" s="78">
        <f>MIN($O10-SUM($BP10:BP10),BQ$6*CE10/CE$20)</f>
        <v>2951885.5658828258</v>
      </c>
      <c r="BR10" s="78">
        <f>MIN($O10-SUM($BP10:BQ10),BR$6*CF10/CF$20)</f>
        <v>2951885.5658828258</v>
      </c>
      <c r="BS10" s="78">
        <f>MIN($O10-SUM($BP10:BR10),BS$6*CG10/CG$20)</f>
        <v>2951885.5658828258</v>
      </c>
      <c r="BT10" s="78">
        <f>MIN($O10-SUM($BP10:BS10),BT$6*CH10/CH$20)</f>
        <v>2951885.5658828258</v>
      </c>
      <c r="BU10" s="78">
        <f>MIN($O10-SUM($BP10:BT10),BU$36*CI10/CI$20)</f>
        <v>1393899.3205703795</v>
      </c>
      <c r="BV10" s="78">
        <f>MIN($O10-SUM($BP10:BU10),BV$36*CJ10/CJ$20)</f>
        <v>0</v>
      </c>
      <c r="BW10" s="78">
        <f>MIN($O10-SUM($BP10:BV10),BW$36*CK10/CK$20)</f>
        <v>0</v>
      </c>
      <c r="BX10" s="78">
        <f>MIN($O10-SUM($BP10:BW10),BX$36*CL10/CL$20)</f>
        <v>0</v>
      </c>
      <c r="BY10" s="78"/>
      <c r="BZ10" s="78"/>
      <c r="CA10" s="78"/>
      <c r="CB10" s="78"/>
      <c r="CC10" s="79">
        <f t="shared" si="15"/>
        <v>0</v>
      </c>
      <c r="CD10" s="80">
        <f t="shared" si="16"/>
        <v>9.8396185529427541E-2</v>
      </c>
      <c r="CE10" s="80">
        <f t="shared" si="16"/>
        <v>9.8396185529427541E-2</v>
      </c>
      <c r="CF10" s="80">
        <f t="shared" si="16"/>
        <v>9.8396185529427541E-2</v>
      </c>
      <c r="CG10" s="80">
        <f t="shared" si="16"/>
        <v>9.8396185529427541E-2</v>
      </c>
      <c r="CH10" s="80">
        <f t="shared" si="16"/>
        <v>9.8396185529427541E-2</v>
      </c>
      <c r="CI10" s="80">
        <f t="shared" si="16"/>
        <v>9.8396185529427541E-2</v>
      </c>
      <c r="CJ10" s="80">
        <f t="shared" si="16"/>
        <v>9.8396185529427541E-2</v>
      </c>
      <c r="CK10" s="80">
        <f t="shared" si="16"/>
        <v>9.8396185529427541E-2</v>
      </c>
      <c r="CL10" s="80">
        <f t="shared" si="16"/>
        <v>9.8396185529427541E-2</v>
      </c>
      <c r="CM10" s="80">
        <f>IF(SUM($BP10:BX10)&lt;$O10,$H10/SUM($H$38:$H$46),0)</f>
        <v>0</v>
      </c>
      <c r="CN10" s="80">
        <f t="shared" si="17"/>
        <v>4.2235607834429541E-2</v>
      </c>
      <c r="CO10" s="80">
        <f t="shared" si="17"/>
        <v>4.2235607834429541E-2</v>
      </c>
      <c r="CP10" s="91"/>
      <c r="CR10" s="27" t="s">
        <v>103</v>
      </c>
      <c r="CS10" s="105">
        <f>0.5*2500*P10/Popn!$H$22</f>
        <v>17.344516148134723</v>
      </c>
      <c r="CT10" s="105">
        <f>0.5*2500*Q10/Popn!$H$22</f>
        <v>17.344516148134723</v>
      </c>
      <c r="CU10" s="105">
        <f>0.5*2500*R10/Popn!$H$22</f>
        <v>17.344516148134723</v>
      </c>
      <c r="CV10" s="105">
        <f>0.5*2500*S10/Popn!$H$22</f>
        <v>17.344516148134723</v>
      </c>
      <c r="CW10" s="105">
        <f>0.5*2500*T10/Popn!$H$22</f>
        <v>7.7920635687288469</v>
      </c>
      <c r="CX10" s="106">
        <f>0.5*2500*U10/Popn!$H$22</f>
        <v>0</v>
      </c>
      <c r="CY10" s="106">
        <f>0.5*2500*V10/Popn!$H$22</f>
        <v>0</v>
      </c>
      <c r="CZ10" s="106">
        <f>0.5*2500*W10/Popn!$H$22</f>
        <v>0</v>
      </c>
      <c r="DA10" s="106">
        <f>0.5*2500*X10/Popn!$H$22</f>
        <v>0</v>
      </c>
      <c r="DB10" s="106">
        <f>0.5*2500*Y10/Popn!$H$22</f>
        <v>0</v>
      </c>
      <c r="DC10" s="106">
        <f>0.5*2500*Z10/Popn!$H$22</f>
        <v>0</v>
      </c>
      <c r="DD10" s="106">
        <f>0.5*2500*AA10/Popn!$H$22</f>
        <v>0</v>
      </c>
      <c r="DE10" s="107">
        <f>0.5*2500*AB10/Popn!$H$22</f>
        <v>0</v>
      </c>
      <c r="DF10" s="38">
        <f t="shared" si="19"/>
        <v>77.170128161267741</v>
      </c>
      <c r="DG10" s="99">
        <f>0.5*2500*AP10/Popn!$H$22</f>
        <v>16.861046756669356</v>
      </c>
      <c r="DH10" s="99">
        <f>0.5*2500*AQ10/Popn!$H$22</f>
        <v>16.861046756669356</v>
      </c>
      <c r="DI10" s="99">
        <f>0.5*2500*AR10/Popn!$H$22</f>
        <v>16.861046756669356</v>
      </c>
      <c r="DJ10" s="99">
        <f>0.5*2500*AS10/Popn!$H$22</f>
        <v>16.861046756669356</v>
      </c>
      <c r="DK10" s="99">
        <f>0.5*2500*AT10/Popn!$H$22</f>
        <v>16.198902575701933</v>
      </c>
      <c r="DL10" s="116">
        <f>0.5*2500*AU10/Popn!$H$22</f>
        <v>0</v>
      </c>
      <c r="DM10" s="116">
        <f>0.5*2500*AV10/Popn!$H$22</f>
        <v>0</v>
      </c>
      <c r="DN10" s="116">
        <f>0.5*2500*AW10/Popn!$H$22</f>
        <v>0</v>
      </c>
      <c r="DO10" s="116">
        <f>0.5*2500*AX10/Popn!$H$22</f>
        <v>0</v>
      </c>
      <c r="DP10" s="116">
        <f>0.5*2500*AY10/Popn!$H$22</f>
        <v>0</v>
      </c>
      <c r="DQ10" s="116">
        <f>0.5*2500*AZ10/Popn!$H$22</f>
        <v>0</v>
      </c>
      <c r="DR10" s="116">
        <f>0.5*2500*BA10/Popn!$H$22</f>
        <v>0</v>
      </c>
      <c r="DS10" s="116">
        <f>0.5*2500*BB10/Popn!$H$22</f>
        <v>0</v>
      </c>
      <c r="DT10" s="100">
        <f t="shared" si="20"/>
        <v>83.643089602379362</v>
      </c>
      <c r="DU10" s="92">
        <f>0.5*2500*BP10/Popn!$H$22</f>
        <v>16.467955354318207</v>
      </c>
      <c r="DV10" s="92">
        <f>0.5*2500*BQ10/Popn!$H$22</f>
        <v>16.467955354318207</v>
      </c>
      <c r="DW10" s="92">
        <f>0.5*2500*BR10/Popn!$H$22</f>
        <v>16.467955354318207</v>
      </c>
      <c r="DX10" s="92">
        <f>0.5*2500*BS10/Popn!$H$22</f>
        <v>16.467955354318207</v>
      </c>
      <c r="DY10" s="92">
        <f>0.5*2500*BT10/Popn!$H$22</f>
        <v>16.467955354318207</v>
      </c>
      <c r="DZ10" s="92">
        <f>0.5*2500*BU10/Popn!$H$22</f>
        <v>7.7762742718999665</v>
      </c>
      <c r="EA10" s="118">
        <f>0.5*2500*BV10/Popn!$H$22</f>
        <v>0</v>
      </c>
      <c r="EB10" s="118">
        <f>0.5*2500*BW10/Popn!$H$22</f>
        <v>0</v>
      </c>
      <c r="EC10" s="118">
        <f>0.5*2500*BX10/Popn!$H$22</f>
        <v>0</v>
      </c>
      <c r="ED10" s="118">
        <f>0.5*2500*BY10/Popn!$H$22</f>
        <v>0</v>
      </c>
      <c r="EE10" s="118">
        <f>0.5*2500*BZ10/Popn!$H$22</f>
        <v>0</v>
      </c>
      <c r="EF10" s="118">
        <f>0.5*2500*CA10/Popn!$H$22</f>
        <v>0</v>
      </c>
      <c r="EG10" s="118">
        <f>0.5*2500*CB10/Popn!$H$22</f>
        <v>0</v>
      </c>
      <c r="EH10" s="95">
        <f t="shared" si="21"/>
        <v>90.116051043490998</v>
      </c>
    </row>
    <row r="11" spans="1:138" ht="15.75" thickBot="1" x14ac:dyDescent="0.3">
      <c r="B11" s="124"/>
      <c r="E11" s="127"/>
      <c r="G11" s="1" t="s">
        <v>9</v>
      </c>
      <c r="H11" s="48"/>
      <c r="I11" s="50">
        <f t="shared" ref="I11:I19" si="22">I41</f>
        <v>14834500.179531109</v>
      </c>
      <c r="J11" s="45"/>
      <c r="K11" s="45"/>
      <c r="L11" s="45"/>
      <c r="M11" s="50">
        <f t="shared" si="5"/>
        <v>17801400.21543733</v>
      </c>
      <c r="N11" s="50">
        <f t="shared" si="5"/>
        <v>20768300.251343552</v>
      </c>
      <c r="O11" s="50">
        <f t="shared" si="5"/>
        <v>23735200.287249774</v>
      </c>
      <c r="P11" s="51">
        <f t="shared" si="6"/>
        <v>0</v>
      </c>
      <c r="Q11" s="51">
        <f>MIN($M11-SUM($P11:P11),Q$6*AD11/AD$20)</f>
        <v>0</v>
      </c>
      <c r="R11" s="51">
        <f>MIN($M11-SUM($P11:Q11),R$6*AE11/AE$20)</f>
        <v>0</v>
      </c>
      <c r="S11" s="51">
        <f>MIN($M11-SUM($P11:R11),S$6*AF11/AF$20)</f>
        <v>0</v>
      </c>
      <c r="T11" s="51">
        <f>MIN($M11-SUM($P11:S11),T$6*AG11/AG$20)</f>
        <v>0</v>
      </c>
      <c r="U11" s="51">
        <f>IF(SUM($P11:T11)&lt;$M11,MIN($I11/($I11+$I17)*U6,$M11-SUM($P11:T11)),0)</f>
        <v>17213299.600047257</v>
      </c>
      <c r="V11" s="51">
        <f>IF(SUM($P11:U11)&lt;$M11,MIN($I11/($I11+$I17)*V6,$M11-SUM($P11:U11)),0)</f>
        <v>588100.61539007351</v>
      </c>
      <c r="W11" s="51">
        <f>IF(SUM($P11:V11)&lt;$M11,MIN($I11/($I11+$I17)*W6,$M11-SUM($P11:V11)),0)</f>
        <v>0</v>
      </c>
      <c r="X11" s="51">
        <f>IF(SUM($P11:W11)&lt;$M11,MIN($I11/($I11+$I17)*X6,$M11-SUM($P11:W11)),0)</f>
        <v>0</v>
      </c>
      <c r="Y11" s="51"/>
      <c r="Z11" s="51"/>
      <c r="AA11" s="51"/>
      <c r="AB11" s="53">
        <f t="shared" si="7"/>
        <v>0</v>
      </c>
      <c r="AC11" s="4"/>
      <c r="AD11" s="4"/>
      <c r="AE11" s="4"/>
      <c r="AF11" s="4"/>
      <c r="AG11" s="4"/>
      <c r="AH11" s="4"/>
      <c r="AI11" s="4"/>
      <c r="AJ11" s="4"/>
      <c r="AK11" s="4"/>
      <c r="AL11" s="4">
        <f>IF(SUM($P11:X11)&lt;$M11,$H11/SUM($H$38:$H$46),0)</f>
        <v>0</v>
      </c>
      <c r="AM11" s="4">
        <f t="shared" si="9"/>
        <v>0</v>
      </c>
      <c r="AN11" s="4">
        <f t="shared" si="9"/>
        <v>0</v>
      </c>
      <c r="AP11" s="62">
        <f t="shared" si="10"/>
        <v>0</v>
      </c>
      <c r="AQ11" s="62">
        <f>MIN($N11-SUM($AP11:AP11),AQ$6*BD11/BD$20)</f>
        <v>0</v>
      </c>
      <c r="AR11" s="62">
        <f>MIN($N11-SUM($AP11:AQ11),AR$6*BE11/BE$20)</f>
        <v>0</v>
      </c>
      <c r="AS11" s="62">
        <f>MIN($N11-SUM($AP11:AR11),AS$6*BF11/BF$20)</f>
        <v>0</v>
      </c>
      <c r="AT11" s="62">
        <f>MIN($N11-SUM($AP11:AS11),AT$6*BG11/BG$20)</f>
        <v>0</v>
      </c>
      <c r="AU11" s="62">
        <f>IF(SUM($AP11:AT11)&lt;$N11,MIN($I11/($I11+$I17)*AU6,$N11-SUM($AP11:AT11)),0)</f>
        <v>11535904.1591431</v>
      </c>
      <c r="AV11" s="62">
        <f>IF(SUM($AP11:AU11)&lt;$N11,MIN($I11/($I11+$I17)*AV6,$N11-SUM($AP11:AU11)),0)</f>
        <v>9232396.0922004525</v>
      </c>
      <c r="AW11" s="62">
        <f>IF(SUM($AP11:AV11)&lt;$N11,MIN($I11/($I11+$I17)*AW6,$N11-SUM($AP11:AV11)),0)</f>
        <v>0</v>
      </c>
      <c r="AX11" s="62">
        <f>IF(SUM($AP11:AW11)&lt;$N11,MIN($I11/($I11+$I17)*AX6,$N11-SUM($AP11:AW11)),0)</f>
        <v>0</v>
      </c>
      <c r="AY11" s="62"/>
      <c r="AZ11" s="62"/>
      <c r="BA11" s="62"/>
      <c r="BB11" s="63">
        <f t="shared" si="11"/>
        <v>0</v>
      </c>
      <c r="BC11" s="64"/>
      <c r="BD11" s="64"/>
      <c r="BE11" s="64"/>
      <c r="BF11" s="64"/>
      <c r="BG11" s="64"/>
      <c r="BH11" s="64"/>
      <c r="BI11" s="64"/>
      <c r="BJ11" s="64"/>
      <c r="BK11" s="64"/>
      <c r="BL11" s="64">
        <f>IF(SUM($AP11:AX11)&lt;$N11,$H11/SUM($H$38:$H$46),0)</f>
        <v>0</v>
      </c>
      <c r="BM11" s="64">
        <f t="shared" si="13"/>
        <v>0</v>
      </c>
      <c r="BN11" s="64">
        <f t="shared" si="13"/>
        <v>0</v>
      </c>
      <c r="BP11" s="78">
        <f t="shared" si="14"/>
        <v>0</v>
      </c>
      <c r="BQ11" s="78">
        <f>MIN($O11-SUM($BP11:BP11),BQ$6*CE11/CE$20)</f>
        <v>0</v>
      </c>
      <c r="BR11" s="78">
        <f>MIN($O11-SUM($BP11:BQ11),BR$6*CF11/CF$20)</f>
        <v>0</v>
      </c>
      <c r="BS11" s="78">
        <f>MIN($O11-SUM($BP11:BR11),BS$6*CG11/CG$20)</f>
        <v>0</v>
      </c>
      <c r="BT11" s="78">
        <f>MIN($O11-SUM($BP11:BS11),BT$6*CH11/CH$20)</f>
        <v>0</v>
      </c>
      <c r="BU11" s="78"/>
      <c r="BV11" s="78">
        <f>IF(SUM($BP11:BU11)&lt;$O11,MIN($I11/($I11+$I17)*BV6,$O11-SUM($BP11:BU11)),0)</f>
        <v>16958508.718238913</v>
      </c>
      <c r="BW11" s="78">
        <f>IF(SUM($BP11:BV11)&lt;$O11,MIN($I11/($I11+$I17)*BW6,$O11-SUM($BP11:BV11)),0)</f>
        <v>6776691.5690108612</v>
      </c>
      <c r="BX11" s="78">
        <f>IF(SUM($BP11:BW11)&lt;$O11,MIN($I11/($I11+$I17)*BX6,$O11-SUM($BP11:BW11)),0)</f>
        <v>0</v>
      </c>
      <c r="BY11" s="78"/>
      <c r="BZ11" s="78"/>
      <c r="CA11" s="78"/>
      <c r="CB11" s="78"/>
      <c r="CC11" s="79">
        <f t="shared" si="15"/>
        <v>0</v>
      </c>
      <c r="CD11" s="80"/>
      <c r="CE11" s="80"/>
      <c r="CF11" s="80"/>
      <c r="CG11" s="80"/>
      <c r="CH11" s="80"/>
      <c r="CI11" s="80"/>
      <c r="CJ11" s="80"/>
      <c r="CK11" s="80"/>
      <c r="CL11" s="80"/>
      <c r="CM11" s="80">
        <f>IF(SUM($BP11:BX11)&lt;$O11,$H11/SUM($H$38:$H$46),0)</f>
        <v>0</v>
      </c>
      <c r="CN11" s="80">
        <f t="shared" si="17"/>
        <v>0</v>
      </c>
      <c r="CO11" s="80">
        <f t="shared" si="17"/>
        <v>0</v>
      </c>
      <c r="CP11" s="91"/>
      <c r="CR11" s="1" t="s">
        <v>104</v>
      </c>
      <c r="CS11" s="106">
        <f>0.5*2500*P11/Popn!$H$22</f>
        <v>0</v>
      </c>
      <c r="CT11" s="106">
        <f>0.5*2500*Q11/Popn!$H$22</f>
        <v>0</v>
      </c>
      <c r="CU11" s="106">
        <f>0.5*2500*R11/Popn!$H$22</f>
        <v>0</v>
      </c>
      <c r="CV11" s="106">
        <f>0.5*2500*S11/Popn!$H$22</f>
        <v>0</v>
      </c>
      <c r="CW11" s="106">
        <f>0.5*2500*T11/Popn!$H$22</f>
        <v>0</v>
      </c>
      <c r="CX11" s="108">
        <f>0.5*2500*U11/Popn!$H$22</f>
        <v>96.029416787132263</v>
      </c>
      <c r="CY11" s="108">
        <f>0.5*2500*V11/Popn!$H$22</f>
        <v>3.2808909633982841</v>
      </c>
      <c r="CZ11" s="106">
        <f>0.5*2500*W11/Popn!$H$22</f>
        <v>0</v>
      </c>
      <c r="DA11" s="106">
        <f>0.5*2500*X11/Popn!$H$22</f>
        <v>0</v>
      </c>
      <c r="DB11" s="106">
        <f>0.5*2500*Y11/Popn!$H$22</f>
        <v>0</v>
      </c>
      <c r="DC11" s="106">
        <f>0.5*2500*Z11/Popn!$H$22</f>
        <v>0</v>
      </c>
      <c r="DD11" s="106">
        <f>0.5*2500*AA11/Popn!$H$22</f>
        <v>0</v>
      </c>
      <c r="DE11" s="107">
        <f>0.5*2500*AB11/Popn!$H$22</f>
        <v>0</v>
      </c>
      <c r="DF11" s="38">
        <f t="shared" si="19"/>
        <v>99.310307750530541</v>
      </c>
      <c r="DG11" s="116">
        <f>0.5*2500*AP11/Popn!$H$22</f>
        <v>0</v>
      </c>
      <c r="DH11" s="116">
        <f>0.5*2500*AQ11/Popn!$H$22</f>
        <v>0</v>
      </c>
      <c r="DI11" s="116">
        <f>0.5*2500*AR11/Popn!$H$22</f>
        <v>0</v>
      </c>
      <c r="DJ11" s="116">
        <f>0.5*2500*AS11/Popn!$H$22</f>
        <v>0</v>
      </c>
      <c r="DK11" s="116">
        <f>0.5*2500*AT11/Popn!$H$22</f>
        <v>0</v>
      </c>
      <c r="DL11" s="101">
        <f>0.5*2500*AU11/Popn!$H$22</f>
        <v>64.356408954371773</v>
      </c>
      <c r="DM11" s="101">
        <f>0.5*2500*AV11/Popn!$H$22</f>
        <v>51.505616754580544</v>
      </c>
      <c r="DN11" s="116">
        <f>0.5*2500*AW11/Popn!$H$22</f>
        <v>0</v>
      </c>
      <c r="DO11" s="116">
        <f>0.5*2500*AX11/Popn!$H$22</f>
        <v>0</v>
      </c>
      <c r="DP11" s="116">
        <f>0.5*2500*AY11/Popn!$H$22</f>
        <v>0</v>
      </c>
      <c r="DQ11" s="116">
        <f>0.5*2500*AZ11/Popn!$H$22</f>
        <v>0</v>
      </c>
      <c r="DR11" s="116">
        <f>0.5*2500*BA11/Popn!$H$22</f>
        <v>0</v>
      </c>
      <c r="DS11" s="116">
        <f>0.5*2500*BB11/Popn!$H$22</f>
        <v>0</v>
      </c>
      <c r="DT11" s="100">
        <f t="shared" si="20"/>
        <v>115.86202570895232</v>
      </c>
      <c r="DU11" s="118">
        <f>0.5*2500*BP11/Popn!$H$22</f>
        <v>0</v>
      </c>
      <c r="DV11" s="118">
        <f>0.5*2500*BQ11/Popn!$H$22</f>
        <v>0</v>
      </c>
      <c r="DW11" s="118">
        <f>0.5*2500*BR11/Popn!$H$22</f>
        <v>0</v>
      </c>
      <c r="DX11" s="118">
        <f>0.5*2500*BS11/Popn!$H$22</f>
        <v>0</v>
      </c>
      <c r="DY11" s="118">
        <f>0.5*2500*BT11/Popn!$H$22</f>
        <v>0</v>
      </c>
      <c r="DZ11" s="118">
        <f>0.5*2500*BU11/Popn!$H$22</f>
        <v>0</v>
      </c>
      <c r="EA11" s="93">
        <f>0.5*2500*BV11/Popn!$H$22</f>
        <v>94.607991473494707</v>
      </c>
      <c r="EB11" s="93">
        <f>0.5*2500*BW11/Popn!$H$22</f>
        <v>37.805752193879364</v>
      </c>
      <c r="EC11" s="118">
        <f>0.5*2500*BX11/Popn!$H$22</f>
        <v>0</v>
      </c>
      <c r="ED11" s="118">
        <f>0.5*2500*BY11/Popn!$H$22</f>
        <v>0</v>
      </c>
      <c r="EE11" s="118">
        <f>0.5*2500*BZ11/Popn!$H$22</f>
        <v>0</v>
      </c>
      <c r="EF11" s="118">
        <f>0.5*2500*CA11/Popn!$H$22</f>
        <v>0</v>
      </c>
      <c r="EG11" s="118">
        <f>0.5*2500*CB11/Popn!$H$22</f>
        <v>0</v>
      </c>
      <c r="EH11" s="95">
        <f t="shared" si="21"/>
        <v>132.41374366737406</v>
      </c>
    </row>
    <row r="12" spans="1:138" ht="15.75" thickBot="1" x14ac:dyDescent="0.3">
      <c r="B12" s="124"/>
      <c r="E12" s="127"/>
      <c r="G12" s="1" t="s">
        <v>24</v>
      </c>
      <c r="H12" s="48"/>
      <c r="I12" s="50">
        <f t="shared" si="22"/>
        <v>4447016.3001431488</v>
      </c>
      <c r="J12" s="45"/>
      <c r="K12" s="45"/>
      <c r="L12" s="45"/>
      <c r="M12" s="50">
        <f t="shared" si="5"/>
        <v>2846090.4320916156</v>
      </c>
      <c r="N12" s="50">
        <f t="shared" si="5"/>
        <v>3023971.0840973412</v>
      </c>
      <c r="O12" s="50">
        <f t="shared" si="5"/>
        <v>3201851.7361030672</v>
      </c>
      <c r="P12" s="51">
        <f t="shared" si="6"/>
        <v>0</v>
      </c>
      <c r="Q12" s="51">
        <f>MIN($M12-SUM($P12:P12),Q$6*AD12/AD$20)</f>
        <v>0</v>
      </c>
      <c r="R12" s="51">
        <f>MIN($M12-SUM($P12:Q12),R$6*AE12/AE$20)</f>
        <v>0</v>
      </c>
      <c r="S12" s="51">
        <f>MIN($M12-SUM($P12:R12),S$6*AF12/AF$20)</f>
        <v>0</v>
      </c>
      <c r="T12" s="51">
        <f>MIN($M12-SUM($P12:S12),T$6*AG12/AG$20)</f>
        <v>0</v>
      </c>
      <c r="U12" s="51"/>
      <c r="V12" s="51">
        <f>$M12/6</f>
        <v>474348.40534860262</v>
      </c>
      <c r="W12" s="51">
        <f t="shared" ref="W12:AA13" si="23">$M12/6</f>
        <v>474348.40534860262</v>
      </c>
      <c r="X12" s="51">
        <f t="shared" si="23"/>
        <v>474348.40534860262</v>
      </c>
      <c r="Y12" s="51">
        <f t="shared" si="23"/>
        <v>474348.40534860262</v>
      </c>
      <c r="Z12" s="51">
        <f t="shared" si="23"/>
        <v>474348.40534860262</v>
      </c>
      <c r="AA12" s="51">
        <f t="shared" si="23"/>
        <v>474348.40534860262</v>
      </c>
      <c r="AB12" s="53">
        <f t="shared" si="7"/>
        <v>0</v>
      </c>
      <c r="AC12" s="4"/>
      <c r="AD12" s="4"/>
      <c r="AE12" s="4"/>
      <c r="AF12" s="4"/>
      <c r="AG12" s="4"/>
      <c r="AH12" s="4"/>
      <c r="AI12" s="4"/>
      <c r="AJ12" s="4"/>
      <c r="AK12" s="4"/>
      <c r="AL12" s="4">
        <f>IF(SUM($P12:X12)&lt;$M12,$H12/SUM($H$38:$H$46),0)</f>
        <v>0</v>
      </c>
      <c r="AM12" s="4">
        <f t="shared" si="9"/>
        <v>0</v>
      </c>
      <c r="AN12" s="4">
        <f t="shared" si="9"/>
        <v>0</v>
      </c>
      <c r="AP12" s="62">
        <f t="shared" si="10"/>
        <v>0</v>
      </c>
      <c r="AQ12" s="62">
        <f>MIN($N12-SUM($AP12:AP12),AQ$6*BD12/BD$20)</f>
        <v>0</v>
      </c>
      <c r="AR12" s="62">
        <f>MIN($N12-SUM($AP12:AQ12),AR$6*BE12/BE$20)</f>
        <v>0</v>
      </c>
      <c r="AS12" s="62">
        <f>MIN($N12-SUM($AP12:AR12),AS$6*BF12/BF$20)</f>
        <v>0</v>
      </c>
      <c r="AT12" s="62">
        <f>MIN($N12-SUM($AP12:AS12),AT$6*BG12/BG$20)</f>
        <v>0</v>
      </c>
      <c r="AU12" s="62"/>
      <c r="AV12" s="51">
        <f>$N12/6</f>
        <v>503995.18068289018</v>
      </c>
      <c r="AW12" s="51">
        <f t="shared" ref="AW12:BA13" si="24">$N12/6</f>
        <v>503995.18068289018</v>
      </c>
      <c r="AX12" s="51">
        <f t="shared" si="24"/>
        <v>503995.18068289018</v>
      </c>
      <c r="AY12" s="51">
        <f t="shared" si="24"/>
        <v>503995.18068289018</v>
      </c>
      <c r="AZ12" s="51">
        <f t="shared" si="24"/>
        <v>503995.18068289018</v>
      </c>
      <c r="BA12" s="51">
        <f t="shared" si="24"/>
        <v>503995.18068289018</v>
      </c>
      <c r="BB12" s="63">
        <f t="shared" si="11"/>
        <v>0</v>
      </c>
      <c r="BC12" s="64"/>
      <c r="BD12" s="64"/>
      <c r="BE12" s="64"/>
      <c r="BF12" s="64"/>
      <c r="BG12" s="64"/>
      <c r="BH12" s="64"/>
      <c r="BI12" s="64"/>
      <c r="BJ12" s="64"/>
      <c r="BK12" s="64"/>
      <c r="BL12" s="64">
        <f>IF(SUM($AP12:AX12)&lt;$N12,$H12/SUM($H$38:$H$46),0)</f>
        <v>0</v>
      </c>
      <c r="BM12" s="64">
        <f t="shared" si="13"/>
        <v>0</v>
      </c>
      <c r="BN12" s="64">
        <f t="shared" si="13"/>
        <v>0</v>
      </c>
      <c r="BP12" s="78">
        <f t="shared" si="14"/>
        <v>0</v>
      </c>
      <c r="BQ12" s="78">
        <f>MIN($O12-SUM($BP12:BP12),BQ$6*CE12/CE$20)</f>
        <v>0</v>
      </c>
      <c r="BR12" s="78">
        <f>MIN($O12-SUM($BP12:BQ12),BR$6*CF12/CF$20)</f>
        <v>0</v>
      </c>
      <c r="BS12" s="78">
        <f>MIN($O12-SUM($BP12:BR12),BS$6*CG12/CG$20)</f>
        <v>0</v>
      </c>
      <c r="BT12" s="78">
        <f>MIN($O12-SUM($BP12:BS12),BT$6*CH12/CH$20)</f>
        <v>0</v>
      </c>
      <c r="BU12" s="78"/>
      <c r="BV12" s="78"/>
      <c r="BW12" s="51">
        <f>$O12/6</f>
        <v>533641.9560171779</v>
      </c>
      <c r="BX12" s="51">
        <f t="shared" ref="BX12:CB13" si="25">$O12/6</f>
        <v>533641.9560171779</v>
      </c>
      <c r="BY12" s="51">
        <f t="shared" si="25"/>
        <v>533641.9560171779</v>
      </c>
      <c r="BZ12" s="51">
        <f t="shared" si="25"/>
        <v>533641.9560171779</v>
      </c>
      <c r="CA12" s="51">
        <f t="shared" si="25"/>
        <v>533641.9560171779</v>
      </c>
      <c r="CB12" s="51">
        <f t="shared" si="25"/>
        <v>533641.9560171779</v>
      </c>
      <c r="CC12" s="79">
        <f>SUM(BP12:CB12)-O12</f>
        <v>0</v>
      </c>
      <c r="CD12" s="80"/>
      <c r="CE12" s="80"/>
      <c r="CF12" s="80"/>
      <c r="CG12" s="80"/>
      <c r="CH12" s="80"/>
      <c r="CI12" s="80"/>
      <c r="CJ12" s="80"/>
      <c r="CK12" s="80"/>
      <c r="CL12" s="80"/>
      <c r="CM12" s="80">
        <f>IF(SUM($BP12:BX12)&lt;$O12,$H12/SUM($H$38:$H$46),0)</f>
        <v>0</v>
      </c>
      <c r="CN12" s="80">
        <f t="shared" si="17"/>
        <v>0</v>
      </c>
      <c r="CO12" s="80">
        <f t="shared" si="17"/>
        <v>0</v>
      </c>
      <c r="CP12" s="91"/>
      <c r="CR12" s="1" t="s">
        <v>105</v>
      </c>
      <c r="CS12" s="106">
        <f>2500*P12/Popn!$H$22</f>
        <v>0</v>
      </c>
      <c r="CT12" s="106">
        <f>2500*Q12/Popn!$H$22</f>
        <v>0</v>
      </c>
      <c r="CU12" s="106">
        <f>2500*R12/Popn!$H$22</f>
        <v>0</v>
      </c>
      <c r="CV12" s="106">
        <f>2500*S12/Popn!$H$22</f>
        <v>0</v>
      </c>
      <c r="CW12" s="106">
        <f>2500*T12/Popn!$H$22</f>
        <v>0</v>
      </c>
      <c r="CX12" s="106">
        <f>2500*U12/Popn!$H$22</f>
        <v>0</v>
      </c>
      <c r="CY12" s="109">
        <f>2500*V12/Popn!$H$22</f>
        <v>5.2925821054561162</v>
      </c>
      <c r="CZ12" s="109">
        <f>2500*W12/Popn!$H$22</f>
        <v>5.2925821054561162</v>
      </c>
      <c r="DA12" s="109">
        <f>2500*X12/Popn!$H$22</f>
        <v>5.2925821054561162</v>
      </c>
      <c r="DB12" s="109">
        <f>2500*Y12/Popn!$H$22</f>
        <v>5.2925821054561162</v>
      </c>
      <c r="DC12" s="109">
        <f>2500*Z12/Popn!$H$22</f>
        <v>5.2925821054561162</v>
      </c>
      <c r="DD12" s="109">
        <f>2500*AA12/Popn!$H$22</f>
        <v>5.2925821054561162</v>
      </c>
      <c r="DE12" s="110">
        <f>2500*AB12/Popn!$H$22</f>
        <v>0</v>
      </c>
      <c r="DF12" s="38">
        <f t="shared" si="19"/>
        <v>31.755492632736697</v>
      </c>
      <c r="DG12" s="116">
        <f>2500*AP12/Popn!$H$22</f>
        <v>0</v>
      </c>
      <c r="DH12" s="116">
        <f>2500*AQ12/Popn!$H$22</f>
        <v>0</v>
      </c>
      <c r="DI12" s="116">
        <f>2500*AR12/Popn!$H$22</f>
        <v>0</v>
      </c>
      <c r="DJ12" s="116">
        <f>2500*AS12/Popn!$H$22</f>
        <v>0</v>
      </c>
      <c r="DK12" s="116">
        <f>2500*AT12/Popn!$H$22</f>
        <v>0</v>
      </c>
      <c r="DL12" s="116">
        <f>2500*AU12/Popn!$H$22</f>
        <v>0</v>
      </c>
      <c r="DM12" s="102">
        <f>2500*AV12/Popn!$H$22</f>
        <v>5.6233684870471228</v>
      </c>
      <c r="DN12" s="102">
        <f>2500*AW12/Popn!$H$22</f>
        <v>5.6233684870471228</v>
      </c>
      <c r="DO12" s="102">
        <f>2500*AX12/Popn!$H$22</f>
        <v>5.6233684870471228</v>
      </c>
      <c r="DP12" s="102">
        <f>2500*AY12/Popn!$H$22</f>
        <v>5.6233684870471228</v>
      </c>
      <c r="DQ12" s="102">
        <f>2500*AZ12/Popn!$H$22</f>
        <v>5.6233684870471228</v>
      </c>
      <c r="DR12" s="102">
        <f>2500*BA12/Popn!$H$22</f>
        <v>5.6233684870471228</v>
      </c>
      <c r="DS12" s="116">
        <f>2500*BB12/Popn!$H$22</f>
        <v>0</v>
      </c>
      <c r="DT12" s="100">
        <f t="shared" si="20"/>
        <v>33.740210922282735</v>
      </c>
      <c r="DU12" s="118">
        <f>2500*BP12/Popn!$H$22</f>
        <v>0</v>
      </c>
      <c r="DV12" s="118">
        <f>2500*BQ12/Popn!$H$22</f>
        <v>0</v>
      </c>
      <c r="DW12" s="118">
        <f>2500*BR12/Popn!$H$22</f>
        <v>0</v>
      </c>
      <c r="DX12" s="118">
        <f>2500*BS12/Popn!$H$22</f>
        <v>0</v>
      </c>
      <c r="DY12" s="118">
        <f>2500*BT12/Popn!$H$22</f>
        <v>0</v>
      </c>
      <c r="DZ12" s="118">
        <f>2500*BU12/Popn!$H$22</f>
        <v>0</v>
      </c>
      <c r="EA12" s="118">
        <f>2500*BV12/Popn!$H$22</f>
        <v>0</v>
      </c>
      <c r="EB12" s="94">
        <f>2500*BW12/Popn!$H$22</f>
        <v>5.9541548686381303</v>
      </c>
      <c r="EC12" s="94">
        <f>2500*BX12/Popn!$H$22</f>
        <v>5.9541548686381303</v>
      </c>
      <c r="ED12" s="94">
        <f>2500*BY12/Popn!$H$22</f>
        <v>5.9541548686381303</v>
      </c>
      <c r="EE12" s="94">
        <f>2500*BZ12/Popn!$H$22</f>
        <v>5.9541548686381303</v>
      </c>
      <c r="EF12" s="94">
        <f>2500*CA12/Popn!$H$22</f>
        <v>5.9541548686381303</v>
      </c>
      <c r="EG12" s="94">
        <f>2500*CB12/Popn!$H$22</f>
        <v>5.9541548686381303</v>
      </c>
      <c r="EH12" s="95">
        <f t="shared" si="21"/>
        <v>35.72492921182878</v>
      </c>
    </row>
    <row r="13" spans="1:138" ht="15.75" thickBot="1" x14ac:dyDescent="0.3">
      <c r="B13" s="124"/>
      <c r="E13" s="127"/>
      <c r="G13" t="s">
        <v>55</v>
      </c>
      <c r="H13" s="48"/>
      <c r="I13" s="50">
        <f t="shared" si="22"/>
        <v>40724136.768097505</v>
      </c>
      <c r="J13" s="45"/>
      <c r="K13" s="45"/>
      <c r="L13" s="45"/>
      <c r="M13" s="50">
        <f t="shared" si="5"/>
        <v>18993833.698927861</v>
      </c>
      <c r="N13" s="50">
        <f t="shared" si="5"/>
        <v>22390202.627815396</v>
      </c>
      <c r="O13" s="50">
        <f t="shared" si="5"/>
        <v>25786571.556702938</v>
      </c>
      <c r="P13" s="51">
        <f t="shared" si="6"/>
        <v>0</v>
      </c>
      <c r="Q13" s="51">
        <f>MIN($M13-SUM($P13:P13),Q$6*AD13/AD$20)</f>
        <v>0</v>
      </c>
      <c r="R13" s="51">
        <f>MIN($M13-SUM($P13:Q13),R$6*AE13/AE$20)</f>
        <v>0</v>
      </c>
      <c r="S13" s="51">
        <f>MIN($M13-SUM($P13:R13),S$6*AF13/AF$20)</f>
        <v>0</v>
      </c>
      <c r="T13" s="51">
        <f>MIN($M13-SUM($P13:S13),T$6*AG13/AG$20)</f>
        <v>0</v>
      </c>
      <c r="U13" s="51"/>
      <c r="V13" s="51">
        <f>$M13/6</f>
        <v>3165638.9498213101</v>
      </c>
      <c r="W13" s="51">
        <f t="shared" si="23"/>
        <v>3165638.9498213101</v>
      </c>
      <c r="X13" s="51">
        <f t="shared" si="23"/>
        <v>3165638.9498213101</v>
      </c>
      <c r="Y13" s="51">
        <f t="shared" si="23"/>
        <v>3165638.9498213101</v>
      </c>
      <c r="Z13" s="51">
        <f t="shared" si="23"/>
        <v>3165638.9498213101</v>
      </c>
      <c r="AA13" s="51">
        <f t="shared" si="23"/>
        <v>3165638.9498213101</v>
      </c>
      <c r="AB13" s="53">
        <f t="shared" si="7"/>
        <v>0</v>
      </c>
      <c r="AC13" s="4"/>
      <c r="AD13" s="4"/>
      <c r="AE13" s="4"/>
      <c r="AF13" s="4"/>
      <c r="AG13" s="4"/>
      <c r="AH13" s="4"/>
      <c r="AI13" s="4"/>
      <c r="AJ13" s="4"/>
      <c r="AK13" s="4"/>
      <c r="AL13" s="4">
        <f>IF(SUM($P13:X13)&lt;$M13,$H13/SUM($H$38:$H$46),0)</f>
        <v>0</v>
      </c>
      <c r="AM13" s="4">
        <f t="shared" si="9"/>
        <v>0</v>
      </c>
      <c r="AN13" s="4">
        <f t="shared" si="9"/>
        <v>0</v>
      </c>
      <c r="AP13" s="62">
        <f t="shared" si="10"/>
        <v>0</v>
      </c>
      <c r="AQ13" s="62">
        <f>MIN($N13-SUM($AP13:AP13),AQ$6*BD13/BD$20)</f>
        <v>0</v>
      </c>
      <c r="AR13" s="62">
        <f>MIN($N13-SUM($AP13:AQ13),AR$6*BE13/BE$20)</f>
        <v>0</v>
      </c>
      <c r="AS13" s="62">
        <f>MIN($N13-SUM($AP13:AR13),AS$6*BF13/BF$20)</f>
        <v>0</v>
      </c>
      <c r="AT13" s="62">
        <f>MIN($N13-SUM($AP13:AS13),AT$6*BG13/BG$20)</f>
        <v>0</v>
      </c>
      <c r="AU13" s="62"/>
      <c r="AV13" s="51">
        <f>$N13/6</f>
        <v>3731700.4379692324</v>
      </c>
      <c r="AW13" s="51">
        <f t="shared" si="24"/>
        <v>3731700.4379692324</v>
      </c>
      <c r="AX13" s="51">
        <f t="shared" si="24"/>
        <v>3731700.4379692324</v>
      </c>
      <c r="AY13" s="51">
        <f t="shared" si="24"/>
        <v>3731700.4379692324</v>
      </c>
      <c r="AZ13" s="51">
        <f t="shared" si="24"/>
        <v>3731700.4379692324</v>
      </c>
      <c r="BA13" s="51">
        <f t="shared" si="24"/>
        <v>3731700.4379692324</v>
      </c>
      <c r="BB13" s="63">
        <f t="shared" si="11"/>
        <v>0</v>
      </c>
      <c r="BC13" s="64"/>
      <c r="BD13" s="64"/>
      <c r="BE13" s="64"/>
      <c r="BF13" s="64"/>
      <c r="BG13" s="64"/>
      <c r="BH13" s="64"/>
      <c r="BI13" s="64"/>
      <c r="BJ13" s="64"/>
      <c r="BK13" s="64"/>
      <c r="BL13" s="64">
        <f>IF(SUM($AP13:AX13)&lt;$N13,$H13/SUM($H$38:$H$46),0)</f>
        <v>0</v>
      </c>
      <c r="BM13" s="64">
        <f t="shared" si="13"/>
        <v>0</v>
      </c>
      <c r="BN13" s="64">
        <f t="shared" si="13"/>
        <v>0</v>
      </c>
      <c r="BP13" s="78">
        <f t="shared" si="14"/>
        <v>0</v>
      </c>
      <c r="BQ13" s="78">
        <f>MIN($O13-SUM($BP13:BP13),BQ$6*CE13/CE$20)</f>
        <v>0</v>
      </c>
      <c r="BR13" s="78">
        <f>MIN($O13-SUM($BP13:BQ13),BR$6*CF13/CF$20)</f>
        <v>0</v>
      </c>
      <c r="BS13" s="78">
        <f>MIN($O13-SUM($BP13:BR13),BS$6*CG13/CG$20)</f>
        <v>0</v>
      </c>
      <c r="BT13" s="78">
        <f>MIN($O13-SUM($BP13:BS13),BT$6*CH13/CH$20)</f>
        <v>0</v>
      </c>
      <c r="BU13" s="78"/>
      <c r="BV13" s="78"/>
      <c r="BW13" s="51">
        <f>$O13/6</f>
        <v>4297761.9261171566</v>
      </c>
      <c r="BX13" s="51">
        <f t="shared" si="25"/>
        <v>4297761.9261171566</v>
      </c>
      <c r="BY13" s="51">
        <f t="shared" si="25"/>
        <v>4297761.9261171566</v>
      </c>
      <c r="BZ13" s="51">
        <f t="shared" si="25"/>
        <v>4297761.9261171566</v>
      </c>
      <c r="CA13" s="51">
        <f t="shared" si="25"/>
        <v>4297761.9261171566</v>
      </c>
      <c r="CB13" s="51">
        <f t="shared" si="25"/>
        <v>4297761.9261171566</v>
      </c>
      <c r="CC13" s="79">
        <f t="shared" si="15"/>
        <v>0</v>
      </c>
      <c r="CD13" s="80"/>
      <c r="CE13" s="80"/>
      <c r="CF13" s="80"/>
      <c r="CG13" s="80"/>
      <c r="CH13" s="80"/>
      <c r="CI13" s="80"/>
      <c r="CJ13" s="80"/>
      <c r="CK13" s="80"/>
      <c r="CL13" s="80"/>
      <c r="CM13" s="80">
        <f>IF(SUM($BP13:BX13)&lt;$O13,$H13/SUM($H$38:$H$46),0)</f>
        <v>0</v>
      </c>
      <c r="CN13" s="80">
        <f t="shared" si="17"/>
        <v>0</v>
      </c>
      <c r="CO13" s="80">
        <f t="shared" si="17"/>
        <v>0</v>
      </c>
      <c r="CP13" s="91"/>
      <c r="CR13" t="s">
        <v>106</v>
      </c>
      <c r="CS13" s="106">
        <f>2500*P13/Popn!$H$22</f>
        <v>0</v>
      </c>
      <c r="CT13" s="106">
        <f>2500*Q13/Popn!$H$22</f>
        <v>0</v>
      </c>
      <c r="CU13" s="106">
        <f>2500*R13/Popn!$H$22</f>
        <v>0</v>
      </c>
      <c r="CV13" s="106">
        <f>2500*S13/Popn!$H$22</f>
        <v>0</v>
      </c>
      <c r="CW13" s="106">
        <f>2500*T13/Popn!$H$22</f>
        <v>0</v>
      </c>
      <c r="CX13" s="106">
        <f>2500*U13/Popn!$H$22</f>
        <v>0</v>
      </c>
      <c r="CY13" s="109">
        <f>2500*V13/Popn!$H$22</f>
        <v>35.320882012549845</v>
      </c>
      <c r="CZ13" s="109">
        <f>2500*W13/Popn!$H$22</f>
        <v>35.320882012549845</v>
      </c>
      <c r="DA13" s="109">
        <f>2500*X13/Popn!$H$22</f>
        <v>35.320882012549845</v>
      </c>
      <c r="DB13" s="109">
        <f>2500*Y13/Popn!$H$22</f>
        <v>35.320882012549845</v>
      </c>
      <c r="DC13" s="109">
        <f>2500*Z13/Popn!$H$22</f>
        <v>35.320882012549845</v>
      </c>
      <c r="DD13" s="109">
        <f>2500*AA13/Popn!$H$22</f>
        <v>35.320882012549845</v>
      </c>
      <c r="DE13" s="110">
        <f>2500*AB13/Popn!$H$22</f>
        <v>0</v>
      </c>
      <c r="DF13" s="38">
        <f t="shared" si="19"/>
        <v>211.92529207529907</v>
      </c>
      <c r="DG13" s="116">
        <f>2500*AP13/Popn!$H$22</f>
        <v>0</v>
      </c>
      <c r="DH13" s="116">
        <f>2500*AQ13/Popn!$H$22</f>
        <v>0</v>
      </c>
      <c r="DI13" s="116">
        <f>2500*AR13/Popn!$H$22</f>
        <v>0</v>
      </c>
      <c r="DJ13" s="116">
        <f>2500*AS13/Popn!$H$22</f>
        <v>0</v>
      </c>
      <c r="DK13" s="116">
        <f>2500*AT13/Popn!$H$22</f>
        <v>0</v>
      </c>
      <c r="DL13" s="116">
        <f>2500*AU13/Popn!$H$22</f>
        <v>0</v>
      </c>
      <c r="DM13" s="102">
        <f>2500*AV13/Popn!$H$22</f>
        <v>41.636760529223302</v>
      </c>
      <c r="DN13" s="102">
        <f>2500*AW13/Popn!$H$22</f>
        <v>41.636760529223302</v>
      </c>
      <c r="DO13" s="102">
        <f>2500*AX13/Popn!$H$22</f>
        <v>41.636760529223302</v>
      </c>
      <c r="DP13" s="102">
        <f>2500*AY13/Popn!$H$22</f>
        <v>41.636760529223302</v>
      </c>
      <c r="DQ13" s="102">
        <f>2500*AZ13/Popn!$H$22</f>
        <v>41.636760529223302</v>
      </c>
      <c r="DR13" s="102">
        <f>2500*BA13/Popn!$H$22</f>
        <v>41.636760529223302</v>
      </c>
      <c r="DS13" s="116">
        <f>2500*BB13/Popn!$H$22</f>
        <v>0</v>
      </c>
      <c r="DT13" s="100">
        <f t="shared" si="20"/>
        <v>249.8205631753398</v>
      </c>
      <c r="DU13" s="118">
        <f>2500*BP13/Popn!$H$22</f>
        <v>0</v>
      </c>
      <c r="DV13" s="118">
        <f>2500*BQ13/Popn!$H$22</f>
        <v>0</v>
      </c>
      <c r="DW13" s="118">
        <f>2500*BR13/Popn!$H$22</f>
        <v>0</v>
      </c>
      <c r="DX13" s="118">
        <f>2500*BS13/Popn!$H$22</f>
        <v>0</v>
      </c>
      <c r="DY13" s="118">
        <f>2500*BT13/Popn!$H$22</f>
        <v>0</v>
      </c>
      <c r="DZ13" s="118">
        <f>2500*BU13/Popn!$H$22</f>
        <v>0</v>
      </c>
      <c r="EA13" s="118">
        <f>2500*BV13/Popn!$H$22</f>
        <v>0</v>
      </c>
      <c r="EB13" s="94">
        <f>2500*BW13/Popn!$H$22</f>
        <v>47.952639045896788</v>
      </c>
      <c r="EC13" s="94">
        <f>2500*BX13/Popn!$H$22</f>
        <v>47.952639045896788</v>
      </c>
      <c r="ED13" s="94">
        <f>2500*BY13/Popn!$H$22</f>
        <v>47.952639045896788</v>
      </c>
      <c r="EE13" s="94">
        <f>2500*BZ13/Popn!$H$22</f>
        <v>47.952639045896788</v>
      </c>
      <c r="EF13" s="94">
        <f>2500*CA13/Popn!$H$22</f>
        <v>47.952639045896788</v>
      </c>
      <c r="EG13" s="94">
        <f>2500*CB13/Popn!$H$22</f>
        <v>47.952639045896788</v>
      </c>
      <c r="EH13" s="95">
        <f t="shared" si="21"/>
        <v>287.7158342753807</v>
      </c>
    </row>
    <row r="14" spans="1:138" ht="15.75" thickBot="1" x14ac:dyDescent="0.3">
      <c r="E14" s="127"/>
      <c r="F14" t="s">
        <v>6</v>
      </c>
      <c r="G14" t="s">
        <v>22</v>
      </c>
      <c r="H14" s="48">
        <f>H44</f>
        <v>6601393.3762986325</v>
      </c>
      <c r="I14" s="50">
        <f t="shared" si="22"/>
        <v>7571946.6732167117</v>
      </c>
      <c r="J14" s="45">
        <f t="shared" ref="J14:K16" si="26">J44</f>
        <v>0.3138560951404486</v>
      </c>
      <c r="K14" s="45">
        <f t="shared" si="26"/>
        <v>0.24411029622034894</v>
      </c>
      <c r="L14" s="45">
        <f>J14+K14/2</f>
        <v>0.43591124325062308</v>
      </c>
      <c r="M14" s="50">
        <f t="shared" si="5"/>
        <v>5513721.3008481069</v>
      </c>
      <c r="N14" s="50">
        <f t="shared" si="5"/>
        <v>6270915.9681697767</v>
      </c>
      <c r="O14" s="50">
        <f t="shared" si="5"/>
        <v>7028110.6354914485</v>
      </c>
      <c r="P14" s="51">
        <f t="shared" si="6"/>
        <v>1239246.7191323547</v>
      </c>
      <c r="Q14" s="51">
        <f>MIN($M14-SUM($P14:P14),Q$6*AD14/AD$20)</f>
        <v>1239246.7191323547</v>
      </c>
      <c r="R14" s="51">
        <f>MIN($M14-SUM($P14:Q14),R$6*AE14/AE$20)</f>
        <v>1239246.7191323547</v>
      </c>
      <c r="S14" s="51">
        <f>MIN($M14-SUM($P14:R14),S$6*AF14/AF$20)</f>
        <v>1239246.7191323547</v>
      </c>
      <c r="T14" s="51">
        <f>MIN($M14-SUM($P14:S14),T$6*AG14/AG$20)</f>
        <v>556734.42431868799</v>
      </c>
      <c r="U14" s="51"/>
      <c r="V14" s="51"/>
      <c r="W14" s="51"/>
      <c r="X14" s="51"/>
      <c r="Y14" s="51"/>
      <c r="Z14" s="51"/>
      <c r="AA14" s="51"/>
      <c r="AB14" s="53">
        <f t="shared" si="7"/>
        <v>0</v>
      </c>
      <c r="AC14" s="4">
        <f t="shared" ref="AC14:AK16" si="27">$M14/SUM($M$38:$M$40,$M$44:$M$46)</f>
        <v>4.1308223971078487E-2</v>
      </c>
      <c r="AD14" s="4">
        <f t="shared" si="27"/>
        <v>4.1308223971078487E-2</v>
      </c>
      <c r="AE14" s="4">
        <f t="shared" si="27"/>
        <v>4.1308223971078487E-2</v>
      </c>
      <c r="AF14" s="4">
        <f t="shared" si="27"/>
        <v>4.1308223971078487E-2</v>
      </c>
      <c r="AG14" s="4">
        <f t="shared" si="27"/>
        <v>4.1308223971078487E-2</v>
      </c>
      <c r="AH14" s="4">
        <f t="shared" si="27"/>
        <v>4.1308223971078487E-2</v>
      </c>
      <c r="AI14" s="4">
        <f t="shared" si="27"/>
        <v>4.1308223971078487E-2</v>
      </c>
      <c r="AJ14" s="4">
        <f t="shared" si="27"/>
        <v>4.1308223971078487E-2</v>
      </c>
      <c r="AK14" s="4">
        <f t="shared" si="27"/>
        <v>4.1308223971078487E-2</v>
      </c>
      <c r="AL14" s="4">
        <f>IF(SUM($P14:X14)&lt;$M14,$H14/SUM($H$38:$H$46),0)</f>
        <v>0</v>
      </c>
      <c r="AM14" s="4">
        <f t="shared" si="9"/>
        <v>5.8924480083449457E-2</v>
      </c>
      <c r="AN14" s="4">
        <f t="shared" si="9"/>
        <v>5.8924480083449457E-2</v>
      </c>
      <c r="AP14" s="62">
        <f t="shared" si="10"/>
        <v>1264111.6899087781</v>
      </c>
      <c r="AQ14" s="62">
        <f>MIN($N14-SUM($AP14:AP14),AQ$6*BD14/BD$20)</f>
        <v>1264111.6899087781</v>
      </c>
      <c r="AR14" s="62">
        <f>MIN($N14-SUM($AP14:AQ14),AR$6*BE14/BE$20)</f>
        <v>1264111.6899087781</v>
      </c>
      <c r="AS14" s="62">
        <f>MIN($N14-SUM($AP14:AR14),AS$6*BF14/BF$20)</f>
        <v>1264111.6899087781</v>
      </c>
      <c r="AT14" s="62">
        <f>MIN($N14-SUM($AP14:AS14),AT$6*BG14/BG$20)</f>
        <v>1214469.2085346645</v>
      </c>
      <c r="AU14" s="62"/>
      <c r="AV14" s="62"/>
      <c r="AW14" s="62"/>
      <c r="AX14" s="62"/>
      <c r="AY14" s="62"/>
      <c r="AZ14" s="62"/>
      <c r="BA14" s="62"/>
      <c r="BB14" s="63">
        <f t="shared" si="11"/>
        <v>0</v>
      </c>
      <c r="BC14" s="64">
        <f t="shared" ref="BC14:BK16" si="28">$N14/SUM($N$38:$N$40,$N$44:$N$46)</f>
        <v>4.2137056330292591E-2</v>
      </c>
      <c r="BD14" s="64">
        <f t="shared" si="28"/>
        <v>4.2137056330292591E-2</v>
      </c>
      <c r="BE14" s="64">
        <f t="shared" si="28"/>
        <v>4.2137056330292591E-2</v>
      </c>
      <c r="BF14" s="64">
        <f t="shared" si="28"/>
        <v>4.2137056330292591E-2</v>
      </c>
      <c r="BG14" s="64">
        <f t="shared" si="28"/>
        <v>4.2137056330292591E-2</v>
      </c>
      <c r="BH14" s="64">
        <f t="shared" si="28"/>
        <v>4.2137056330292591E-2</v>
      </c>
      <c r="BI14" s="64">
        <f t="shared" si="28"/>
        <v>4.2137056330292591E-2</v>
      </c>
      <c r="BJ14" s="64">
        <f t="shared" si="28"/>
        <v>4.2137056330292591E-2</v>
      </c>
      <c r="BK14" s="64">
        <f t="shared" si="28"/>
        <v>4.2137056330292591E-2</v>
      </c>
      <c r="BL14" s="64">
        <f>IF(SUM($AP14:AX14)&lt;$N14,$H14/SUM($H$38:$H$46),0)</f>
        <v>0</v>
      </c>
      <c r="BM14" s="64">
        <f t="shared" si="13"/>
        <v>5.8924480083449457E-2</v>
      </c>
      <c r="BN14" s="64">
        <f t="shared" si="13"/>
        <v>5.8924480083449457E-2</v>
      </c>
      <c r="BP14" s="78">
        <f t="shared" si="14"/>
        <v>1284328.4945389517</v>
      </c>
      <c r="BQ14" s="78">
        <f>MIN($O14-SUM($BP14:BP14),BQ$6*CE14/CE$20)</f>
        <v>1284328.4945389517</v>
      </c>
      <c r="BR14" s="78">
        <f>MIN($O14-SUM($BP14:BQ14),BR$6*CF14/CF$20)</f>
        <v>1284328.4945389517</v>
      </c>
      <c r="BS14" s="78">
        <f>MIN($O14-SUM($BP14:BR14),BS$6*CG14/CG$20)</f>
        <v>1284328.4945389517</v>
      </c>
      <c r="BT14" s="78">
        <f>MIN($O14-SUM($BP14:BS14),BT$6*CH14/CH$20)</f>
        <v>1284328.4945389517</v>
      </c>
      <c r="BU14" s="78">
        <f>MIN($O14-SUM($BP14:BT14),BU$6*CI14/CI$20)</f>
        <v>606468.16279669013</v>
      </c>
      <c r="BV14" s="78"/>
      <c r="BW14" s="78"/>
      <c r="BX14" s="78"/>
      <c r="BY14" s="78"/>
      <c r="BZ14" s="78"/>
      <c r="CA14" s="78"/>
      <c r="CB14" s="78"/>
      <c r="CC14" s="79">
        <f t="shared" si="15"/>
        <v>0</v>
      </c>
      <c r="CD14" s="80">
        <f t="shared" ref="CD14:CL16" si="29">$O14/SUM($O$38:$O$40,$O$44:$O$46)</f>
        <v>4.2810949817965065E-2</v>
      </c>
      <c r="CE14" s="80">
        <f t="shared" si="29"/>
        <v>4.2810949817965065E-2</v>
      </c>
      <c r="CF14" s="80">
        <f t="shared" si="29"/>
        <v>4.2810949817965065E-2</v>
      </c>
      <c r="CG14" s="80">
        <f t="shared" si="29"/>
        <v>4.2810949817965065E-2</v>
      </c>
      <c r="CH14" s="80">
        <f t="shared" si="29"/>
        <v>4.2810949817965065E-2</v>
      </c>
      <c r="CI14" s="80">
        <f t="shared" si="29"/>
        <v>4.2810949817965065E-2</v>
      </c>
      <c r="CJ14" s="80">
        <f t="shared" si="29"/>
        <v>4.2810949817965065E-2</v>
      </c>
      <c r="CK14" s="80">
        <f t="shared" si="29"/>
        <v>4.2810949817965065E-2</v>
      </c>
      <c r="CL14" s="80">
        <f t="shared" si="29"/>
        <v>4.2810949817965065E-2</v>
      </c>
      <c r="CM14" s="80">
        <f>IF(SUM($BP14:BX14)&lt;$O14,$H14/SUM($H$38:$H$46),0)</f>
        <v>0</v>
      </c>
      <c r="CN14" s="80">
        <f t="shared" si="17"/>
        <v>5.8924480083449457E-2</v>
      </c>
      <c r="CO14" s="80">
        <f t="shared" si="17"/>
        <v>5.8924480083449457E-2</v>
      </c>
      <c r="CP14" s="91"/>
      <c r="CQ14" t="s">
        <v>6</v>
      </c>
      <c r="CR14" t="s">
        <v>101</v>
      </c>
      <c r="CS14" s="105">
        <f>0.5*2500*P14/Popn!$H$22</f>
        <v>6.9134995880348491</v>
      </c>
      <c r="CT14" s="105">
        <f>0.5*2500*Q14/Popn!$H$22</f>
        <v>6.9134995880348491</v>
      </c>
      <c r="CU14" s="105">
        <f>0.5*2500*R14/Popn!$H$22</f>
        <v>6.9134995880348491</v>
      </c>
      <c r="CV14" s="105">
        <f>0.5*2500*S14/Popn!$H$22</f>
        <v>6.9134995880348491</v>
      </c>
      <c r="CW14" s="105">
        <f>0.5*2500*T14/Popn!$H$22</f>
        <v>3.1059055099753601</v>
      </c>
      <c r="CX14" s="106">
        <f>0.5*2500*U14/Popn!$H$22</f>
        <v>0</v>
      </c>
      <c r="CY14" s="106">
        <f>0.5*2500*V14/Popn!$H$22</f>
        <v>0</v>
      </c>
      <c r="CZ14" s="106">
        <f>0.5*2500*W14/Popn!$H$22</f>
        <v>0</v>
      </c>
      <c r="DA14" s="106">
        <f>0.5*2500*X14/Popn!$H$22</f>
        <v>0</v>
      </c>
      <c r="DB14" s="106">
        <f>0.5*2500*Y14/Popn!$H$22</f>
        <v>0</v>
      </c>
      <c r="DC14" s="106">
        <f>0.5*2500*Z14/Popn!$H$22</f>
        <v>0</v>
      </c>
      <c r="DD14" s="106">
        <f>0.5*2500*AA14/Popn!$H$22</f>
        <v>0</v>
      </c>
      <c r="DE14" s="107">
        <f>0.5*2500*AB14/Popn!$H$22</f>
        <v>0</v>
      </c>
      <c r="DF14" s="38">
        <f t="shared" si="19"/>
        <v>30.759903862114758</v>
      </c>
      <c r="DG14" s="99">
        <f>0.5*2500*AP14/Popn!$H$22</f>
        <v>7.0522160861827379</v>
      </c>
      <c r="DH14" s="99">
        <f>0.5*2500*AQ14/Popn!$H$22</f>
        <v>7.0522160861827379</v>
      </c>
      <c r="DI14" s="99">
        <f>0.5*2500*AR14/Popn!$H$22</f>
        <v>7.0522160861827379</v>
      </c>
      <c r="DJ14" s="99">
        <f>0.5*2500*AS14/Popn!$H$22</f>
        <v>7.0522160861827379</v>
      </c>
      <c r="DK14" s="99">
        <f>0.5*2500*AT14/Popn!$H$22</f>
        <v>6.775271012025712</v>
      </c>
      <c r="DL14" s="116">
        <f>0.5*2500*AU14/Popn!$H$22</f>
        <v>0</v>
      </c>
      <c r="DM14" s="116">
        <f>0.5*2500*AV14/Popn!$H$22</f>
        <v>0</v>
      </c>
      <c r="DN14" s="116">
        <f>0.5*2500*AW14/Popn!$H$22</f>
        <v>0</v>
      </c>
      <c r="DO14" s="116">
        <f>0.5*2500*AX14/Popn!$H$22</f>
        <v>0</v>
      </c>
      <c r="DP14" s="116">
        <f>0.5*2500*AY14/Popn!$H$22</f>
        <v>0</v>
      </c>
      <c r="DQ14" s="116">
        <f>0.5*2500*AZ14/Popn!$H$22</f>
        <v>0</v>
      </c>
      <c r="DR14" s="116">
        <f>0.5*2500*BA14/Popn!$H$22</f>
        <v>0</v>
      </c>
      <c r="DS14" s="116">
        <f>0.5*2500*BB14/Popn!$H$22</f>
        <v>0</v>
      </c>
      <c r="DT14" s="100">
        <f t="shared" si="20"/>
        <v>34.984135356756667</v>
      </c>
      <c r="DU14" s="92">
        <f>0.5*2500*BP14/Popn!$H$22</f>
        <v>7.1650014325744102</v>
      </c>
      <c r="DV14" s="92">
        <f>0.5*2500*BQ14/Popn!$H$22</f>
        <v>7.1650014325744102</v>
      </c>
      <c r="DW14" s="92">
        <f>0.5*2500*BR14/Popn!$H$22</f>
        <v>7.1650014325744102</v>
      </c>
      <c r="DX14" s="92">
        <f>0.5*2500*BS14/Popn!$H$22</f>
        <v>7.1650014325744102</v>
      </c>
      <c r="DY14" s="92">
        <f>0.5*2500*BT14/Popn!$H$22</f>
        <v>7.1650014325744102</v>
      </c>
      <c r="DZ14" s="92">
        <f>0.5*2500*BU14/Popn!$H$22</f>
        <v>3.3833596885265305</v>
      </c>
      <c r="EA14" s="118">
        <f>0.5*2500*BV14/Popn!$H$22</f>
        <v>0</v>
      </c>
      <c r="EB14" s="118">
        <f>0.5*2500*BW14/Popn!$H$22</f>
        <v>0</v>
      </c>
      <c r="EC14" s="118">
        <f>0.5*2500*BX14/Popn!$H$22</f>
        <v>0</v>
      </c>
      <c r="ED14" s="118">
        <f>0.5*2500*BY14/Popn!$H$22</f>
        <v>0</v>
      </c>
      <c r="EE14" s="118">
        <f>0.5*2500*BZ14/Popn!$H$22</f>
        <v>0</v>
      </c>
      <c r="EF14" s="118">
        <f>0.5*2500*CA14/Popn!$H$22</f>
        <v>0</v>
      </c>
      <c r="EG14" s="118">
        <f>0.5*2500*CB14/Popn!$H$22</f>
        <v>0</v>
      </c>
      <c r="EH14" s="95">
        <f t="shared" si="21"/>
        <v>39.208366851398587</v>
      </c>
    </row>
    <row r="15" spans="1:138" ht="15.75" thickBot="1" x14ac:dyDescent="0.3">
      <c r="B15" s="124"/>
      <c r="E15" s="127"/>
      <c r="G15" t="s">
        <v>23</v>
      </c>
      <c r="H15" s="48">
        <f>H45</f>
        <v>47975939.44994241</v>
      </c>
      <c r="I15" s="50">
        <f t="shared" si="22"/>
        <v>69341097.740274146</v>
      </c>
      <c r="J15" s="45">
        <f t="shared" si="26"/>
        <v>0.24907794604970418</v>
      </c>
      <c r="K15" s="45">
        <f t="shared" si="26"/>
        <v>0.19372729137199213</v>
      </c>
      <c r="L15" s="45">
        <f t="shared" ref="L15:L16" si="30">J15+K15/2</f>
        <v>0.34594159173570027</v>
      </c>
      <c r="M15" s="50">
        <f t="shared" si="5"/>
        <v>62969816.934496239</v>
      </c>
      <c r="N15" s="50">
        <f t="shared" si="5"/>
        <v>69903926.708523631</v>
      </c>
      <c r="O15" s="50">
        <f t="shared" si="5"/>
        <v>76838036.482551053</v>
      </c>
      <c r="P15" s="51">
        <f t="shared" si="6"/>
        <v>14152898.701723695</v>
      </c>
      <c r="Q15" s="51">
        <f>MIN($M15-SUM($P15:P15),Q$6*AD15/AD$20)</f>
        <v>14152898.701723695</v>
      </c>
      <c r="R15" s="51">
        <f>MIN($M15-SUM($P15:Q15),R$6*AE15/AE$20)</f>
        <v>14152898.701723695</v>
      </c>
      <c r="S15" s="51">
        <f>MIN($M15-SUM($P15:R15),S$6*AF15/AF$20)</f>
        <v>14152898.701723695</v>
      </c>
      <c r="T15" s="51">
        <f>MIN($M15-SUM($P15:S15),T$6*AG15/AG$20)</f>
        <v>6358222.1276014596</v>
      </c>
      <c r="U15" s="51"/>
      <c r="V15" s="51"/>
      <c r="W15" s="51"/>
      <c r="X15" s="51"/>
      <c r="Y15" s="51"/>
      <c r="Z15" s="51"/>
      <c r="AA15" s="51"/>
      <c r="AB15" s="53">
        <f t="shared" si="7"/>
        <v>0</v>
      </c>
      <c r="AC15" s="4">
        <f t="shared" si="27"/>
        <v>0.47176329005745643</v>
      </c>
      <c r="AD15" s="4">
        <f t="shared" si="27"/>
        <v>0.47176329005745643</v>
      </c>
      <c r="AE15" s="4">
        <f t="shared" si="27"/>
        <v>0.47176329005745643</v>
      </c>
      <c r="AF15" s="4">
        <f t="shared" si="27"/>
        <v>0.47176329005745643</v>
      </c>
      <c r="AG15" s="4">
        <f t="shared" si="27"/>
        <v>0.47176329005745643</v>
      </c>
      <c r="AH15" s="4">
        <f t="shared" si="27"/>
        <v>0.47176329005745643</v>
      </c>
      <c r="AI15" s="4">
        <f t="shared" si="27"/>
        <v>0.47176329005745643</v>
      </c>
      <c r="AJ15" s="4">
        <f t="shared" si="27"/>
        <v>0.47176329005745643</v>
      </c>
      <c r="AK15" s="4">
        <f t="shared" si="27"/>
        <v>0.47176329005745643</v>
      </c>
      <c r="AL15" s="4">
        <f>IF(SUM($P15:X15)&lt;$M15,$H15/SUM($H$38:$H$46),0)</f>
        <v>0</v>
      </c>
      <c r="AM15" s="4">
        <f t="shared" si="9"/>
        <v>0.42823645364820984</v>
      </c>
      <c r="AN15" s="4">
        <f t="shared" si="9"/>
        <v>0.42823645364820984</v>
      </c>
      <c r="AP15" s="62">
        <f t="shared" si="10"/>
        <v>14091461.498018077</v>
      </c>
      <c r="AQ15" s="62">
        <f>MIN($N15-SUM($AP15:AP15),AQ$6*BD15/BD$20)</f>
        <v>14091461.498018077</v>
      </c>
      <c r="AR15" s="62">
        <f>MIN($N15-SUM($AP15:AQ15),AR$6*BE15/BE$20)</f>
        <v>14091461.498018077</v>
      </c>
      <c r="AS15" s="62">
        <f>MIN($N15-SUM($AP15:AR15),AS$6*BF15/BF$20)</f>
        <v>14091461.498018077</v>
      </c>
      <c r="AT15" s="62">
        <f>MIN($N15-SUM($AP15:AS15),AT$6*BG15/BG$20)</f>
        <v>13538080.716451325</v>
      </c>
      <c r="AU15" s="62"/>
      <c r="AV15" s="62"/>
      <c r="AW15" s="62"/>
      <c r="AX15" s="62"/>
      <c r="AY15" s="62"/>
      <c r="AZ15" s="62"/>
      <c r="BA15" s="62"/>
      <c r="BB15" s="63">
        <f t="shared" si="11"/>
        <v>0</v>
      </c>
      <c r="BC15" s="64">
        <f t="shared" si="28"/>
        <v>0.46971538326726914</v>
      </c>
      <c r="BD15" s="64">
        <f t="shared" si="28"/>
        <v>0.46971538326726914</v>
      </c>
      <c r="BE15" s="64">
        <f t="shared" si="28"/>
        <v>0.46971538326726914</v>
      </c>
      <c r="BF15" s="64">
        <f t="shared" si="28"/>
        <v>0.46971538326726914</v>
      </c>
      <c r="BG15" s="64">
        <f t="shared" si="28"/>
        <v>0.46971538326726914</v>
      </c>
      <c r="BH15" s="64">
        <f t="shared" si="28"/>
        <v>0.46971538326726914</v>
      </c>
      <c r="BI15" s="64">
        <f t="shared" si="28"/>
        <v>0.46971538326726914</v>
      </c>
      <c r="BJ15" s="64">
        <f t="shared" si="28"/>
        <v>0.46971538326726914</v>
      </c>
      <c r="BK15" s="64">
        <f t="shared" si="28"/>
        <v>0.46971538326726914</v>
      </c>
      <c r="BL15" s="64">
        <f>IF(SUM($AP15:AX15)&lt;$N15,$H15/SUM($H$38:$H$46),0)</f>
        <v>0</v>
      </c>
      <c r="BM15" s="64">
        <f t="shared" si="13"/>
        <v>0.42823645364820984</v>
      </c>
      <c r="BN15" s="64">
        <f t="shared" si="13"/>
        <v>0.42823645364820984</v>
      </c>
      <c r="BP15" s="78">
        <f t="shared" si="14"/>
        <v>14041509.139114905</v>
      </c>
      <c r="BQ15" s="78">
        <f>MIN($O15-SUM($BP15:BP15),BQ$6*CE15/CE$20)</f>
        <v>14041509.139114905</v>
      </c>
      <c r="BR15" s="78">
        <f>MIN($O15-SUM($BP15:BQ15),BR$6*CF15/CF$20)</f>
        <v>14041509.139114905</v>
      </c>
      <c r="BS15" s="78">
        <f>MIN($O15-SUM($BP15:BR15),BS$6*CG15/CG$20)</f>
        <v>14041509.139114905</v>
      </c>
      <c r="BT15" s="78">
        <f>MIN($O15-SUM($BP15:BS15),BT$6*CH15/CH$20)</f>
        <v>14041509.139114905</v>
      </c>
      <c r="BU15" s="78">
        <f>MIN($O15-SUM($BP15:BT15),BU$6*CI15/CI$20)</f>
        <v>6630490.7869765311</v>
      </c>
      <c r="BV15" s="78"/>
      <c r="BW15" s="78"/>
      <c r="BX15" s="78"/>
      <c r="BY15" s="78"/>
      <c r="BZ15" s="78"/>
      <c r="CA15" s="78"/>
      <c r="CB15" s="78"/>
      <c r="CC15" s="79">
        <f t="shared" si="15"/>
        <v>0</v>
      </c>
      <c r="CD15" s="80">
        <f t="shared" si="29"/>
        <v>0.46805030463716363</v>
      </c>
      <c r="CE15" s="80">
        <f t="shared" si="29"/>
        <v>0.46805030463716363</v>
      </c>
      <c r="CF15" s="80">
        <f t="shared" si="29"/>
        <v>0.46805030463716363</v>
      </c>
      <c r="CG15" s="80">
        <f t="shared" si="29"/>
        <v>0.46805030463716363</v>
      </c>
      <c r="CH15" s="80">
        <f t="shared" si="29"/>
        <v>0.46805030463716363</v>
      </c>
      <c r="CI15" s="80">
        <f t="shared" si="29"/>
        <v>0.46805030463716363</v>
      </c>
      <c r="CJ15" s="80">
        <f t="shared" si="29"/>
        <v>0.46805030463716363</v>
      </c>
      <c r="CK15" s="80">
        <f t="shared" si="29"/>
        <v>0.46805030463716363</v>
      </c>
      <c r="CL15" s="80">
        <f t="shared" si="29"/>
        <v>0.46805030463716363</v>
      </c>
      <c r="CM15" s="80">
        <f>IF(SUM($BP15:BX15)&lt;$O15,$H15/SUM($H$38:$H$46),0)</f>
        <v>0</v>
      </c>
      <c r="CN15" s="80">
        <f t="shared" si="17"/>
        <v>0.42823645364820984</v>
      </c>
      <c r="CO15" s="80">
        <f t="shared" si="17"/>
        <v>0.42823645364820984</v>
      </c>
      <c r="CP15" s="91"/>
      <c r="CR15" t="s">
        <v>102</v>
      </c>
      <c r="CS15" s="105">
        <f>0.5*2500*P15/Popn!$H$22</f>
        <v>78.956076972607661</v>
      </c>
      <c r="CT15" s="105">
        <f>0.5*2500*Q15/Popn!$H$22</f>
        <v>78.956076972607661</v>
      </c>
      <c r="CU15" s="105">
        <f>0.5*2500*R15/Popn!$H$22</f>
        <v>78.956076972607661</v>
      </c>
      <c r="CV15" s="105">
        <f>0.5*2500*S15/Popn!$H$22</f>
        <v>78.956076972607661</v>
      </c>
      <c r="CW15" s="105">
        <f>0.5*2500*T15/Popn!$H$22</f>
        <v>35.471198253874071</v>
      </c>
      <c r="CX15" s="106">
        <f>0.5*2500*U15/Popn!$H$22</f>
        <v>0</v>
      </c>
      <c r="CY15" s="106">
        <f>0.5*2500*V15/Popn!$H$22</f>
        <v>0</v>
      </c>
      <c r="CZ15" s="106">
        <f>0.5*2500*W15/Popn!$H$22</f>
        <v>0</v>
      </c>
      <c r="DA15" s="106">
        <f>0.5*2500*X15/Popn!$H$22</f>
        <v>0</v>
      </c>
      <c r="DB15" s="106">
        <f>0.5*2500*Y15/Popn!$H$22</f>
        <v>0</v>
      </c>
      <c r="DC15" s="106">
        <f>0.5*2500*Z15/Popn!$H$22</f>
        <v>0</v>
      </c>
      <c r="DD15" s="106">
        <f>0.5*2500*AA15/Popn!$H$22</f>
        <v>0</v>
      </c>
      <c r="DE15" s="107">
        <f>0.5*2500*AB15/Popn!$H$22</f>
        <v>0</v>
      </c>
      <c r="DF15" s="38">
        <f t="shared" si="19"/>
        <v>351.29550614430474</v>
      </c>
      <c r="DG15" s="99">
        <f>0.5*2500*AP15/Popn!$H$22</f>
        <v>78.613331596766614</v>
      </c>
      <c r="DH15" s="99">
        <f>0.5*2500*AQ15/Popn!$H$22</f>
        <v>78.613331596766614</v>
      </c>
      <c r="DI15" s="99">
        <f>0.5*2500*AR15/Popn!$H$22</f>
        <v>78.613331596766614</v>
      </c>
      <c r="DJ15" s="99">
        <f>0.5*2500*AS15/Popn!$H$22</f>
        <v>78.613331596766614</v>
      </c>
      <c r="DK15" s="99">
        <f>0.5*2500*AT15/Popn!$H$22</f>
        <v>75.526135361890368</v>
      </c>
      <c r="DL15" s="116">
        <f>0.5*2500*AU15/Popn!$H$22</f>
        <v>0</v>
      </c>
      <c r="DM15" s="116">
        <f>0.5*2500*AV15/Popn!$H$22</f>
        <v>0</v>
      </c>
      <c r="DN15" s="116">
        <f>0.5*2500*AW15/Popn!$H$22</f>
        <v>0</v>
      </c>
      <c r="DO15" s="116">
        <f>0.5*2500*AX15/Popn!$H$22</f>
        <v>0</v>
      </c>
      <c r="DP15" s="116">
        <f>0.5*2500*AY15/Popn!$H$22</f>
        <v>0</v>
      </c>
      <c r="DQ15" s="116">
        <f>0.5*2500*AZ15/Popn!$H$22</f>
        <v>0</v>
      </c>
      <c r="DR15" s="116">
        <f>0.5*2500*BA15/Popn!$H$22</f>
        <v>0</v>
      </c>
      <c r="DS15" s="116">
        <f>0.5*2500*BB15/Popn!$H$22</f>
        <v>0</v>
      </c>
      <c r="DT15" s="100">
        <f t="shared" si="20"/>
        <v>389.97946174895685</v>
      </c>
      <c r="DU15" s="92">
        <f>0.5*2500*BP15/Popn!$H$22</f>
        <v>78.334657780353169</v>
      </c>
      <c r="DV15" s="92">
        <f>0.5*2500*BQ15/Popn!$H$22</f>
        <v>78.334657780353169</v>
      </c>
      <c r="DW15" s="92">
        <f>0.5*2500*BR15/Popn!$H$22</f>
        <v>78.334657780353169</v>
      </c>
      <c r="DX15" s="92">
        <f>0.5*2500*BS15/Popn!$H$22</f>
        <v>78.334657780353169</v>
      </c>
      <c r="DY15" s="92">
        <f>0.5*2500*BT15/Popn!$H$22</f>
        <v>78.334657780353169</v>
      </c>
      <c r="DZ15" s="92">
        <f>0.5*2500*BU15/Popn!$H$22</f>
        <v>36.99012845184324</v>
      </c>
      <c r="EA15" s="118">
        <f>0.5*2500*BV15/Popn!$H$22</f>
        <v>0</v>
      </c>
      <c r="EB15" s="118">
        <f>0.5*2500*BW15/Popn!$H$22</f>
        <v>0</v>
      </c>
      <c r="EC15" s="118">
        <f>0.5*2500*BX15/Popn!$H$22</f>
        <v>0</v>
      </c>
      <c r="ED15" s="118">
        <f>0.5*2500*BY15/Popn!$H$22</f>
        <v>0</v>
      </c>
      <c r="EE15" s="118">
        <f>0.5*2500*BZ15/Popn!$H$22</f>
        <v>0</v>
      </c>
      <c r="EF15" s="118">
        <f>0.5*2500*CA15/Popn!$H$22</f>
        <v>0</v>
      </c>
      <c r="EG15" s="118">
        <f>0.5*2500*CB15/Popn!$H$22</f>
        <v>0</v>
      </c>
      <c r="EH15" s="95">
        <f t="shared" si="21"/>
        <v>428.66341735360908</v>
      </c>
    </row>
    <row r="16" spans="1:138" ht="15.75" thickBot="1" x14ac:dyDescent="0.3">
      <c r="B16" s="124"/>
      <c r="E16" s="127"/>
      <c r="G16" s="27" t="s">
        <v>21</v>
      </c>
      <c r="H16" s="48">
        <f>H46</f>
        <v>5464589.4687026059</v>
      </c>
      <c r="I16" s="50">
        <f t="shared" si="22"/>
        <v>19756121.201904517</v>
      </c>
      <c r="J16" s="45">
        <f t="shared" si="26"/>
        <v>9.9576844494317654E-2</v>
      </c>
      <c r="K16" s="45">
        <f t="shared" si="26"/>
        <v>7.7448656828913748E-2</v>
      </c>
      <c r="L16" s="45">
        <f t="shared" si="30"/>
        <v>0.13830117290877453</v>
      </c>
      <c r="M16" s="50">
        <f t="shared" si="5"/>
        <v>26145204.454344623</v>
      </c>
      <c r="N16" s="50">
        <f t="shared" si="5"/>
        <v>28120816.574535072</v>
      </c>
      <c r="O16" s="50">
        <f t="shared" si="5"/>
        <v>30096428.694725525</v>
      </c>
      <c r="P16" s="51">
        <f t="shared" si="6"/>
        <v>5876314.2119837394</v>
      </c>
      <c r="Q16" s="51">
        <f>MIN($M16-SUM($P16:P16),Q$6*AD16/AD$20)</f>
        <v>5876314.2119837394</v>
      </c>
      <c r="R16" s="51">
        <f>MIN($M16-SUM($P16:Q16),R$6*AE16/AE$20)</f>
        <v>5876314.2119837394</v>
      </c>
      <c r="S16" s="51">
        <f>MIN($M16-SUM($P16:R16),S$6*AF16/AF$20)</f>
        <v>5876314.2119837394</v>
      </c>
      <c r="T16" s="51">
        <f>MIN($M16-SUM($P16:S16),T$6*AG16/AG$20)</f>
        <v>2639947.6064096652</v>
      </c>
      <c r="U16" s="51"/>
      <c r="V16" s="51"/>
      <c r="W16" s="51"/>
      <c r="X16" s="51"/>
      <c r="Y16" s="51"/>
      <c r="Z16" s="51"/>
      <c r="AA16" s="51"/>
      <c r="AB16" s="53">
        <f t="shared" si="7"/>
        <v>0</v>
      </c>
      <c r="AC16" s="4">
        <f t="shared" si="27"/>
        <v>0.19587714039945794</v>
      </c>
      <c r="AD16" s="4">
        <f t="shared" si="27"/>
        <v>0.19587714039945794</v>
      </c>
      <c r="AE16" s="4">
        <f t="shared" si="27"/>
        <v>0.19587714039945794</v>
      </c>
      <c r="AF16" s="4">
        <f t="shared" si="27"/>
        <v>0.19587714039945794</v>
      </c>
      <c r="AG16" s="4">
        <f t="shared" si="27"/>
        <v>0.19587714039945794</v>
      </c>
      <c r="AH16" s="4">
        <f t="shared" si="27"/>
        <v>0.19587714039945794</v>
      </c>
      <c r="AI16" s="4">
        <f t="shared" si="27"/>
        <v>0.19587714039945794</v>
      </c>
      <c r="AJ16" s="4">
        <f t="shared" si="27"/>
        <v>0.19587714039945794</v>
      </c>
      <c r="AK16" s="4">
        <f t="shared" si="27"/>
        <v>0.19587714039945794</v>
      </c>
      <c r="AL16" s="4">
        <f>IF(SUM($P16:X16)&lt;$M16,$H16/SUM($H$38:$H$46),0)</f>
        <v>0</v>
      </c>
      <c r="AM16" s="4">
        <f t="shared" si="9"/>
        <v>4.8777292150000165E-2</v>
      </c>
      <c r="AN16" s="4">
        <f t="shared" si="9"/>
        <v>4.8777292150000165E-2</v>
      </c>
      <c r="AP16" s="62">
        <f t="shared" si="10"/>
        <v>5668685.9052307252</v>
      </c>
      <c r="AQ16" s="62">
        <f>MIN($N16-SUM($AP16:AP16),AQ$6*BD16/BD$20)</f>
        <v>5668685.9052307252</v>
      </c>
      <c r="AR16" s="62">
        <f>MIN($N16-SUM($AP16:AQ16),AR$6*BE16/BE$20)</f>
        <v>5668685.9052307252</v>
      </c>
      <c r="AS16" s="62">
        <f>MIN($N16-SUM($AP16:AR16),AS$6*BF16/BF$20)</f>
        <v>5668685.9052307252</v>
      </c>
      <c r="AT16" s="62">
        <f>MIN($N16-SUM($AP16:AS16),AT$6*BG16/BG$20)</f>
        <v>5446072.9536121711</v>
      </c>
      <c r="AU16" s="62"/>
      <c r="AV16" s="62"/>
      <c r="AW16" s="62"/>
      <c r="AX16" s="62"/>
      <c r="AY16" s="62"/>
      <c r="AZ16" s="62"/>
      <c r="BA16" s="62"/>
      <c r="BB16" s="63">
        <f t="shared" si="11"/>
        <v>0</v>
      </c>
      <c r="BC16" s="64">
        <f t="shared" si="28"/>
        <v>0.18895619684102413</v>
      </c>
      <c r="BD16" s="64">
        <f t="shared" si="28"/>
        <v>0.18895619684102413</v>
      </c>
      <c r="BE16" s="64">
        <f t="shared" si="28"/>
        <v>0.18895619684102413</v>
      </c>
      <c r="BF16" s="64">
        <f t="shared" si="28"/>
        <v>0.18895619684102413</v>
      </c>
      <c r="BG16" s="64">
        <f t="shared" si="28"/>
        <v>0.18895619684102413</v>
      </c>
      <c r="BH16" s="64">
        <f t="shared" si="28"/>
        <v>0.18895619684102413</v>
      </c>
      <c r="BI16" s="64">
        <f t="shared" si="28"/>
        <v>0.18895619684102413</v>
      </c>
      <c r="BJ16" s="64">
        <f t="shared" si="28"/>
        <v>0.18895619684102413</v>
      </c>
      <c r="BK16" s="64">
        <f t="shared" si="28"/>
        <v>0.18895619684102413</v>
      </c>
      <c r="BL16" s="64">
        <f>IF(SUM($AP16:AX16)&lt;$N16,$H16/SUM($H$38:$H$46),0)</f>
        <v>0</v>
      </c>
      <c r="BM16" s="64">
        <f t="shared" si="13"/>
        <v>4.8777292150000165E-2</v>
      </c>
      <c r="BN16" s="64">
        <f t="shared" si="13"/>
        <v>4.8777292150000165E-2</v>
      </c>
      <c r="BP16" s="78">
        <f t="shared" si="14"/>
        <v>5499870.8701734655</v>
      </c>
      <c r="BQ16" s="78">
        <f>MIN($O16-SUM($BP16:BP16),BQ$6*CE16/CE$20)</f>
        <v>5499870.8701734655</v>
      </c>
      <c r="BR16" s="78">
        <f>MIN($O16-SUM($BP16:BQ16),BR$6*CF16/CF$20)</f>
        <v>5499870.8701734655</v>
      </c>
      <c r="BS16" s="78">
        <f>MIN($O16-SUM($BP16:BR16),BS$6*CG16/CG$20)</f>
        <v>5499870.8701734655</v>
      </c>
      <c r="BT16" s="78">
        <f>MIN($O16-SUM($BP16:BS16),BT$6*CH16/CH$20)</f>
        <v>5499870.8701734655</v>
      </c>
      <c r="BU16" s="78">
        <f>MIN($O16-SUM($BP16:BT16),BU$6*CI16/CI$20)</f>
        <v>2597074.3438581973</v>
      </c>
      <c r="BV16" s="78"/>
      <c r="BW16" s="78"/>
      <c r="BX16" s="78"/>
      <c r="BY16" s="78"/>
      <c r="BZ16" s="78"/>
      <c r="CA16" s="78"/>
      <c r="CB16" s="78"/>
      <c r="CC16" s="79">
        <f t="shared" si="15"/>
        <v>0</v>
      </c>
      <c r="CD16" s="80">
        <f t="shared" si="29"/>
        <v>0.18332902900578221</v>
      </c>
      <c r="CE16" s="80">
        <f t="shared" si="29"/>
        <v>0.18332902900578221</v>
      </c>
      <c r="CF16" s="80">
        <f t="shared" si="29"/>
        <v>0.18332902900578221</v>
      </c>
      <c r="CG16" s="80">
        <f t="shared" si="29"/>
        <v>0.18332902900578221</v>
      </c>
      <c r="CH16" s="80">
        <f t="shared" si="29"/>
        <v>0.18332902900578221</v>
      </c>
      <c r="CI16" s="80">
        <f t="shared" si="29"/>
        <v>0.18332902900578221</v>
      </c>
      <c r="CJ16" s="80">
        <f t="shared" si="29"/>
        <v>0.18332902900578221</v>
      </c>
      <c r="CK16" s="80">
        <f t="shared" si="29"/>
        <v>0.18332902900578221</v>
      </c>
      <c r="CL16" s="80">
        <f t="shared" si="29"/>
        <v>0.18332902900578221</v>
      </c>
      <c r="CM16" s="80">
        <f>IF(SUM($BP16:BX16)&lt;$O16,$H16/SUM($H$38:$H$46),0)</f>
        <v>0</v>
      </c>
      <c r="CN16" s="80">
        <f t="shared" si="17"/>
        <v>4.8777292150000165E-2</v>
      </c>
      <c r="CO16" s="80">
        <f t="shared" si="17"/>
        <v>4.8777292150000165E-2</v>
      </c>
      <c r="CP16" s="91"/>
      <c r="CR16" s="27" t="s">
        <v>103</v>
      </c>
      <c r="CS16" s="105">
        <f>0.5*2500*P16/Popn!$H$22</f>
        <v>32.782734266310335</v>
      </c>
      <c r="CT16" s="105">
        <f>0.5*2500*Q16/Popn!$H$22</f>
        <v>32.782734266310335</v>
      </c>
      <c r="CU16" s="105">
        <f>0.5*2500*R16/Popn!$H$22</f>
        <v>32.782734266310335</v>
      </c>
      <c r="CV16" s="105">
        <f>0.5*2500*S16/Popn!$H$22</f>
        <v>32.782734266310335</v>
      </c>
      <c r="CW16" s="105">
        <f>0.5*2500*T16/Popn!$H$22</f>
        <v>14.727718385347222</v>
      </c>
      <c r="CX16" s="106">
        <f>0.5*2500*U16/Popn!$H$22</f>
        <v>0</v>
      </c>
      <c r="CY16" s="106">
        <f>0.5*2500*V16/Popn!$H$22</f>
        <v>0</v>
      </c>
      <c r="CZ16" s="106">
        <f>0.5*2500*W16/Popn!$H$22</f>
        <v>0</v>
      </c>
      <c r="DA16" s="106">
        <f>0.5*2500*X16/Popn!$H$22</f>
        <v>0</v>
      </c>
      <c r="DB16" s="106">
        <f>0.5*2500*Y16/Popn!$H$22</f>
        <v>0</v>
      </c>
      <c r="DC16" s="106">
        <f>0.5*2500*Z16/Popn!$H$22</f>
        <v>0</v>
      </c>
      <c r="DD16" s="106">
        <f>0.5*2500*AA16/Popn!$H$22</f>
        <v>0</v>
      </c>
      <c r="DE16" s="107">
        <f>0.5*2500*AB16/Popn!$H$22</f>
        <v>0</v>
      </c>
      <c r="DF16" s="38">
        <f t="shared" si="19"/>
        <v>145.85865545058857</v>
      </c>
      <c r="DG16" s="99">
        <f>0.5*2500*AP16/Popn!$H$22</f>
        <v>31.624419145487309</v>
      </c>
      <c r="DH16" s="99">
        <f>0.5*2500*AQ16/Popn!$H$22</f>
        <v>31.624419145487309</v>
      </c>
      <c r="DI16" s="99">
        <f>0.5*2500*AR16/Popn!$H$22</f>
        <v>31.624419145487309</v>
      </c>
      <c r="DJ16" s="99">
        <f>0.5*2500*AS16/Popn!$H$22</f>
        <v>31.624419145487309</v>
      </c>
      <c r="DK16" s="99">
        <f>0.5*2500*AT16/Popn!$H$22</f>
        <v>30.382507808910493</v>
      </c>
      <c r="DL16" s="116">
        <f>0.5*2500*AU16/Popn!$H$22</f>
        <v>0</v>
      </c>
      <c r="DM16" s="116">
        <f>0.5*2500*AV16/Popn!$H$22</f>
        <v>0</v>
      </c>
      <c r="DN16" s="116">
        <f>0.5*2500*AW16/Popn!$H$22</f>
        <v>0</v>
      </c>
      <c r="DO16" s="116">
        <f>0.5*2500*AX16/Popn!$H$22</f>
        <v>0</v>
      </c>
      <c r="DP16" s="116">
        <f>0.5*2500*AY16/Popn!$H$22</f>
        <v>0</v>
      </c>
      <c r="DQ16" s="116">
        <f>0.5*2500*AZ16/Popn!$H$22</f>
        <v>0</v>
      </c>
      <c r="DR16" s="116">
        <f>0.5*2500*BA16/Popn!$H$22</f>
        <v>0</v>
      </c>
      <c r="DS16" s="116">
        <f>0.5*2500*BB16/Popn!$H$22</f>
        <v>0</v>
      </c>
      <c r="DT16" s="100">
        <f t="shared" si="20"/>
        <v>156.88018439085974</v>
      </c>
      <c r="DU16" s="92">
        <f>0.5*2500*BP16/Popn!$H$22</f>
        <v>30.682635191328782</v>
      </c>
      <c r="DV16" s="92">
        <f>0.5*2500*BQ16/Popn!$H$22</f>
        <v>30.682635191328782</v>
      </c>
      <c r="DW16" s="92">
        <f>0.5*2500*BR16/Popn!$H$22</f>
        <v>30.682635191328782</v>
      </c>
      <c r="DX16" s="92">
        <f>0.5*2500*BS16/Popn!$H$22</f>
        <v>30.682635191328782</v>
      </c>
      <c r="DY16" s="92">
        <f>0.5*2500*BT16/Popn!$H$22</f>
        <v>30.682635191328782</v>
      </c>
      <c r="DZ16" s="92">
        <f>0.5*2500*BU16/Popn!$H$22</f>
        <v>14.488537374487006</v>
      </c>
      <c r="EA16" s="118">
        <f>0.5*2500*BV16/Popn!$H$22</f>
        <v>0</v>
      </c>
      <c r="EB16" s="118">
        <f>0.5*2500*BW16/Popn!$H$22</f>
        <v>0</v>
      </c>
      <c r="EC16" s="118">
        <f>0.5*2500*BX16/Popn!$H$22</f>
        <v>0</v>
      </c>
      <c r="ED16" s="118">
        <f>0.5*2500*BY16/Popn!$H$22</f>
        <v>0</v>
      </c>
      <c r="EE16" s="118">
        <f>0.5*2500*BZ16/Popn!$H$22</f>
        <v>0</v>
      </c>
      <c r="EF16" s="118">
        <f>0.5*2500*CA16/Popn!$H$22</f>
        <v>0</v>
      </c>
      <c r="EG16" s="118">
        <f>0.5*2500*CB16/Popn!$H$22</f>
        <v>0</v>
      </c>
      <c r="EH16" s="95">
        <f t="shared" si="21"/>
        <v>167.90171333113091</v>
      </c>
    </row>
    <row r="17" spans="2:138" ht="15.75" thickBot="1" x14ac:dyDescent="0.3">
      <c r="B17" s="124"/>
      <c r="E17" s="127"/>
      <c r="G17" s="1" t="s">
        <v>9</v>
      </c>
      <c r="H17" s="48"/>
      <c r="I17" s="50">
        <f t="shared" si="22"/>
        <v>25258743.548931349</v>
      </c>
      <c r="J17" s="45"/>
      <c r="K17" s="45"/>
      <c r="L17" s="45"/>
      <c r="M17" s="50">
        <f t="shared" si="5"/>
        <v>30310492.258717619</v>
      </c>
      <c r="N17" s="50">
        <f t="shared" si="5"/>
        <v>35362240.968503885</v>
      </c>
      <c r="O17" s="50">
        <f t="shared" si="5"/>
        <v>40413989.678290159</v>
      </c>
      <c r="P17" s="51">
        <f t="shared" si="6"/>
        <v>0</v>
      </c>
      <c r="Q17" s="51">
        <f>MIN($M17-SUM($P17:P17),Q$6*AD17/AD$20)</f>
        <v>0</v>
      </c>
      <c r="R17" s="51">
        <f>MIN($M17-SUM($P17:Q17),R$6*AE17/AE$20)</f>
        <v>0</v>
      </c>
      <c r="S17" s="51">
        <f>MIN($M17-SUM($P17:R17),S$6*AF17/AF$20)</f>
        <v>0</v>
      </c>
      <c r="T17" s="51">
        <f>MIN($M17-SUM($P17:S17),T$6*AG17/AG$20)</f>
        <v>0</v>
      </c>
      <c r="U17" s="51">
        <f>IF(SUM($P17:T17)&lt;$M17,MIN($I17/($I11+$I17)*U6,$M17-SUM($P17:T17)),0)</f>
        <v>29309131.751431819</v>
      </c>
      <c r="V17" s="51">
        <f>IF(SUM($P17:U17)&lt;$M17,MIN($I17/($I11+$I17)*V6,$M17-SUM($P17:U17)),0)</f>
        <v>1001360.5072857998</v>
      </c>
      <c r="W17" s="51">
        <f>IF(SUM($P17:V17)&lt;$M17,MIN($I17/($I11+$I17)*W6,$M17-SUM($P17:V17)),0)</f>
        <v>0</v>
      </c>
      <c r="X17" s="51">
        <f>IF(SUM($P17:W17)&lt;$M17,MIN($I17/($I11+$I17)*X6,$M17-SUM($P17:W17)),0)</f>
        <v>0</v>
      </c>
      <c r="Y17" s="51"/>
      <c r="Z17" s="51"/>
      <c r="AA17" s="51"/>
      <c r="AB17" s="53">
        <f t="shared" si="7"/>
        <v>0</v>
      </c>
      <c r="AC17" s="4"/>
      <c r="AD17" s="4"/>
      <c r="AE17" s="4"/>
      <c r="AF17" s="4"/>
      <c r="AG17" s="4"/>
      <c r="AH17" s="4"/>
      <c r="AI17" s="4"/>
      <c r="AJ17" s="4"/>
      <c r="AK17" s="4"/>
      <c r="AL17" s="4">
        <f>IF(SUM($P17:X17)&lt;$M17,$H17/SUM($H$38:$H$46),0)</f>
        <v>0</v>
      </c>
      <c r="AM17" s="4">
        <f t="shared" si="9"/>
        <v>0</v>
      </c>
      <c r="AN17" s="4">
        <f t="shared" si="9"/>
        <v>0</v>
      </c>
      <c r="AP17" s="62">
        <f t="shared" si="10"/>
        <v>0</v>
      </c>
      <c r="AQ17" s="62">
        <f>MIN($N17-SUM($AP17:AP17),AQ$6*BD17/BD$20)</f>
        <v>0</v>
      </c>
      <c r="AR17" s="62">
        <f>MIN($N17-SUM($AP17:AQ17),AR$6*BE17/BE$20)</f>
        <v>0</v>
      </c>
      <c r="AS17" s="62">
        <f>MIN($N17-SUM($AP17:AR17),AS$6*BF17/BF$20)</f>
        <v>0</v>
      </c>
      <c r="AT17" s="62">
        <f>MIN($N17-SUM($AP17:AS17),AT$6*BG17/BG$20)</f>
        <v>0</v>
      </c>
      <c r="AU17" s="62">
        <f>IF(SUM($AP17:AT17)&lt;$N17,MIN($I17/($I11+$I17)*AU6,$N17-SUM($AP17:AT17)),0)</f>
        <v>19642215.189892303</v>
      </c>
      <c r="AV17" s="62">
        <f>IF(SUM($AP17:AU17)&lt;$N17,MIN($I17/($I11+$I17)*AV6,$N17-SUM($AP17:AU17)),0)</f>
        <v>15720025.778611582</v>
      </c>
      <c r="AW17" s="62">
        <f>IF(SUM($AP17:AV17)&lt;$N17,MIN($I17/($I11+$I17)*AW6,$N17-SUM($AP17:AV17)),0)</f>
        <v>0</v>
      </c>
      <c r="AX17" s="62">
        <f>IF(SUM($AP17:AW17)&lt;$N17,MIN($I17/($I11+$I17)*AX6,$N17-SUM($AP17:AW17)),0)</f>
        <v>0</v>
      </c>
      <c r="AY17" s="62"/>
      <c r="AZ17" s="62"/>
      <c r="BA17" s="62"/>
      <c r="BB17" s="63">
        <f t="shared" si="11"/>
        <v>0</v>
      </c>
      <c r="BC17" s="64"/>
      <c r="BD17" s="64"/>
      <c r="BE17" s="64"/>
      <c r="BF17" s="64"/>
      <c r="BG17" s="64"/>
      <c r="BH17" s="64"/>
      <c r="BI17" s="64"/>
      <c r="BJ17" s="64"/>
      <c r="BK17" s="64"/>
      <c r="BL17" s="64">
        <f>IF(SUM($AP17:AX17)&lt;$N17,$H17/SUM($H$38:$H$46),0)</f>
        <v>0</v>
      </c>
      <c r="BM17" s="64">
        <f t="shared" si="13"/>
        <v>0</v>
      </c>
      <c r="BN17" s="64">
        <f t="shared" si="13"/>
        <v>0</v>
      </c>
      <c r="BP17" s="78">
        <f t="shared" si="14"/>
        <v>0</v>
      </c>
      <c r="BQ17" s="78">
        <f>MIN($O17-SUM($BP17:BP17),BQ$6*CE17/CE$20)</f>
        <v>0</v>
      </c>
      <c r="BR17" s="78">
        <f>MIN($O17-SUM($BP17:BQ17),BR$6*CF17/CF$20)</f>
        <v>0</v>
      </c>
      <c r="BS17" s="78">
        <f>MIN($O17-SUM($BP17:BR17),BS$6*CG17/CG$20)</f>
        <v>0</v>
      </c>
      <c r="BT17" s="78">
        <f>MIN($O17-SUM($BP17:BS17),BT$6*CH17/CH$20)</f>
        <v>0</v>
      </c>
      <c r="BU17" s="78"/>
      <c r="BV17" s="78">
        <f>IF(SUM($BP17:BU17)&lt;$O17,MIN($I17/($I11+$I17)*BV6,$O17-SUM($BP17:BU17)),0)</f>
        <v>28875298.628352739</v>
      </c>
      <c r="BW17" s="78">
        <f>IF(SUM($BP17:BV17)&lt;$O17,MIN($I17/($I11+$I17)*BW6,$O17-SUM($BP17:BV17)),0)</f>
        <v>11538691.04993742</v>
      </c>
      <c r="BX17" s="78">
        <f>IF(SUM($BP17:BW17)&lt;$O17,MIN($I17/($I11+$I17)*BX6,$O17-SUM($BP17:BW17)),0)</f>
        <v>0</v>
      </c>
      <c r="BY17" s="78"/>
      <c r="BZ17" s="78"/>
      <c r="CA17" s="78"/>
      <c r="CB17" s="78"/>
      <c r="CC17" s="79">
        <f t="shared" si="15"/>
        <v>0</v>
      </c>
      <c r="CD17" s="80"/>
      <c r="CE17" s="80"/>
      <c r="CF17" s="80"/>
      <c r="CG17" s="80"/>
      <c r="CH17" s="80"/>
      <c r="CI17" s="80"/>
      <c r="CJ17" s="80"/>
      <c r="CK17" s="80"/>
      <c r="CL17" s="80"/>
      <c r="CM17" s="80">
        <f>IF(SUM($BP17:BX17)&lt;$O17,$H17/SUM($H$38:$H$46),0)</f>
        <v>0</v>
      </c>
      <c r="CN17" s="80">
        <f t="shared" si="17"/>
        <v>0</v>
      </c>
      <c r="CO17" s="80">
        <f t="shared" si="17"/>
        <v>0</v>
      </c>
      <c r="CP17" s="91"/>
      <c r="CR17" s="1" t="s">
        <v>104</v>
      </c>
      <c r="CS17" s="106">
        <f>0.5*2500*P17/Popn!$H$22</f>
        <v>0</v>
      </c>
      <c r="CT17" s="106">
        <f>0.5*2500*Q17/Popn!$H$22</f>
        <v>0</v>
      </c>
      <c r="CU17" s="106">
        <f>0.5*2500*R17/Popn!$H$22</f>
        <v>0</v>
      </c>
      <c r="CV17" s="106">
        <f>0.5*2500*S17/Popn!$H$22</f>
        <v>0</v>
      </c>
      <c r="CW17" s="106">
        <f>0.5*2500*T17/Popn!$H$22</f>
        <v>0</v>
      </c>
      <c r="CX17" s="108">
        <f>0.5*2500*U17/Popn!$H$22</f>
        <v>163.50954750241442</v>
      </c>
      <c r="CY17" s="108">
        <f>0.5*2500*V17/Popn!$H$22</f>
        <v>5.5863819106511263</v>
      </c>
      <c r="CZ17" s="106">
        <f>0.5*2500*W17/Popn!$H$22</f>
        <v>0</v>
      </c>
      <c r="DA17" s="106">
        <f>0.5*2500*X17/Popn!$H$22</f>
        <v>0</v>
      </c>
      <c r="DB17" s="106">
        <f>0.5*2500*Y17/Popn!$H$22</f>
        <v>0</v>
      </c>
      <c r="DC17" s="106">
        <f>0.5*2500*Z17/Popn!$H$22</f>
        <v>0</v>
      </c>
      <c r="DD17" s="106">
        <f>0.5*2500*AA17/Popn!$H$22</f>
        <v>0</v>
      </c>
      <c r="DE17" s="107">
        <f>0.5*2500*AB17/Popn!$H$22</f>
        <v>0</v>
      </c>
      <c r="DF17" s="38">
        <f t="shared" si="19"/>
        <v>169.09592941306553</v>
      </c>
      <c r="DG17" s="116">
        <f>0.5*2500*AP17/Popn!$H$22</f>
        <v>0</v>
      </c>
      <c r="DH17" s="116">
        <f>0.5*2500*AQ17/Popn!$H$22</f>
        <v>0</v>
      </c>
      <c r="DI17" s="116">
        <f>0.5*2500*AR17/Popn!$H$22</f>
        <v>0</v>
      </c>
      <c r="DJ17" s="116">
        <f>0.5*2500*AS17/Popn!$H$22</f>
        <v>0</v>
      </c>
      <c r="DK17" s="116">
        <f>0.5*2500*AT17/Popn!$H$22</f>
        <v>0</v>
      </c>
      <c r="DL17" s="101">
        <f>0.5*2500*AU17/Popn!$H$22</f>
        <v>109.57983146284923</v>
      </c>
      <c r="DM17" s="101">
        <f>0.5*2500*AV17/Popn!$H$22</f>
        <v>87.698752852393895</v>
      </c>
      <c r="DN17" s="116">
        <f>0.5*2500*AW17/Popn!$H$22</f>
        <v>0</v>
      </c>
      <c r="DO17" s="116">
        <f>0.5*2500*AX17/Popn!$H$22</f>
        <v>0</v>
      </c>
      <c r="DP17" s="116">
        <f>0.5*2500*AY17/Popn!$H$22</f>
        <v>0</v>
      </c>
      <c r="DQ17" s="116">
        <f>0.5*2500*AZ17/Popn!$H$22</f>
        <v>0</v>
      </c>
      <c r="DR17" s="116">
        <f>0.5*2500*BA17/Popn!$H$22</f>
        <v>0</v>
      </c>
      <c r="DS17" s="116">
        <f>0.5*2500*BB17/Popn!$H$22</f>
        <v>0</v>
      </c>
      <c r="DT17" s="100">
        <f t="shared" si="20"/>
        <v>197.27858431524311</v>
      </c>
      <c r="DU17" s="118">
        <f>0.5*2500*BP17/Popn!$H$22</f>
        <v>0</v>
      </c>
      <c r="DV17" s="118">
        <f>0.5*2500*BQ17/Popn!$H$22</f>
        <v>0</v>
      </c>
      <c r="DW17" s="118">
        <f>0.5*2500*BR17/Popn!$H$22</f>
        <v>0</v>
      </c>
      <c r="DX17" s="118">
        <f>0.5*2500*BS17/Popn!$H$22</f>
        <v>0</v>
      </c>
      <c r="DY17" s="118">
        <f>0.5*2500*BT17/Popn!$H$22</f>
        <v>0</v>
      </c>
      <c r="DZ17" s="118">
        <f>0.5*2500*BU17/Popn!$H$22</f>
        <v>0</v>
      </c>
      <c r="EA17" s="93">
        <f>0.5*2500*BV17/Popn!$H$22</f>
        <v>161.0892827791937</v>
      </c>
      <c r="EB17" s="93">
        <f>0.5*2500*BW17/Popn!$H$22</f>
        <v>64.371956438227059</v>
      </c>
      <c r="EC17" s="118">
        <f>0.5*2500*BX17/Popn!$H$22</f>
        <v>0</v>
      </c>
      <c r="ED17" s="118">
        <f>0.5*2500*BY17/Popn!$H$22</f>
        <v>0</v>
      </c>
      <c r="EE17" s="118">
        <f>0.5*2500*BZ17/Popn!$H$22</f>
        <v>0</v>
      </c>
      <c r="EF17" s="118">
        <f>0.5*2500*CA17/Popn!$H$22</f>
        <v>0</v>
      </c>
      <c r="EG17" s="118">
        <f>0.5*2500*CB17/Popn!$H$22</f>
        <v>0</v>
      </c>
      <c r="EH17" s="95">
        <f t="shared" si="21"/>
        <v>225.46123921742077</v>
      </c>
    </row>
    <row r="18" spans="2:138" ht="15.75" thickBot="1" x14ac:dyDescent="0.3">
      <c r="B18" s="124"/>
      <c r="E18" s="127"/>
      <c r="G18" s="1" t="s">
        <v>24</v>
      </c>
      <c r="H18" s="48"/>
      <c r="I18" s="50">
        <f t="shared" si="22"/>
        <v>7571946.6732167117</v>
      </c>
      <c r="J18" s="45"/>
      <c r="K18" s="45"/>
      <c r="L18" s="45"/>
      <c r="M18" s="50">
        <f t="shared" si="5"/>
        <v>4846045.8708586963</v>
      </c>
      <c r="N18" s="50">
        <f t="shared" si="5"/>
        <v>5148923.7377873641</v>
      </c>
      <c r="O18" s="50">
        <f t="shared" si="5"/>
        <v>5451801.6047160327</v>
      </c>
      <c r="P18" s="51">
        <f t="shared" si="6"/>
        <v>0</v>
      </c>
      <c r="Q18" s="51">
        <f>MIN($M18-SUM($P18:P18),Q$6*AD18/AD$20)</f>
        <v>0</v>
      </c>
      <c r="R18" s="51">
        <f>MIN($M18-SUM($P18:Q18),R$6*AE18/AE$20)</f>
        <v>0</v>
      </c>
      <c r="S18" s="51">
        <f>MIN($M18-SUM($P18:R18),S$6*AF18/AF$20)</f>
        <v>0</v>
      </c>
      <c r="T18" s="51">
        <f>MIN($M18-SUM($P18:S18),T$6*AG18/AG$20)</f>
        <v>0</v>
      </c>
      <c r="U18" s="51"/>
      <c r="V18" s="51">
        <f>M18/6</f>
        <v>807674.31180978275</v>
      </c>
      <c r="W18" s="51">
        <f>V18</f>
        <v>807674.31180978275</v>
      </c>
      <c r="X18" s="51">
        <f t="shared" ref="X18:AA18" si="31">W18</f>
        <v>807674.31180978275</v>
      </c>
      <c r="Y18" s="51">
        <f t="shared" si="31"/>
        <v>807674.31180978275</v>
      </c>
      <c r="Z18" s="51">
        <f t="shared" si="31"/>
        <v>807674.31180978275</v>
      </c>
      <c r="AA18" s="51">
        <f t="shared" si="31"/>
        <v>807674.31180978275</v>
      </c>
      <c r="AB18" s="53">
        <f t="shared" si="7"/>
        <v>0</v>
      </c>
      <c r="AC18" s="4"/>
      <c r="AD18" s="4"/>
      <c r="AE18" s="4"/>
      <c r="AF18" s="4"/>
      <c r="AG18" s="4"/>
      <c r="AH18" s="4"/>
      <c r="AI18" s="4"/>
      <c r="AJ18" s="4"/>
      <c r="AK18" s="4"/>
      <c r="AL18" s="4">
        <f>IF(SUM($P18:X18)&lt;$M18,$H18/SUM($H$38:$H$46),0)</f>
        <v>0</v>
      </c>
      <c r="AM18" s="4">
        <f t="shared" si="9"/>
        <v>0</v>
      </c>
      <c r="AN18" s="4">
        <f t="shared" si="9"/>
        <v>0</v>
      </c>
      <c r="AP18" s="62">
        <f t="shared" si="10"/>
        <v>0</v>
      </c>
      <c r="AQ18" s="62">
        <f>MIN($N18-SUM($AP18:AP18),AQ$6*BD18/BD$20)</f>
        <v>0</v>
      </c>
      <c r="AR18" s="62">
        <f>MIN($N18-SUM($AP18:AQ18),AR$6*BE18/BE$20)</f>
        <v>0</v>
      </c>
      <c r="AS18" s="62">
        <f>MIN($N18-SUM($AP18:AR18),AS$6*BF18/BF$20)</f>
        <v>0</v>
      </c>
      <c r="AT18" s="62">
        <f>MIN($N18-SUM($AP18:AS18),AT$6*BG18/BG$20)</f>
        <v>0</v>
      </c>
      <c r="AU18" s="62"/>
      <c r="AV18" s="51">
        <f>$N18/6</f>
        <v>858153.95629789401</v>
      </c>
      <c r="AW18" s="51">
        <f t="shared" ref="AW18:BA19" si="32">$N18/6</f>
        <v>858153.95629789401</v>
      </c>
      <c r="AX18" s="51">
        <f t="shared" si="32"/>
        <v>858153.95629789401</v>
      </c>
      <c r="AY18" s="51">
        <f t="shared" si="32"/>
        <v>858153.95629789401</v>
      </c>
      <c r="AZ18" s="51">
        <f t="shared" si="32"/>
        <v>858153.95629789401</v>
      </c>
      <c r="BA18" s="51">
        <f t="shared" si="32"/>
        <v>858153.95629789401</v>
      </c>
      <c r="BB18" s="63">
        <f t="shared" si="11"/>
        <v>0</v>
      </c>
      <c r="BC18" s="64"/>
      <c r="BD18" s="64"/>
      <c r="BE18" s="64"/>
      <c r="BF18" s="64"/>
      <c r="BG18" s="64"/>
      <c r="BH18" s="64"/>
      <c r="BI18" s="64"/>
      <c r="BJ18" s="64"/>
      <c r="BK18" s="64"/>
      <c r="BL18" s="64">
        <f>IF(SUM($AP18:AX18)&lt;$N18,$H18/SUM($H$38:$H$46),0)</f>
        <v>0</v>
      </c>
      <c r="BM18" s="64">
        <f t="shared" si="13"/>
        <v>0</v>
      </c>
      <c r="BN18" s="64">
        <f t="shared" si="13"/>
        <v>0</v>
      </c>
      <c r="BP18" s="78">
        <f t="shared" si="14"/>
        <v>0</v>
      </c>
      <c r="BQ18" s="78">
        <f>MIN($O18-SUM($BP18:BP18),BQ$6*CE18/CE$20)</f>
        <v>0</v>
      </c>
      <c r="BR18" s="78">
        <f>MIN($O18-SUM($BP18:BQ18),BR$6*CF18/CF$20)</f>
        <v>0</v>
      </c>
      <c r="BS18" s="78">
        <f>MIN($O18-SUM($BP18:BR18),BS$6*CG18/CG$20)</f>
        <v>0</v>
      </c>
      <c r="BT18" s="78">
        <f>MIN($O18-SUM($BP18:BS18),BT$6*CH18/CH$20)</f>
        <v>0</v>
      </c>
      <c r="BU18" s="78"/>
      <c r="BV18" s="78"/>
      <c r="BW18" s="51">
        <f>$O18/6</f>
        <v>908633.6007860055</v>
      </c>
      <c r="BX18" s="51">
        <f t="shared" ref="BX18:CB19" si="33">$O18/6</f>
        <v>908633.6007860055</v>
      </c>
      <c r="BY18" s="51">
        <f t="shared" si="33"/>
        <v>908633.6007860055</v>
      </c>
      <c r="BZ18" s="51">
        <f t="shared" si="33"/>
        <v>908633.6007860055</v>
      </c>
      <c r="CA18" s="51">
        <f t="shared" si="33"/>
        <v>908633.6007860055</v>
      </c>
      <c r="CB18" s="51">
        <f t="shared" si="33"/>
        <v>908633.6007860055</v>
      </c>
      <c r="CC18" s="79">
        <f t="shared" si="15"/>
        <v>0</v>
      </c>
      <c r="CD18" s="80"/>
      <c r="CE18" s="80"/>
      <c r="CF18" s="80"/>
      <c r="CG18" s="80"/>
      <c r="CH18" s="80"/>
      <c r="CI18" s="80"/>
      <c r="CJ18" s="80"/>
      <c r="CK18" s="80"/>
      <c r="CL18" s="80"/>
      <c r="CM18" s="80">
        <f>IF(SUM($BP18:BX18)&lt;$O18,$H18/SUM($H$38:$H$46),0)</f>
        <v>0</v>
      </c>
      <c r="CN18" s="80">
        <f t="shared" si="17"/>
        <v>0</v>
      </c>
      <c r="CO18" s="80">
        <f t="shared" si="17"/>
        <v>0</v>
      </c>
      <c r="CP18" s="91"/>
      <c r="CR18" s="1" t="s">
        <v>105</v>
      </c>
      <c r="CS18" s="106">
        <f>2500*P18/Popn!$H$22</f>
        <v>0</v>
      </c>
      <c r="CT18" s="106">
        <f>2500*Q18/Popn!$H$22</f>
        <v>0</v>
      </c>
      <c r="CU18" s="106">
        <f>2500*R18/Popn!$H$22</f>
        <v>0</v>
      </c>
      <c r="CV18" s="106">
        <f>2500*S18/Popn!$H$22</f>
        <v>0</v>
      </c>
      <c r="CW18" s="106">
        <f>2500*T18/Popn!$H$22</f>
        <v>0</v>
      </c>
      <c r="CX18" s="106">
        <f>2500*U18/Popn!$H$22</f>
        <v>0</v>
      </c>
      <c r="CY18" s="109">
        <f>2500*V18/Popn!$H$22</f>
        <v>9.011693855236091</v>
      </c>
      <c r="CZ18" s="109">
        <f>2500*W18/Popn!$H$22</f>
        <v>9.011693855236091</v>
      </c>
      <c r="DA18" s="109">
        <f>2500*X18/Popn!$H$22</f>
        <v>9.011693855236091</v>
      </c>
      <c r="DB18" s="109">
        <f>2500*Y18/Popn!$H$22</f>
        <v>9.011693855236091</v>
      </c>
      <c r="DC18" s="109">
        <f>2500*Z18/Popn!$H$22</f>
        <v>9.011693855236091</v>
      </c>
      <c r="DD18" s="109">
        <f>2500*AA18/Popn!$H$22</f>
        <v>9.011693855236091</v>
      </c>
      <c r="DE18" s="107">
        <f>2500*AB18/Popn!$H$22</f>
        <v>0</v>
      </c>
      <c r="DF18" s="38">
        <f t="shared" si="19"/>
        <v>54.070163131416543</v>
      </c>
      <c r="DG18" s="116">
        <f>2500*AP18/Popn!$H$22</f>
        <v>0</v>
      </c>
      <c r="DH18" s="116">
        <f>2500*AQ18/Popn!$H$22</f>
        <v>0</v>
      </c>
      <c r="DI18" s="116">
        <f>2500*AR18/Popn!$H$22</f>
        <v>0</v>
      </c>
      <c r="DJ18" s="116">
        <f>2500*AS18/Popn!$H$22</f>
        <v>0</v>
      </c>
      <c r="DK18" s="116">
        <f>2500*AT18/Popn!$H$22</f>
        <v>0</v>
      </c>
      <c r="DL18" s="116">
        <f>2500*AU18/Popn!$H$22</f>
        <v>0</v>
      </c>
      <c r="DM18" s="102">
        <f>2500*AV18/Popn!$H$22</f>
        <v>9.5749247211883439</v>
      </c>
      <c r="DN18" s="102">
        <f>2500*AW18/Popn!$H$22</f>
        <v>9.5749247211883439</v>
      </c>
      <c r="DO18" s="102">
        <f>2500*AX18/Popn!$H$22</f>
        <v>9.5749247211883439</v>
      </c>
      <c r="DP18" s="102">
        <f>2500*AY18/Popn!$H$22</f>
        <v>9.5749247211883439</v>
      </c>
      <c r="DQ18" s="102">
        <f>2500*AZ18/Popn!$H$22</f>
        <v>9.5749247211883439</v>
      </c>
      <c r="DR18" s="102">
        <f>2500*BA18/Popn!$H$22</f>
        <v>9.5749247211883439</v>
      </c>
      <c r="DS18" s="116">
        <f>2500*BB18/Popn!$H$22</f>
        <v>0</v>
      </c>
      <c r="DT18" s="100">
        <f t="shared" si="20"/>
        <v>57.449548327130067</v>
      </c>
      <c r="DU18" s="118">
        <f>2500*BP18/Popn!$H$22</f>
        <v>0</v>
      </c>
      <c r="DV18" s="118">
        <f>2500*BQ18/Popn!$H$22</f>
        <v>0</v>
      </c>
      <c r="DW18" s="118">
        <f>2500*BR18/Popn!$H$22</f>
        <v>0</v>
      </c>
      <c r="DX18" s="118">
        <f>2500*BS18/Popn!$H$22</f>
        <v>0</v>
      </c>
      <c r="DY18" s="118">
        <f>2500*BT18/Popn!$H$22</f>
        <v>0</v>
      </c>
      <c r="DZ18" s="118">
        <f>2500*BU18/Popn!$H$22</f>
        <v>0</v>
      </c>
      <c r="EA18" s="118">
        <f>2500*BV18/Popn!$H$22</f>
        <v>0</v>
      </c>
      <c r="EB18" s="94">
        <f>2500*BW18/Popn!$H$22</f>
        <v>10.138155587140599</v>
      </c>
      <c r="EC18" s="94">
        <f>2500*BX18/Popn!$H$22</f>
        <v>10.138155587140599</v>
      </c>
      <c r="ED18" s="94">
        <f>2500*BY18/Popn!$H$22</f>
        <v>10.138155587140599</v>
      </c>
      <c r="EE18" s="94">
        <f>2500*BZ18/Popn!$H$22</f>
        <v>10.138155587140599</v>
      </c>
      <c r="EF18" s="94">
        <f>2500*CA18/Popn!$H$22</f>
        <v>10.138155587140599</v>
      </c>
      <c r="EG18" s="94">
        <f>2500*CB18/Popn!$H$22</f>
        <v>10.138155587140599</v>
      </c>
      <c r="EH18" s="95">
        <f t="shared" si="21"/>
        <v>60.828933522843599</v>
      </c>
    </row>
    <row r="19" spans="2:138" x14ac:dyDescent="0.25">
      <c r="B19" s="124"/>
      <c r="E19" s="128"/>
      <c r="G19" t="s">
        <v>55</v>
      </c>
      <c r="H19" s="48"/>
      <c r="I19" s="50">
        <f t="shared" si="22"/>
        <v>69341097.740274146</v>
      </c>
      <c r="J19" s="45"/>
      <c r="K19" s="45"/>
      <c r="L19" s="45"/>
      <c r="M19" s="50">
        <f t="shared" si="5"/>
        <v>32340851.97385015</v>
      </c>
      <c r="N19" s="50">
        <f t="shared" si="5"/>
        <v>38123858.528442435</v>
      </c>
      <c r="O19" s="50">
        <f t="shared" si="5"/>
        <v>43906865.083034739</v>
      </c>
      <c r="P19" s="51">
        <f t="shared" si="6"/>
        <v>0</v>
      </c>
      <c r="Q19" s="51">
        <f>MIN($M19-SUM($P19:P19),Q$6*AD19/AD$20)</f>
        <v>0</v>
      </c>
      <c r="R19" s="51">
        <f>MIN($M19-SUM($P19:Q19),R$6*AE19/AE$20)</f>
        <v>0</v>
      </c>
      <c r="S19" s="51">
        <f>MIN($M19-SUM($P19:R19),S$6*AF19/AF$20)</f>
        <v>0</v>
      </c>
      <c r="T19" s="51">
        <f>MIN($M19-SUM($P19:S19),T$6*AG19/AG$20)</f>
        <v>0</v>
      </c>
      <c r="U19" s="51"/>
      <c r="V19" s="51">
        <f>M19/6</f>
        <v>5390141.9956416916</v>
      </c>
      <c r="W19" s="51">
        <f>V19</f>
        <v>5390141.9956416916</v>
      </c>
      <c r="X19" s="51">
        <f t="shared" ref="X19:AA19" si="34">W19</f>
        <v>5390141.9956416916</v>
      </c>
      <c r="Y19" s="51">
        <f t="shared" si="34"/>
        <v>5390141.9956416916</v>
      </c>
      <c r="Z19" s="51">
        <f t="shared" si="34"/>
        <v>5390141.9956416916</v>
      </c>
      <c r="AA19" s="51">
        <f t="shared" si="34"/>
        <v>5390141.9956416916</v>
      </c>
      <c r="AB19" s="53">
        <f t="shared" si="7"/>
        <v>0</v>
      </c>
      <c r="AC19" s="4"/>
      <c r="AD19" s="4"/>
      <c r="AE19" s="4"/>
      <c r="AF19" s="4"/>
      <c r="AG19" s="4"/>
      <c r="AH19" s="4"/>
      <c r="AI19" s="4"/>
      <c r="AJ19" s="4"/>
      <c r="AK19" s="4"/>
      <c r="AL19" s="4">
        <f>IF(SUM($P19:X19)&lt;$M19,$H19/SUM($H$38:$H$46),0)</f>
        <v>0</v>
      </c>
      <c r="AM19" s="4">
        <f t="shared" si="9"/>
        <v>0</v>
      </c>
      <c r="AN19" s="4">
        <f t="shared" si="9"/>
        <v>0</v>
      </c>
      <c r="AP19" s="62">
        <f t="shared" si="10"/>
        <v>0</v>
      </c>
      <c r="AQ19" s="62">
        <f>MIN($N19-SUM($AP19:AP19),AQ$6*BD19/BD$20)</f>
        <v>0</v>
      </c>
      <c r="AR19" s="62">
        <f>MIN($N19-SUM($AP19:AQ19),AR$6*BE19/BE$20)</f>
        <v>0</v>
      </c>
      <c r="AS19" s="62">
        <f>MIN($N19-SUM($AP19:AR19),AS$6*BF19/BF$20)</f>
        <v>0</v>
      </c>
      <c r="AT19" s="62">
        <f>MIN($N19-SUM($AP19:AS19),AT$6*BG19/BG$20)</f>
        <v>0</v>
      </c>
      <c r="AU19" s="62"/>
      <c r="AV19" s="51">
        <f>$N19/6</f>
        <v>6353976.4214070728</v>
      </c>
      <c r="AW19" s="51">
        <f t="shared" si="32"/>
        <v>6353976.4214070728</v>
      </c>
      <c r="AX19" s="51">
        <f t="shared" si="32"/>
        <v>6353976.4214070728</v>
      </c>
      <c r="AY19" s="51">
        <f t="shared" si="32"/>
        <v>6353976.4214070728</v>
      </c>
      <c r="AZ19" s="51">
        <f t="shared" si="32"/>
        <v>6353976.4214070728</v>
      </c>
      <c r="BA19" s="51">
        <f t="shared" si="32"/>
        <v>6353976.4214070728</v>
      </c>
      <c r="BB19" s="63">
        <f t="shared" si="11"/>
        <v>0</v>
      </c>
      <c r="BC19" s="64"/>
      <c r="BD19" s="64"/>
      <c r="BE19" s="64"/>
      <c r="BF19" s="64"/>
      <c r="BG19" s="64"/>
      <c r="BH19" s="64"/>
      <c r="BI19" s="64"/>
      <c r="BJ19" s="64"/>
      <c r="BK19" s="64"/>
      <c r="BL19" s="64">
        <f>IF(SUM($AP19:AX19)&lt;$N19,$H19/SUM($H$38:$H$46),0)</f>
        <v>0</v>
      </c>
      <c r="BM19" s="64">
        <f t="shared" si="13"/>
        <v>0</v>
      </c>
      <c r="BN19" s="64">
        <f t="shared" si="13"/>
        <v>0</v>
      </c>
      <c r="BP19" s="78">
        <f t="shared" si="14"/>
        <v>0</v>
      </c>
      <c r="BQ19" s="78">
        <f>MIN($O19-SUM($BP19:BP19),BQ$6*CE19/CE$20)</f>
        <v>0</v>
      </c>
      <c r="BR19" s="78">
        <f>MIN($O19-SUM($BP19:BQ19),BR$6*CF19/CF$20)</f>
        <v>0</v>
      </c>
      <c r="BS19" s="78">
        <f>MIN($O19-SUM($BP19:BR19),BS$6*CG19/CG$20)</f>
        <v>0</v>
      </c>
      <c r="BT19" s="78">
        <f>MIN($O19-SUM($BP19:BS19),BT$6*CH19/CH$20)</f>
        <v>0</v>
      </c>
      <c r="BU19" s="78"/>
      <c r="BV19" s="78"/>
      <c r="BW19" s="51">
        <f>$O19/6</f>
        <v>7317810.8471724568</v>
      </c>
      <c r="BX19" s="51">
        <f t="shared" si="33"/>
        <v>7317810.8471724568</v>
      </c>
      <c r="BY19" s="51">
        <f t="shared" si="33"/>
        <v>7317810.8471724568</v>
      </c>
      <c r="BZ19" s="51">
        <f t="shared" si="33"/>
        <v>7317810.8471724568</v>
      </c>
      <c r="CA19" s="51">
        <f t="shared" si="33"/>
        <v>7317810.8471724568</v>
      </c>
      <c r="CB19" s="51">
        <f t="shared" si="33"/>
        <v>7317810.8471724568</v>
      </c>
      <c r="CC19" s="79">
        <f t="shared" si="15"/>
        <v>0</v>
      </c>
      <c r="CD19" s="80"/>
      <c r="CE19" s="80"/>
      <c r="CF19" s="80"/>
      <c r="CG19" s="80"/>
      <c r="CH19" s="80"/>
      <c r="CI19" s="80"/>
      <c r="CJ19" s="80"/>
      <c r="CK19" s="80"/>
      <c r="CL19" s="80"/>
      <c r="CM19" s="80">
        <f>IF(SUM($BP19:BX19)&lt;$O19,$H19/SUM($H$38:$H$46),0)</f>
        <v>0</v>
      </c>
      <c r="CN19" s="80">
        <f t="shared" si="17"/>
        <v>0</v>
      </c>
      <c r="CO19" s="80">
        <f t="shared" si="17"/>
        <v>0</v>
      </c>
      <c r="CP19" s="91"/>
      <c r="CR19" t="s">
        <v>106</v>
      </c>
      <c r="CS19" s="106">
        <f>2500*P19/Popn!$H$22</f>
        <v>0</v>
      </c>
      <c r="CT19" s="106">
        <f>2500*Q19/Popn!$H$22</f>
        <v>0</v>
      </c>
      <c r="CU19" s="106">
        <f>2500*R19/Popn!$H$22</f>
        <v>0</v>
      </c>
      <c r="CV19" s="106">
        <f>2500*S19/Popn!$H$22</f>
        <v>0</v>
      </c>
      <c r="CW19" s="106">
        <f>2500*T19/Popn!$H$22</f>
        <v>0</v>
      </c>
      <c r="CX19" s="106">
        <f>2500*U19/Popn!$H$22</f>
        <v>0</v>
      </c>
      <c r="CY19" s="109">
        <f>2500*V19/Popn!$H$22</f>
        <v>60.14096126461191</v>
      </c>
      <c r="CZ19" s="109">
        <f>2500*W19/Popn!$H$22</f>
        <v>60.14096126461191</v>
      </c>
      <c r="DA19" s="109">
        <f>2500*X19/Popn!$H$22</f>
        <v>60.14096126461191</v>
      </c>
      <c r="DB19" s="109">
        <f>2500*Y19/Popn!$H$22</f>
        <v>60.14096126461191</v>
      </c>
      <c r="DC19" s="109">
        <f>2500*Z19/Popn!$H$22</f>
        <v>60.14096126461191</v>
      </c>
      <c r="DD19" s="109">
        <f>2500*AA19/Popn!$H$22</f>
        <v>60.14096126461191</v>
      </c>
      <c r="DE19" s="107">
        <f>2500*AB19/Popn!$H$22</f>
        <v>0</v>
      </c>
      <c r="DF19" s="38">
        <f t="shared" si="19"/>
        <v>360.84576758767145</v>
      </c>
      <c r="DG19" s="116">
        <f>2500*AP19/Popn!$H$22</f>
        <v>0</v>
      </c>
      <c r="DH19" s="116">
        <f>2500*AQ19/Popn!$H$22</f>
        <v>0</v>
      </c>
      <c r="DI19" s="116">
        <f>2500*AR19/Popn!$H$22</f>
        <v>0</v>
      </c>
      <c r="DJ19" s="116">
        <f>2500*AS19/Popn!$H$22</f>
        <v>0</v>
      </c>
      <c r="DK19" s="116">
        <f>2500*AT19/Popn!$H$22</f>
        <v>0</v>
      </c>
      <c r="DL19" s="116">
        <f>2500*AU19/Popn!$H$22</f>
        <v>0</v>
      </c>
      <c r="DM19" s="102">
        <f>2500*AV19/Popn!$H$22</f>
        <v>70.895024684893741</v>
      </c>
      <c r="DN19" s="102">
        <f>2500*AW19/Popn!$H$22</f>
        <v>70.895024684893741</v>
      </c>
      <c r="DO19" s="102">
        <f>2500*AX19/Popn!$H$22</f>
        <v>70.895024684893741</v>
      </c>
      <c r="DP19" s="102">
        <f>2500*AY19/Popn!$H$22</f>
        <v>70.895024684893741</v>
      </c>
      <c r="DQ19" s="102">
        <f>2500*AZ19/Popn!$H$22</f>
        <v>70.895024684893741</v>
      </c>
      <c r="DR19" s="102">
        <f>2500*BA19/Popn!$H$22</f>
        <v>70.895024684893741</v>
      </c>
      <c r="DS19" s="116">
        <f>2500*BB19/Popn!$H$22</f>
        <v>0</v>
      </c>
      <c r="DT19" s="100">
        <f t="shared" si="20"/>
        <v>425.3701481093625</v>
      </c>
      <c r="DU19" s="118">
        <f>2500*BP19/Popn!$H$22</f>
        <v>0</v>
      </c>
      <c r="DV19" s="118">
        <f>2500*BQ19/Popn!$H$22</f>
        <v>0</v>
      </c>
      <c r="DW19" s="118">
        <f>2500*BR19/Popn!$H$22</f>
        <v>0</v>
      </c>
      <c r="DX19" s="118">
        <f>2500*BS19/Popn!$H$22</f>
        <v>0</v>
      </c>
      <c r="DY19" s="118">
        <f>2500*BT19/Popn!$H$22</f>
        <v>0</v>
      </c>
      <c r="DZ19" s="118">
        <f>2500*BU19/Popn!$H$22</f>
        <v>0</v>
      </c>
      <c r="EA19" s="118">
        <f>2500*BV19/Popn!$H$22</f>
        <v>0</v>
      </c>
      <c r="EB19" s="94">
        <f>2500*BW19/Popn!$H$22</f>
        <v>81.649088105175608</v>
      </c>
      <c r="EC19" s="94">
        <f>2500*BX19/Popn!$H$22</f>
        <v>81.649088105175608</v>
      </c>
      <c r="ED19" s="94">
        <f>2500*BY19/Popn!$H$22</f>
        <v>81.649088105175608</v>
      </c>
      <c r="EE19" s="94">
        <f>2500*BZ19/Popn!$H$22</f>
        <v>81.649088105175608</v>
      </c>
      <c r="EF19" s="94">
        <f>2500*CA19/Popn!$H$22</f>
        <v>81.649088105175608</v>
      </c>
      <c r="EG19" s="94">
        <f>2500*CB19/Popn!$H$22</f>
        <v>81.649088105175608</v>
      </c>
      <c r="EH19" s="95">
        <f t="shared" si="21"/>
        <v>489.89452863105367</v>
      </c>
    </row>
    <row r="20" spans="2:138" x14ac:dyDescent="0.25">
      <c r="B20" s="124"/>
      <c r="H20" s="1"/>
      <c r="I20" s="1"/>
      <c r="J20" s="1"/>
      <c r="K20" s="1"/>
      <c r="L20" s="1"/>
      <c r="M20" s="1"/>
      <c r="N20" s="1"/>
      <c r="O20" s="1"/>
      <c r="P20" s="52">
        <f>P6-SUM(P8:P19)</f>
        <v>0</v>
      </c>
      <c r="Q20" s="52">
        <f t="shared" ref="Q20" si="35">Q6-SUM(Q8:Q19)</f>
        <v>0</v>
      </c>
      <c r="R20" s="52">
        <f t="shared" ref="R20" si="36">R6-SUM(R8:R19)</f>
        <v>0</v>
      </c>
      <c r="S20" s="52">
        <f t="shared" ref="S20" si="37">S6-SUM(S8:S19)</f>
        <v>0</v>
      </c>
      <c r="T20" s="52">
        <f t="shared" ref="T20" si="38">T6-SUM(T8:T19)</f>
        <v>16522431.351479074</v>
      </c>
      <c r="U20" s="52">
        <f t="shared" ref="U20" si="39">U6-SUM(U8:U19)</f>
        <v>0</v>
      </c>
      <c r="V20" s="52">
        <f t="shared" ref="V20" si="40">V6-SUM(V8:V19)</f>
        <v>18572735.21470274</v>
      </c>
      <c r="W20" s="52">
        <f t="shared" ref="W20" si="41">W6-SUM(W8:W19)</f>
        <v>38734931.552081354</v>
      </c>
      <c r="X20" s="52">
        <f t="shared" ref="X20" si="42">X6-SUM(X8:X19)</f>
        <v>58897127.88945996</v>
      </c>
      <c r="Y20" s="52">
        <f t="shared" ref="Y20" si="43">Y6-SUM(Y8:Y19)</f>
        <v>79059324.226838589</v>
      </c>
      <c r="Z20" s="52">
        <f t="shared" ref="Z20" si="44">Z6-SUM(Z8:Z19)</f>
        <v>99221520.56421721</v>
      </c>
      <c r="AA20" s="52">
        <f t="shared" ref="AA20" si="45">AA6-SUM(AA8:AA19)</f>
        <v>119383716.90159583</v>
      </c>
      <c r="AC20" s="2">
        <f>SUM(AC8:AC19)</f>
        <v>0.99999999999999989</v>
      </c>
      <c r="AD20" s="2">
        <f t="shared" ref="AD20" si="46">SUM(AD8:AD19)</f>
        <v>0.99999999999999989</v>
      </c>
      <c r="AE20" s="2">
        <f t="shared" ref="AE20" si="47">SUM(AE8:AE19)</f>
        <v>0.99999999999999989</v>
      </c>
      <c r="AF20" s="2">
        <f t="shared" ref="AF20" si="48">SUM(AF8:AF19)</f>
        <v>0.99999999999999989</v>
      </c>
      <c r="AG20" s="2">
        <f t="shared" ref="AG20" si="49">SUM(AG8:AG19)</f>
        <v>0.99999999999999989</v>
      </c>
      <c r="AH20" s="2">
        <f t="shared" ref="AH20" si="50">SUM(AH8:AH19)</f>
        <v>0.99999999999999989</v>
      </c>
      <c r="AI20" s="2">
        <f t="shared" ref="AI20" si="51">SUM(AI8:AI19)</f>
        <v>0.99999999999999989</v>
      </c>
      <c r="AJ20" s="2">
        <f t="shared" ref="AJ20" si="52">SUM(AJ8:AJ19)</f>
        <v>0.99999999999999989</v>
      </c>
      <c r="AK20" s="2">
        <f t="shared" ref="AK20" si="53">SUM(AK8:AK19)</f>
        <v>0.99999999999999989</v>
      </c>
      <c r="AL20" s="2">
        <f t="shared" ref="AL20" si="54">SUM(AL8:AL19)</f>
        <v>0</v>
      </c>
      <c r="AM20" s="2">
        <f t="shared" ref="AM20" si="55">SUM(AM8:AM19)</f>
        <v>1</v>
      </c>
      <c r="AN20" s="2">
        <f t="shared" ref="AN20" si="56">SUM(AN8:AN19)</f>
        <v>1</v>
      </c>
      <c r="AP20" s="70">
        <f>AP6-SUM(AP8:AP19)</f>
        <v>0</v>
      </c>
      <c r="AQ20" s="70">
        <f t="shared" ref="AQ20" si="57">AQ6-SUM(AQ8:AQ19)</f>
        <v>0</v>
      </c>
      <c r="AR20" s="70">
        <f t="shared" ref="AR20" si="58">AR6-SUM(AR8:AR19)</f>
        <v>0</v>
      </c>
      <c r="AS20" s="70">
        <f t="shared" ref="AS20" si="59">AS6-SUM(AS8:AS19)</f>
        <v>0</v>
      </c>
      <c r="AT20" s="70">
        <f t="shared" ref="AT20" si="60">AT6-SUM(AT8:AT19)</f>
        <v>1178119.3490354046</v>
      </c>
      <c r="AU20" s="70">
        <f t="shared" ref="AU20" si="61">AU6-SUM(AU8:AU19)</f>
        <v>0</v>
      </c>
      <c r="AV20" s="70">
        <f t="shared" ref="AV20" si="62">AV6-SUM(AV8:AV19)</f>
        <v>-6400247.8671691194</v>
      </c>
      <c r="AW20" s="70">
        <f t="shared" ref="AW20" si="63">AW6-SUM(AW8:AW19)</f>
        <v>12151926.13647379</v>
      </c>
      <c r="AX20" s="70">
        <f t="shared" ref="AX20" si="64">AX6-SUM(AX8:AX19)</f>
        <v>30704100.140116699</v>
      </c>
      <c r="AY20" s="70">
        <f t="shared" ref="AY20" si="65">AY6-SUM(AY8:AY19)</f>
        <v>49256274.143759608</v>
      </c>
      <c r="AZ20" s="70">
        <f t="shared" ref="AZ20" si="66">AZ6-SUM(AZ8:AZ19)</f>
        <v>67808448.147402525</v>
      </c>
      <c r="BA20" s="70">
        <f t="shared" ref="BA20" si="67">BA6-SUM(BA8:BA19)</f>
        <v>86360622.151045442</v>
      </c>
      <c r="BB20" s="59"/>
      <c r="BC20" s="71">
        <f>SUM(BC8:BC19)</f>
        <v>0.99999999999999989</v>
      </c>
      <c r="BD20" s="71">
        <f t="shared" ref="BD20" si="68">SUM(BD8:BD19)</f>
        <v>0.99999999999999989</v>
      </c>
      <c r="BE20" s="71">
        <f t="shared" ref="BE20" si="69">SUM(BE8:BE19)</f>
        <v>0.99999999999999989</v>
      </c>
      <c r="BF20" s="71">
        <f t="shared" ref="BF20" si="70">SUM(BF8:BF19)</f>
        <v>0.99999999999999989</v>
      </c>
      <c r="BG20" s="71">
        <f t="shared" ref="BG20" si="71">SUM(BG8:BG19)</f>
        <v>0.99999999999999989</v>
      </c>
      <c r="BH20" s="71">
        <f t="shared" ref="BH20" si="72">SUM(BH8:BH19)</f>
        <v>0.99999999999999989</v>
      </c>
      <c r="BI20" s="71">
        <f t="shared" ref="BI20" si="73">SUM(BI8:BI19)</f>
        <v>0.99999999999999989</v>
      </c>
      <c r="BJ20" s="71">
        <f t="shared" ref="BJ20" si="74">SUM(BJ8:BJ19)</f>
        <v>0.99999999999999989</v>
      </c>
      <c r="BK20" s="71">
        <f t="shared" ref="BK20" si="75">SUM(BK8:BK19)</f>
        <v>0.99999999999999989</v>
      </c>
      <c r="BL20" s="71">
        <f t="shared" ref="BL20" si="76">SUM(BL8:BL19)</f>
        <v>0</v>
      </c>
      <c r="BM20" s="71">
        <f t="shared" ref="BM20" si="77">SUM(BM8:BM19)</f>
        <v>1</v>
      </c>
      <c r="BN20" s="71">
        <f t="shared" ref="BN20" si="78">SUM(BN8:BN19)</f>
        <v>1</v>
      </c>
      <c r="BP20" s="86">
        <f>BP6-SUM(BP8:BP19)</f>
        <v>0</v>
      </c>
      <c r="BQ20" s="86">
        <f t="shared" ref="BQ20" si="79">BQ6-SUM(BQ8:BQ19)</f>
        <v>0</v>
      </c>
      <c r="BR20" s="86">
        <f t="shared" ref="BR20" si="80">BR6-SUM(BR8:BR19)</f>
        <v>0</v>
      </c>
      <c r="BS20" s="86">
        <f t="shared" ref="BS20" si="81">BS6-SUM(BS8:BS19)</f>
        <v>0</v>
      </c>
      <c r="BT20" s="86">
        <f t="shared" ref="BT20" si="82">BT6-SUM(BT8:BT19)</f>
        <v>0</v>
      </c>
      <c r="BU20" s="86">
        <f t="shared" ref="BU20" si="83">BU6-SUM(BU8:BU19)</f>
        <v>15833807.346591653</v>
      </c>
      <c r="BV20" s="86">
        <f t="shared" ref="BV20" si="84">BV6-SUM(BV8:BV19)</f>
        <v>0</v>
      </c>
      <c r="BW20" s="86">
        <f t="shared" ref="BW20" si="85">BW6-SUM(BW8:BW19)</f>
        <v>-1373230.949041076</v>
      </c>
      <c r="BX20" s="86">
        <f t="shared" ref="BX20" si="86">BX6-SUM(BX8:BX19)</f>
        <v>15568920.720866129</v>
      </c>
      <c r="BY20" s="86">
        <f t="shared" ref="BY20" si="87">BY6-SUM(BY8:BY19)</f>
        <v>32511072.390773334</v>
      </c>
      <c r="BZ20" s="86">
        <f t="shared" ref="BZ20" si="88">BZ6-SUM(BZ8:BZ19)</f>
        <v>49453224.060680538</v>
      </c>
      <c r="CA20" s="86">
        <f t="shared" ref="CA20:CB20" si="89">CA6-SUM(CA8:CA19)</f>
        <v>66395375.730587743</v>
      </c>
      <c r="CB20" s="86">
        <f t="shared" si="89"/>
        <v>83337527.400494963</v>
      </c>
      <c r="CC20" s="77"/>
      <c r="CD20" s="87">
        <f>SUM(CD8:CD19)</f>
        <v>1.0000000000000002</v>
      </c>
      <c r="CE20" s="87">
        <f t="shared" ref="CE20" si="90">SUM(CE8:CE19)</f>
        <v>1.0000000000000002</v>
      </c>
      <c r="CF20" s="87">
        <f t="shared" ref="CF20" si="91">SUM(CF8:CF19)</f>
        <v>1.0000000000000002</v>
      </c>
      <c r="CG20" s="87">
        <f t="shared" ref="CG20" si="92">SUM(CG8:CG19)</f>
        <v>1.0000000000000002</v>
      </c>
      <c r="CH20" s="87">
        <f t="shared" ref="CH20" si="93">SUM(CH8:CH19)</f>
        <v>1.0000000000000002</v>
      </c>
      <c r="CI20" s="87">
        <f t="shared" ref="CI20" si="94">SUM(CI8:CI19)</f>
        <v>1.0000000000000002</v>
      </c>
      <c r="CJ20" s="87">
        <f t="shared" ref="CJ20" si="95">SUM(CJ8:CJ19)</f>
        <v>1.0000000000000002</v>
      </c>
      <c r="CK20" s="87">
        <f t="shared" ref="CK20" si="96">SUM(CK8:CK19)</f>
        <v>1.0000000000000002</v>
      </c>
      <c r="CL20" s="87">
        <f t="shared" ref="CL20" si="97">SUM(CL8:CL19)</f>
        <v>1.0000000000000002</v>
      </c>
      <c r="CM20" s="87">
        <f t="shared" ref="CM20" si="98">SUM(CM8:CM19)</f>
        <v>0</v>
      </c>
      <c r="CN20" s="87">
        <f t="shared" ref="CN20" si="99">SUM(CN8:CN19)</f>
        <v>1</v>
      </c>
      <c r="CO20" s="87">
        <f t="shared" ref="CO20" si="100">SUM(CO8:CO19)</f>
        <v>1</v>
      </c>
      <c r="CP20" s="87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38">
        <f>SUM(CS8:DD19)</f>
        <v>1671.6465345479337</v>
      </c>
      <c r="DG20" s="103"/>
      <c r="DH20" s="103"/>
      <c r="DI20" s="103"/>
      <c r="DJ20" s="103"/>
      <c r="DK20" s="103"/>
      <c r="DL20" s="103"/>
      <c r="DM20" s="103"/>
      <c r="DN20" s="103"/>
      <c r="DO20" s="103"/>
      <c r="DP20" s="103"/>
      <c r="DQ20" s="103"/>
      <c r="DR20" s="103"/>
      <c r="DS20" s="103"/>
      <c r="DT20" s="100">
        <f>SUM(DG8:DR19)</f>
        <v>1909.7673863878508</v>
      </c>
      <c r="DU20" s="86"/>
      <c r="DV20" s="86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95">
        <f>SUM(DU8:EG19)</f>
        <v>2147.888238227767</v>
      </c>
    </row>
    <row r="21" spans="2:138" x14ac:dyDescent="0.25">
      <c r="B21" s="26"/>
      <c r="H21" s="1"/>
      <c r="I21" s="1"/>
      <c r="J21" s="1"/>
      <c r="K21" s="1"/>
      <c r="L21" s="1"/>
      <c r="M21" s="1"/>
      <c r="N21" s="1"/>
      <c r="O21" s="1"/>
      <c r="P21" s="54">
        <f>1000000*30</f>
        <v>30000000</v>
      </c>
      <c r="Q21" s="55">
        <f>30000000+P35</f>
        <v>30000000</v>
      </c>
      <c r="R21" s="55">
        <f t="shared" ref="R21:U21" si="101">30000000+Q35</f>
        <v>30000000</v>
      </c>
      <c r="S21" s="55">
        <f t="shared" si="101"/>
        <v>30000000</v>
      </c>
      <c r="T21" s="55">
        <f t="shared" si="101"/>
        <v>30000000</v>
      </c>
      <c r="U21" s="55">
        <f t="shared" si="101"/>
        <v>46522431.351479053</v>
      </c>
      <c r="V21" s="55">
        <f t="shared" ref="V21:AA21" si="102">30000000+U35-V27-V33</f>
        <v>57383956.226006791</v>
      </c>
      <c r="W21" s="55">
        <f t="shared" si="102"/>
        <v>68245481.100534528</v>
      </c>
      <c r="X21" s="55">
        <f t="shared" si="102"/>
        <v>79107005.975062281</v>
      </c>
      <c r="Y21" s="55">
        <f t="shared" si="102"/>
        <v>89968530.849590033</v>
      </c>
      <c r="Z21" s="55">
        <f t="shared" si="102"/>
        <v>100830055.72411779</v>
      </c>
      <c r="AA21" s="55">
        <f t="shared" si="102"/>
        <v>112973603.31580392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P21" s="60">
        <f>1000000*30</f>
        <v>30000000</v>
      </c>
      <c r="AQ21" s="61">
        <f>30000000+AP35-AQ27-AQ33</f>
        <v>30000000</v>
      </c>
      <c r="AR21" s="61">
        <f t="shared" ref="AR21:BA21" si="103">30000000+AQ35-AR27-AR33</f>
        <v>30000000</v>
      </c>
      <c r="AS21" s="61">
        <f t="shared" si="103"/>
        <v>30000000</v>
      </c>
      <c r="AT21" s="61">
        <f t="shared" si="103"/>
        <v>30000000</v>
      </c>
      <c r="AU21" s="61">
        <f t="shared" si="103"/>
        <v>29815970.212054621</v>
      </c>
      <c r="AV21" s="61">
        <f t="shared" si="103"/>
        <v>39013054.012389623</v>
      </c>
      <c r="AW21" s="61">
        <f t="shared" si="103"/>
        <v>48210137.81272462</v>
      </c>
      <c r="AX21" s="61">
        <f t="shared" si="103"/>
        <v>57407221.613059625</v>
      </c>
      <c r="AY21" s="61">
        <f t="shared" si="103"/>
        <v>66604305.413394623</v>
      </c>
      <c r="AZ21" s="61">
        <f t="shared" si="103"/>
        <v>75801389.213729635</v>
      </c>
      <c r="BA21" s="61">
        <f t="shared" si="103"/>
        <v>86360622.151045427</v>
      </c>
      <c r="BB21" s="59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P21" s="75">
        <f>1000000*30</f>
        <v>30000000</v>
      </c>
      <c r="BQ21" s="76">
        <f>30000000+BP35-BQ27-BQ33</f>
        <v>30000000</v>
      </c>
      <c r="BR21" s="76">
        <f t="shared" ref="BR21:CA21" si="104">30000000+BQ35-BR27-BR33</f>
        <v>30000000.000000004</v>
      </c>
      <c r="BS21" s="76">
        <f t="shared" si="104"/>
        <v>29638316.628006939</v>
      </c>
      <c r="BT21" s="76">
        <f t="shared" si="104"/>
        <v>28655582.100542393</v>
      </c>
      <c r="BU21" s="76">
        <f t="shared" si="104"/>
        <v>28560344.565873481</v>
      </c>
      <c r="BV21" s="76">
        <f t="shared" si="104"/>
        <v>44391531.789788462</v>
      </c>
      <c r="BW21" s="76">
        <f t="shared" si="104"/>
        <v>50642151.798772343</v>
      </c>
      <c r="BX21" s="76">
        <f t="shared" si="104"/>
        <v>56892771.807756223</v>
      </c>
      <c r="BY21" s="76">
        <f t="shared" si="104"/>
        <v>63143391.816740103</v>
      </c>
      <c r="BZ21" s="76">
        <f t="shared" si="104"/>
        <v>69394011.825723991</v>
      </c>
      <c r="CA21" s="76">
        <f t="shared" si="104"/>
        <v>75644631.834707871</v>
      </c>
      <c r="CB21" s="76">
        <f t="shared" ref="CB21" si="105">30000000+CA35-CB27-CB33</f>
        <v>83337527.400494933</v>
      </c>
      <c r="CC21" s="7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S21" s="112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G21" s="97"/>
      <c r="DH21" s="98"/>
      <c r="DI21" s="98"/>
      <c r="DJ21" s="98"/>
      <c r="DK21" s="98"/>
      <c r="DL21" s="98"/>
      <c r="DM21" s="98"/>
      <c r="DN21" s="98"/>
      <c r="DO21" s="98"/>
      <c r="DP21" s="98"/>
      <c r="DQ21" s="98"/>
      <c r="DR21" s="98"/>
      <c r="DS21" s="98"/>
      <c r="DT21" s="96"/>
      <c r="DU21" s="75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7"/>
    </row>
    <row r="22" spans="2:138" ht="15.75" thickBot="1" x14ac:dyDescent="0.3">
      <c r="G22" t="s">
        <v>109</v>
      </c>
      <c r="H22" t="s">
        <v>27</v>
      </c>
      <c r="I22" t="s">
        <v>25</v>
      </c>
      <c r="J22" t="s">
        <v>56</v>
      </c>
      <c r="K22" t="s">
        <v>84</v>
      </c>
      <c r="L22" t="s">
        <v>98</v>
      </c>
      <c r="M22" s="30">
        <v>0.6</v>
      </c>
      <c r="N22" s="30">
        <v>0.7</v>
      </c>
      <c r="O22" s="30">
        <v>0.8</v>
      </c>
      <c r="P22">
        <v>1</v>
      </c>
      <c r="Q22">
        <v>2</v>
      </c>
      <c r="R22">
        <v>3</v>
      </c>
      <c r="S22">
        <v>4</v>
      </c>
      <c r="T22">
        <v>5</v>
      </c>
      <c r="U22">
        <v>6</v>
      </c>
      <c r="V22">
        <v>7</v>
      </c>
      <c r="W22">
        <v>8</v>
      </c>
      <c r="X22">
        <v>9</v>
      </c>
      <c r="Y22">
        <v>10</v>
      </c>
      <c r="Z22">
        <v>11</v>
      </c>
      <c r="AA22">
        <v>12</v>
      </c>
      <c r="AB22" t="s">
        <v>13</v>
      </c>
      <c r="AP22" s="59">
        <v>1</v>
      </c>
      <c r="AQ22" s="59">
        <v>2</v>
      </c>
      <c r="AR22" s="59">
        <v>3</v>
      </c>
      <c r="AS22" s="59">
        <v>4</v>
      </c>
      <c r="AT22" s="59">
        <v>5</v>
      </c>
      <c r="AU22" s="59">
        <v>6</v>
      </c>
      <c r="AV22" s="59">
        <v>7</v>
      </c>
      <c r="AW22" s="59">
        <v>8</v>
      </c>
      <c r="AX22" s="59">
        <v>9</v>
      </c>
      <c r="AY22" s="59">
        <v>10</v>
      </c>
      <c r="AZ22" s="59">
        <v>11</v>
      </c>
      <c r="BA22" s="59">
        <v>12</v>
      </c>
      <c r="BB22" s="59" t="s">
        <v>13</v>
      </c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P22" s="77">
        <v>1</v>
      </c>
      <c r="BQ22" s="77">
        <v>2</v>
      </c>
      <c r="BR22" s="77">
        <v>3</v>
      </c>
      <c r="BS22" s="77">
        <v>4</v>
      </c>
      <c r="BT22" s="77">
        <v>5</v>
      </c>
      <c r="BU22" s="77">
        <v>6</v>
      </c>
      <c r="BV22" s="77">
        <v>7</v>
      </c>
      <c r="BW22" s="77">
        <v>8</v>
      </c>
      <c r="BX22" s="77">
        <v>9</v>
      </c>
      <c r="BY22" s="77">
        <v>10</v>
      </c>
      <c r="BZ22" s="77">
        <v>11</v>
      </c>
      <c r="CA22" s="77">
        <v>12</v>
      </c>
      <c r="CB22" s="77">
        <v>13</v>
      </c>
      <c r="CC22" s="77" t="s">
        <v>13</v>
      </c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R22" t="s">
        <v>11</v>
      </c>
      <c r="CS22" s="104">
        <v>1</v>
      </c>
      <c r="CT22" s="104">
        <v>2</v>
      </c>
      <c r="CU22" s="104">
        <v>3</v>
      </c>
      <c r="CV22" s="104">
        <v>4</v>
      </c>
      <c r="CW22" s="104">
        <v>5</v>
      </c>
      <c r="CX22" s="104"/>
      <c r="CY22" s="104">
        <v>7</v>
      </c>
      <c r="CZ22" s="104">
        <v>8</v>
      </c>
      <c r="DA22" s="104">
        <v>9</v>
      </c>
      <c r="DB22" s="104">
        <v>10</v>
      </c>
      <c r="DC22" s="104">
        <v>11</v>
      </c>
      <c r="DD22" s="104">
        <v>12</v>
      </c>
      <c r="DE22" s="104">
        <v>13</v>
      </c>
      <c r="DG22" s="96">
        <v>1</v>
      </c>
      <c r="DH22" s="96">
        <v>2</v>
      </c>
      <c r="DI22" s="96">
        <v>3</v>
      </c>
      <c r="DJ22" s="96">
        <v>4</v>
      </c>
      <c r="DK22" s="96">
        <v>5</v>
      </c>
      <c r="DL22" s="96"/>
      <c r="DM22" s="96">
        <v>7</v>
      </c>
      <c r="DN22" s="96">
        <v>8</v>
      </c>
      <c r="DO22" s="96">
        <v>9</v>
      </c>
      <c r="DP22" s="96">
        <v>10</v>
      </c>
      <c r="DQ22" s="96">
        <v>11</v>
      </c>
      <c r="DR22" s="96">
        <v>12</v>
      </c>
      <c r="DS22" s="96">
        <v>13</v>
      </c>
      <c r="DT22" s="96"/>
      <c r="DU22" s="77">
        <v>1</v>
      </c>
      <c r="DV22" s="77">
        <v>2</v>
      </c>
      <c r="DW22" s="77">
        <v>3</v>
      </c>
      <c r="DX22" s="77">
        <v>4</v>
      </c>
      <c r="DY22" s="77">
        <v>5</v>
      </c>
      <c r="DZ22" s="77"/>
      <c r="EA22" s="77">
        <v>7</v>
      </c>
      <c r="EB22" s="77">
        <v>8</v>
      </c>
      <c r="EC22" s="77">
        <v>9</v>
      </c>
      <c r="ED22" s="77">
        <v>10</v>
      </c>
      <c r="EE22" s="77">
        <v>11</v>
      </c>
      <c r="EF22" s="77">
        <v>12</v>
      </c>
      <c r="EG22" s="77">
        <v>13</v>
      </c>
      <c r="EH22" s="77"/>
    </row>
    <row r="23" spans="2:138" ht="14.45" customHeight="1" thickBot="1" x14ac:dyDescent="0.3">
      <c r="B23" s="124"/>
      <c r="E23" s="126" t="s">
        <v>96</v>
      </c>
      <c r="F23" t="s">
        <v>5</v>
      </c>
      <c r="G23" t="s">
        <v>22</v>
      </c>
      <c r="H23" s="48">
        <f>H8</f>
        <v>5716058.6312323399</v>
      </c>
      <c r="I23" s="50">
        <f t="shared" ref="I23:O23" si="106">I8</f>
        <v>4447016.3001431488</v>
      </c>
      <c r="J23" s="45">
        <f t="shared" si="106"/>
        <v>0.46273298057787704</v>
      </c>
      <c r="K23" s="45">
        <f t="shared" si="106"/>
        <v>0.35990342933834885</v>
      </c>
      <c r="L23" s="45">
        <f>J23+K23/2</f>
        <v>0.64268469524705152</v>
      </c>
      <c r="M23" s="50">
        <f t="shared" si="106"/>
        <v>1399167.4489966987</v>
      </c>
      <c r="N23" s="50">
        <f t="shared" si="106"/>
        <v>1843869.0790110128</v>
      </c>
      <c r="O23" s="50">
        <f t="shared" si="106"/>
        <v>2288570.709025328</v>
      </c>
      <c r="P23" s="51">
        <f>P$21*AC23</f>
        <v>314472.49073311681</v>
      </c>
      <c r="Q23" s="51">
        <f>MIN($M23-SUM($P23:P23),Q$21*AD23)</f>
        <v>314472.49073311681</v>
      </c>
      <c r="R23" s="51">
        <f>MIN($M23-SUM($P23:Q23),R$21*AE23)</f>
        <v>314472.49073311681</v>
      </c>
      <c r="S23" s="51">
        <f>MIN($M23-SUM($P23:R23),S$21*AF23)</f>
        <v>314472.49073311681</v>
      </c>
      <c r="T23" s="51">
        <f>MIN($M23-SUM($P23:S23),T$21*AG23)</f>
        <v>141277.48606423149</v>
      </c>
      <c r="U23" s="51"/>
      <c r="V23" s="51"/>
      <c r="W23" s="51"/>
      <c r="X23" s="51"/>
      <c r="Y23" s="5"/>
      <c r="Z23" s="6"/>
      <c r="AA23" s="6"/>
      <c r="AB23" s="53">
        <f t="shared" ref="AB23:AB34" si="107">SUM(P23:AA23)-M23</f>
        <v>0</v>
      </c>
      <c r="AC23" s="4">
        <f t="shared" ref="AC23:AK25" si="108">$M23/SUM($M$38:$M$40,$M$44:$M$46)</f>
        <v>1.0482416357770559E-2</v>
      </c>
      <c r="AD23" s="4">
        <f t="shared" si="108"/>
        <v>1.0482416357770559E-2</v>
      </c>
      <c r="AE23" s="4">
        <f t="shared" si="108"/>
        <v>1.0482416357770559E-2</v>
      </c>
      <c r="AF23" s="4">
        <f t="shared" si="108"/>
        <v>1.0482416357770559E-2</v>
      </c>
      <c r="AG23" s="4">
        <f t="shared" si="108"/>
        <v>1.0482416357770559E-2</v>
      </c>
      <c r="AH23" s="4">
        <f t="shared" si="108"/>
        <v>1.0482416357770559E-2</v>
      </c>
      <c r="AI23" s="4">
        <f t="shared" si="108"/>
        <v>1.0482416357770559E-2</v>
      </c>
      <c r="AJ23" s="4">
        <f t="shared" si="108"/>
        <v>1.0482416357770559E-2</v>
      </c>
      <c r="AK23" s="4">
        <f t="shared" si="108"/>
        <v>1.0482416357770559E-2</v>
      </c>
      <c r="AL23" s="4">
        <f>IF(SUM($P23:X23)&lt;$M23,$H23/SUM($H$38:$H$46),0)</f>
        <v>0</v>
      </c>
      <c r="AM23" s="4">
        <f t="shared" ref="AM23:AN34" si="109">$H23/SUM($H$38:$H$46)</f>
        <v>5.1021922762725928E-2</v>
      </c>
      <c r="AN23" s="4">
        <f t="shared" si="109"/>
        <v>5.1021922762725928E-2</v>
      </c>
      <c r="AP23" s="62">
        <f>MIN($N23,AP21*BC23/BC35)</f>
        <v>371693.14168300596</v>
      </c>
      <c r="AQ23" s="62">
        <f>MIN($N23-SUM($AP23:AP23),AQ21*BD23/BD35)</f>
        <v>371693.14168300596</v>
      </c>
      <c r="AR23" s="62">
        <f>MIN($N23-SUM($AP23:AQ23),AR21*BE23/BE35)</f>
        <v>371693.14168300596</v>
      </c>
      <c r="AS23" s="62">
        <f>MIN($N23-SUM($AP23:AR23),AS21*BF23/BF35)</f>
        <v>371693.14168300596</v>
      </c>
      <c r="AT23" s="62">
        <f>MIN($N23-SUM($AP23:AS23),AT21*BG23/BG35)</f>
        <v>357096.51227898896</v>
      </c>
      <c r="AU23" s="62">
        <f>MIN($N23-SUM($AP23:AT23),AU21*BH23/BH35)</f>
        <v>0</v>
      </c>
      <c r="AV23" s="62"/>
      <c r="AW23" s="62"/>
      <c r="AX23" s="62"/>
      <c r="AY23" s="72"/>
      <c r="AZ23" s="65"/>
      <c r="BA23" s="65"/>
      <c r="BB23" s="63">
        <f t="shared" ref="BB23:BB34" si="110">SUM(AP23:BA23)-$N23</f>
        <v>0</v>
      </c>
      <c r="BC23" s="64">
        <f t="shared" ref="BC23:BK25" si="111">$N23/SUM($N$38:$N$40,$N$44:$N$46)</f>
        <v>1.238977138943353E-2</v>
      </c>
      <c r="BD23" s="64">
        <f t="shared" si="111"/>
        <v>1.238977138943353E-2</v>
      </c>
      <c r="BE23" s="64">
        <f t="shared" si="111"/>
        <v>1.238977138943353E-2</v>
      </c>
      <c r="BF23" s="64">
        <f t="shared" si="111"/>
        <v>1.238977138943353E-2</v>
      </c>
      <c r="BG23" s="64">
        <f t="shared" si="111"/>
        <v>1.238977138943353E-2</v>
      </c>
      <c r="BH23" s="64">
        <f t="shared" si="111"/>
        <v>1.238977138943353E-2</v>
      </c>
      <c r="BI23" s="64">
        <f t="shared" si="111"/>
        <v>1.238977138943353E-2</v>
      </c>
      <c r="BJ23" s="64">
        <f t="shared" si="111"/>
        <v>1.238977138943353E-2</v>
      </c>
      <c r="BK23" s="64">
        <f t="shared" si="111"/>
        <v>1.238977138943353E-2</v>
      </c>
      <c r="BL23" s="64">
        <f>IF(SUM($AP23:AX23)&lt;$N23,$H23/SUM($H$38:$H$46),0)</f>
        <v>0</v>
      </c>
      <c r="BM23" s="64">
        <f t="shared" ref="BM23:BN34" si="112">$H23/SUM($H$38:$H$46)</f>
        <v>5.1021922762725928E-2</v>
      </c>
      <c r="BN23" s="64">
        <f t="shared" si="112"/>
        <v>5.1021922762725928E-2</v>
      </c>
      <c r="BP23" s="78">
        <f>MIN($O23,BP21*CD23/CD35)</f>
        <v>418217.17468778981</v>
      </c>
      <c r="BQ23" s="78">
        <f>MIN($O23-SUM($BP23:BP23),BQ21*CE23/CE35)</f>
        <v>418217.17468778981</v>
      </c>
      <c r="BR23" s="78">
        <f>MIN($O23-SUM($BP23:BQ23),BR21*CF23/CF35)</f>
        <v>418217.17468778987</v>
      </c>
      <c r="BS23" s="78">
        <f>MIN($O23-SUM($BP23:BR23),BS21*CG23/CG35)</f>
        <v>413175.10142224014</v>
      </c>
      <c r="BT23" s="78">
        <f>MIN($O23-SUM($BP23:BS23),BT21*CH23/CH35)</f>
        <v>399475.21950409468</v>
      </c>
      <c r="BU23" s="78">
        <f>MIN($O23-SUM($BP23:BT23),BU21*CI23/CI35)</f>
        <v>221268.86403562361</v>
      </c>
      <c r="BV23" s="78"/>
      <c r="BW23" s="78"/>
      <c r="BX23" s="78"/>
      <c r="BY23" s="88"/>
      <c r="BZ23" s="81"/>
      <c r="CA23" s="81"/>
      <c r="CB23" s="81"/>
      <c r="CC23" s="79">
        <f t="shared" ref="CC23:CC34" si="113">SUM(BP23:CB23)-O23</f>
        <v>0</v>
      </c>
      <c r="CD23" s="80">
        <f t="shared" ref="CD23:CL25" si="114">$O23/SUM($O$38:$O$40,$O$44:$O$46)</f>
        <v>1.3940572489592998E-2</v>
      </c>
      <c r="CE23" s="80">
        <f t="shared" si="114"/>
        <v>1.3940572489592998E-2</v>
      </c>
      <c r="CF23" s="80">
        <f t="shared" si="114"/>
        <v>1.3940572489592998E-2</v>
      </c>
      <c r="CG23" s="80">
        <f t="shared" si="114"/>
        <v>1.3940572489592998E-2</v>
      </c>
      <c r="CH23" s="80">
        <f t="shared" si="114"/>
        <v>1.3940572489592998E-2</v>
      </c>
      <c r="CI23" s="80">
        <f t="shared" si="114"/>
        <v>1.3940572489592998E-2</v>
      </c>
      <c r="CJ23" s="80">
        <f t="shared" si="114"/>
        <v>1.3940572489592998E-2</v>
      </c>
      <c r="CK23" s="80">
        <f t="shared" si="114"/>
        <v>1.3940572489592998E-2</v>
      </c>
      <c r="CL23" s="80">
        <f t="shared" si="114"/>
        <v>1.3940572489592998E-2</v>
      </c>
      <c r="CM23" s="80">
        <f>IF(SUM($BP23:BX23)&lt;$O23,$H23/SUM($H$38:$H$46),0)</f>
        <v>0</v>
      </c>
      <c r="CN23" s="80">
        <f t="shared" ref="CN23:CO34" si="115">$H23/SUM($H$38:$H$46)</f>
        <v>5.1021922762725928E-2</v>
      </c>
      <c r="CO23" s="80">
        <f t="shared" si="115"/>
        <v>5.1021922762725928E-2</v>
      </c>
      <c r="CP23" s="91"/>
      <c r="CQ23" t="s">
        <v>5</v>
      </c>
      <c r="CR23" t="s">
        <v>101</v>
      </c>
      <c r="CS23" s="105">
        <f>0.5*2500*P23/Popn!$H$22</f>
        <v>1.7543765914941234</v>
      </c>
      <c r="CT23" s="105">
        <f>0.5*2500*Q23/Popn!$H$22</f>
        <v>1.7543765914941234</v>
      </c>
      <c r="CU23" s="105">
        <f>0.5*2500*R23/Popn!$H$22</f>
        <v>1.7543765914941234</v>
      </c>
      <c r="CV23" s="105">
        <f>0.5*2500*S23/Popn!$H$22</f>
        <v>1.7543765914941234</v>
      </c>
      <c r="CW23" s="105">
        <f>0.5*2500*T23/Popn!$H$22</f>
        <v>0.78815769824067383</v>
      </c>
      <c r="CX23" s="106">
        <f>0.5*2500*U23/Popn!$H$22</f>
        <v>0</v>
      </c>
      <c r="CY23" s="106">
        <f>0.5*2500*V23/Popn!$H$22</f>
        <v>0</v>
      </c>
      <c r="CZ23" s="106">
        <f>0.5*2500*W23/Popn!$H$22</f>
        <v>0</v>
      </c>
      <c r="DA23" s="106">
        <f>0.5*2500*X23/Popn!$H$22</f>
        <v>0</v>
      </c>
      <c r="DB23" s="106">
        <f>0.5*2500*Y23/Popn!$H$22</f>
        <v>0</v>
      </c>
      <c r="DC23" s="106">
        <f>0.5*2500*Z23/Popn!$H$22</f>
        <v>0</v>
      </c>
      <c r="DD23" s="106">
        <f>0.5*2500*AA23/Popn!$H$22</f>
        <v>0</v>
      </c>
      <c r="DE23" s="106">
        <f>0.5*2500*AB23/Popn!$H$22</f>
        <v>0</v>
      </c>
      <c r="DF23" s="38">
        <f>SUM(CS23:DD23)</f>
        <v>7.8056640642171677</v>
      </c>
      <c r="DG23" s="99">
        <f>0.5*2500*AP23/Popn!$H$22</f>
        <v>2.0735986968761058</v>
      </c>
      <c r="DH23" s="99">
        <f>0.5*2500*AQ23/Popn!$H$22</f>
        <v>2.0735986968761058</v>
      </c>
      <c r="DI23" s="99">
        <f>0.5*2500*AR23/Popn!$H$22</f>
        <v>2.0735986968761058</v>
      </c>
      <c r="DJ23" s="99">
        <f>0.5*2500*AS23/Popn!$H$22</f>
        <v>2.0735986968761058</v>
      </c>
      <c r="DK23" s="99">
        <f>0.5*2500*AT23/Popn!$H$22</f>
        <v>1.9921671386452939</v>
      </c>
      <c r="DL23" s="116">
        <f>0.5*2500*AU23/Popn!$H$22</f>
        <v>0</v>
      </c>
      <c r="DM23" s="116">
        <f>0.5*2500*AV23/Popn!$H$22</f>
        <v>0</v>
      </c>
      <c r="DN23" s="116">
        <f>0.5*2500*AW23/Popn!$H$22</f>
        <v>0</v>
      </c>
      <c r="DO23" s="116">
        <f>0.5*2500*AX23/Popn!$H$22</f>
        <v>0</v>
      </c>
      <c r="DP23" s="116">
        <f>0.5*2500*AY23/Popn!$H$22</f>
        <v>0</v>
      </c>
      <c r="DQ23" s="116">
        <f>0.5*2500*AZ23/Popn!$H$22</f>
        <v>0</v>
      </c>
      <c r="DR23" s="116">
        <f>0.5*2500*BA23/Popn!$H$22</f>
        <v>0</v>
      </c>
      <c r="DS23" s="116">
        <f>0.5*2500*BB23/Popn!$H$22</f>
        <v>0</v>
      </c>
      <c r="DT23" s="100">
        <f>SUM(DG23:DR23)</f>
        <v>10.286561926149718</v>
      </c>
      <c r="DU23" s="92">
        <f>0.5*2500*BP23/Popn!$H$22</f>
        <v>2.3331465964561735</v>
      </c>
      <c r="DV23" s="92">
        <f>0.5*2500*BQ23/Popn!$H$22</f>
        <v>2.3331465964561735</v>
      </c>
      <c r="DW23" s="92">
        <f>0.5*2500*BR23/Popn!$H$22</f>
        <v>2.3331465964561739</v>
      </c>
      <c r="DX23" s="92">
        <f>0.5*2500*BS23/Popn!$H$22</f>
        <v>2.3050179188441606</v>
      </c>
      <c r="DY23" s="92">
        <f>0.5*2500*BT23/Popn!$H$22</f>
        <v>2.228589128245031</v>
      </c>
      <c r="DZ23" s="92">
        <f>0.5*2500*BU23/Popn!$H$22</f>
        <v>1.2344129516245606</v>
      </c>
      <c r="EA23" s="118">
        <f>0.5*2500*BV23/Popn!$H$22</f>
        <v>0</v>
      </c>
      <c r="EB23" s="118">
        <f>0.5*2500*BW23/Popn!$H$22</f>
        <v>0</v>
      </c>
      <c r="EC23" s="118">
        <f>0.5*2500*BX23/Popn!$H$22</f>
        <v>0</v>
      </c>
      <c r="ED23" s="118">
        <f>0.5*2500*BY23/Popn!$H$22</f>
        <v>0</v>
      </c>
      <c r="EE23" s="118">
        <f>0.5*2500*BZ23/Popn!$H$22</f>
        <v>0</v>
      </c>
      <c r="EF23" s="118">
        <f>0.5*2500*CA23/Popn!$H$22</f>
        <v>0</v>
      </c>
      <c r="EG23" s="118">
        <f>0.5*2500*CB23/Popn!$H$22</f>
        <v>0</v>
      </c>
      <c r="EH23" s="95">
        <f>SUM(DU23:EG23)</f>
        <v>12.767459788082276</v>
      </c>
    </row>
    <row r="24" spans="2:138" ht="15.75" thickBot="1" x14ac:dyDescent="0.3">
      <c r="B24" s="124"/>
      <c r="E24" s="127"/>
      <c r="G24" t="s">
        <v>23</v>
      </c>
      <c r="H24" s="48">
        <f t="shared" ref="H24:O24" si="116">H9</f>
        <v>41541727.200945042</v>
      </c>
      <c r="I24" s="50">
        <f t="shared" si="116"/>
        <v>40724136.768097505</v>
      </c>
      <c r="J24" s="45">
        <f t="shared" si="116"/>
        <v>0.36722747194130062</v>
      </c>
      <c r="K24" s="45">
        <f t="shared" si="116"/>
        <v>0.28562136706545604</v>
      </c>
      <c r="L24" s="45">
        <f t="shared" ref="L24:L25" si="117">J24+K24/2</f>
        <v>0.51003815547402864</v>
      </c>
      <c r="M24" s="50">
        <f t="shared" si="116"/>
        <v>23616891.62801097</v>
      </c>
      <c r="N24" s="50">
        <f t="shared" si="116"/>
        <v>27689305.304820713</v>
      </c>
      <c r="O24" s="50">
        <f t="shared" si="116"/>
        <v>31761718.981630471</v>
      </c>
      <c r="P24" s="51">
        <f t="shared" ref="P24:P34" si="118">P$21*AC24</f>
        <v>5308058.5450728461</v>
      </c>
      <c r="Q24" s="51">
        <f>MIN($M24-SUM($P24:P24),Q$21*AD24)</f>
        <v>5308058.5450728461</v>
      </c>
      <c r="R24" s="51">
        <f>MIN($M24-SUM($P24:Q24),R$21*AE24)</f>
        <v>5308058.5450728461</v>
      </c>
      <c r="S24" s="51">
        <f>MIN($M24-SUM($P24:R24),S$21*AF24)</f>
        <v>5308058.5450728461</v>
      </c>
      <c r="T24" s="51">
        <f>MIN($M24-SUM($P24:S24),T$21*AG24)</f>
        <v>2384657.4477195852</v>
      </c>
      <c r="U24" s="51"/>
      <c r="V24" s="51"/>
      <c r="W24" s="51"/>
      <c r="X24" s="51"/>
      <c r="Y24" s="28"/>
      <c r="Z24" s="29"/>
      <c r="AA24" s="29"/>
      <c r="AB24" s="53">
        <f t="shared" si="107"/>
        <v>0</v>
      </c>
      <c r="AC24" s="4">
        <f t="shared" si="108"/>
        <v>0.17693528483576154</v>
      </c>
      <c r="AD24" s="4">
        <f t="shared" si="108"/>
        <v>0.17693528483576154</v>
      </c>
      <c r="AE24" s="4">
        <f t="shared" si="108"/>
        <v>0.17693528483576154</v>
      </c>
      <c r="AF24" s="4">
        <f t="shared" si="108"/>
        <v>0.17693528483576154</v>
      </c>
      <c r="AG24" s="4">
        <f t="shared" si="108"/>
        <v>0.17693528483576154</v>
      </c>
      <c r="AH24" s="4">
        <f t="shared" si="108"/>
        <v>0.17693528483576154</v>
      </c>
      <c r="AI24" s="4">
        <f t="shared" si="108"/>
        <v>0.17693528483576154</v>
      </c>
      <c r="AJ24" s="4">
        <f t="shared" si="108"/>
        <v>0.17693528483576154</v>
      </c>
      <c r="AK24" s="4">
        <f t="shared" si="108"/>
        <v>0.17693528483576154</v>
      </c>
      <c r="AL24" s="4">
        <f>IF(SUM($P24:X24)&lt;$M24,$H24/SUM($H$38:$H$46),0)</f>
        <v>0</v>
      </c>
      <c r="AM24" s="4">
        <f t="shared" si="109"/>
        <v>0.37080424352118513</v>
      </c>
      <c r="AN24" s="4">
        <f t="shared" si="109"/>
        <v>0.37080424352118513</v>
      </c>
      <c r="AP24" s="62">
        <f>MIN($N24,AP21*BC24/BC35)</f>
        <v>5581700.4563517943</v>
      </c>
      <c r="AQ24" s="62">
        <f>MIN($N24-SUM($AP24:AP24),AQ21*BD24/BD35)</f>
        <v>5581700.4563517943</v>
      </c>
      <c r="AR24" s="62">
        <f>MIN($N24-SUM($AP24:AQ24),AR21*BE24/BE35)</f>
        <v>5581700.4563517943</v>
      </c>
      <c r="AS24" s="62">
        <f>MIN($N24-SUM($AP24:AR24),AS21*BF24/BF35)</f>
        <v>5581700.4563517943</v>
      </c>
      <c r="AT24" s="62">
        <f>MIN($N24-SUM($AP24:AS24),AT21*BG24/BG35)</f>
        <v>5362503.4794135354</v>
      </c>
      <c r="AU24" s="62">
        <f>MIN($N24-SUM($AP24:AT24),AU21*BH24/BH35)</f>
        <v>0</v>
      </c>
      <c r="AV24" s="62"/>
      <c r="AW24" s="62"/>
      <c r="AX24" s="62"/>
      <c r="AY24" s="73"/>
      <c r="AZ24" s="66"/>
      <c r="BA24" s="66"/>
      <c r="BB24" s="63">
        <f t="shared" si="110"/>
        <v>0</v>
      </c>
      <c r="BC24" s="64">
        <f t="shared" si="111"/>
        <v>0.18605668187839311</v>
      </c>
      <c r="BD24" s="64">
        <f t="shared" si="111"/>
        <v>0.18605668187839311</v>
      </c>
      <c r="BE24" s="64">
        <f t="shared" si="111"/>
        <v>0.18605668187839311</v>
      </c>
      <c r="BF24" s="64">
        <f t="shared" si="111"/>
        <v>0.18605668187839311</v>
      </c>
      <c r="BG24" s="64">
        <f t="shared" si="111"/>
        <v>0.18605668187839311</v>
      </c>
      <c r="BH24" s="64">
        <f t="shared" si="111"/>
        <v>0.18605668187839311</v>
      </c>
      <c r="BI24" s="64">
        <f t="shared" si="111"/>
        <v>0.18605668187839311</v>
      </c>
      <c r="BJ24" s="64">
        <f t="shared" si="111"/>
        <v>0.18605668187839311</v>
      </c>
      <c r="BK24" s="64">
        <f t="shared" si="111"/>
        <v>0.18605668187839311</v>
      </c>
      <c r="BL24" s="64">
        <f>IF(SUM($AP24:AX24)&lt;$N24,$H24/SUM($H$38:$H$46),0)</f>
        <v>0</v>
      </c>
      <c r="BM24" s="64">
        <f t="shared" si="112"/>
        <v>0.37080424352118513</v>
      </c>
      <c r="BN24" s="64">
        <f t="shared" si="112"/>
        <v>0.37080424352118513</v>
      </c>
      <c r="BP24" s="78">
        <f>MIN($O24,BP21*CD24/CD35)</f>
        <v>5804188.7556020599</v>
      </c>
      <c r="BQ24" s="78">
        <f>MIN($O24-SUM($BP24:BP24),BQ21*CE24/CE35)</f>
        <v>5804188.7556020599</v>
      </c>
      <c r="BR24" s="78">
        <f>MIN($O24-SUM($BP24:BQ24),BR21*CF24/CF35)</f>
        <v>5804188.7556020599</v>
      </c>
      <c r="BS24" s="78">
        <f>MIN($O24-SUM($BP24:BR24),BS21*CG24/CG35)</f>
        <v>5734212.8035750473</v>
      </c>
      <c r="BT24" s="78">
        <f>MIN($O24-SUM($BP24:BS24),BT21*CH24/CH35)</f>
        <v>5544080.2471066602</v>
      </c>
      <c r="BU24" s="78">
        <f>MIN($O24-SUM($BP24:BT24),BU21*CI24/CI35)</f>
        <v>3070859.6641425863</v>
      </c>
      <c r="BV24" s="78"/>
      <c r="BW24" s="78"/>
      <c r="BX24" s="78"/>
      <c r="BY24" s="89"/>
      <c r="BZ24" s="82"/>
      <c r="CA24" s="82"/>
      <c r="CB24" s="82"/>
      <c r="CC24" s="79">
        <f t="shared" si="113"/>
        <v>0</v>
      </c>
      <c r="CD24" s="80">
        <f t="shared" si="114"/>
        <v>0.19347295852006868</v>
      </c>
      <c r="CE24" s="80">
        <f t="shared" si="114"/>
        <v>0.19347295852006868</v>
      </c>
      <c r="CF24" s="80">
        <f t="shared" si="114"/>
        <v>0.19347295852006868</v>
      </c>
      <c r="CG24" s="80">
        <f t="shared" si="114"/>
        <v>0.19347295852006868</v>
      </c>
      <c r="CH24" s="80">
        <f t="shared" si="114"/>
        <v>0.19347295852006868</v>
      </c>
      <c r="CI24" s="80">
        <f t="shared" si="114"/>
        <v>0.19347295852006868</v>
      </c>
      <c r="CJ24" s="80">
        <f t="shared" si="114"/>
        <v>0.19347295852006868</v>
      </c>
      <c r="CK24" s="80">
        <f t="shared" si="114"/>
        <v>0.19347295852006868</v>
      </c>
      <c r="CL24" s="80">
        <f t="shared" si="114"/>
        <v>0.19347295852006868</v>
      </c>
      <c r="CM24" s="80">
        <f>IF(SUM($BP24:BX24)&lt;$O24,$H24/SUM($H$38:$H$46),0)</f>
        <v>0</v>
      </c>
      <c r="CN24" s="80">
        <f t="shared" si="115"/>
        <v>0.37080424352118513</v>
      </c>
      <c r="CO24" s="80">
        <f t="shared" si="115"/>
        <v>0.37080424352118513</v>
      </c>
      <c r="CP24" s="91"/>
      <c r="CR24" t="s">
        <v>102</v>
      </c>
      <c r="CS24" s="105">
        <f>0.5*2500*P24/Popn!$H$22</f>
        <v>29.612554141211827</v>
      </c>
      <c r="CT24" s="105">
        <f>0.5*2500*Q24/Popn!$H$22</f>
        <v>29.612554141211827</v>
      </c>
      <c r="CU24" s="105">
        <f>0.5*2500*R24/Popn!$H$22</f>
        <v>29.612554141211827</v>
      </c>
      <c r="CV24" s="105">
        <f>0.5*2500*S24/Popn!$H$22</f>
        <v>29.612554141211827</v>
      </c>
      <c r="CW24" s="105">
        <f>0.5*2500*T24/Popn!$H$22</f>
        <v>13.303507709874197</v>
      </c>
      <c r="CX24" s="106">
        <f>0.5*2500*U24/Popn!$H$22</f>
        <v>0</v>
      </c>
      <c r="CY24" s="106">
        <f>0.5*2500*V24/Popn!$H$22</f>
        <v>0</v>
      </c>
      <c r="CZ24" s="106">
        <f>0.5*2500*W24/Popn!$H$22</f>
        <v>0</v>
      </c>
      <c r="DA24" s="106">
        <f>0.5*2500*X24/Popn!$H$22</f>
        <v>0</v>
      </c>
      <c r="DB24" s="106">
        <f>0.5*2500*Y24/Popn!$H$22</f>
        <v>0</v>
      </c>
      <c r="DC24" s="106">
        <f>0.5*2500*Z24/Popn!$H$22</f>
        <v>0</v>
      </c>
      <c r="DD24" s="106">
        <f>0.5*2500*AA24/Popn!$H$22</f>
        <v>0</v>
      </c>
      <c r="DE24" s="106">
        <f>0.5*2500*AB24/Popn!$H$22</f>
        <v>0</v>
      </c>
      <c r="DF24" s="38">
        <f t="shared" ref="DF24:DF34" si="119">SUM(CS24:DD24)</f>
        <v>131.75372427472149</v>
      </c>
      <c r="DG24" s="99">
        <f>0.5*2500*AP24/Popn!$H$22</f>
        <v>31.139145425811407</v>
      </c>
      <c r="DH24" s="99">
        <f>0.5*2500*AQ24/Popn!$H$22</f>
        <v>31.139145425811407</v>
      </c>
      <c r="DI24" s="99">
        <f>0.5*2500*AR24/Popn!$H$22</f>
        <v>31.139145425811407</v>
      </c>
      <c r="DJ24" s="99">
        <f>0.5*2500*AS24/Popn!$H$22</f>
        <v>31.139145425811407</v>
      </c>
      <c r="DK24" s="99">
        <f>0.5*2500*AT24/Popn!$H$22</f>
        <v>29.916291101192222</v>
      </c>
      <c r="DL24" s="116">
        <f>0.5*2500*AU24/Popn!$H$22</f>
        <v>0</v>
      </c>
      <c r="DM24" s="116">
        <f>0.5*2500*AV24/Popn!$H$22</f>
        <v>0</v>
      </c>
      <c r="DN24" s="116">
        <f>0.5*2500*AW24/Popn!$H$22</f>
        <v>0</v>
      </c>
      <c r="DO24" s="116">
        <f>0.5*2500*AX24/Popn!$H$22</f>
        <v>0</v>
      </c>
      <c r="DP24" s="116">
        <f>0.5*2500*AY24/Popn!$H$22</f>
        <v>0</v>
      </c>
      <c r="DQ24" s="116">
        <f>0.5*2500*AZ24/Popn!$H$22</f>
        <v>0</v>
      </c>
      <c r="DR24" s="116">
        <f>0.5*2500*BA24/Popn!$H$22</f>
        <v>0</v>
      </c>
      <c r="DS24" s="116">
        <f>0.5*2500*BB24/Popn!$H$22</f>
        <v>0</v>
      </c>
      <c r="DT24" s="100">
        <f t="shared" ref="DT24:DT34" si="120">SUM(DG24:DR24)</f>
        <v>154.47287280443786</v>
      </c>
      <c r="DU24" s="92">
        <f>0.5*2500*BP24/Popn!$H$22</f>
        <v>32.380361352762755</v>
      </c>
      <c r="DV24" s="92">
        <f>0.5*2500*BQ24/Popn!$H$22</f>
        <v>32.380361352762755</v>
      </c>
      <c r="DW24" s="92">
        <f>0.5*2500*BR24/Popn!$H$22</f>
        <v>32.380361352762755</v>
      </c>
      <c r="DX24" s="92">
        <f>0.5*2500*BS24/Popn!$H$22</f>
        <v>31.989980076748719</v>
      </c>
      <c r="DY24" s="92">
        <f>0.5*2500*BT24/Popn!$H$22</f>
        <v>30.929270106310771</v>
      </c>
      <c r="DZ24" s="92">
        <f>0.5*2500*BU24/Popn!$H$22</f>
        <v>17.131687092806533</v>
      </c>
      <c r="EA24" s="118">
        <f>0.5*2500*BV24/Popn!$H$22</f>
        <v>0</v>
      </c>
      <c r="EB24" s="118">
        <f>0.5*2500*BW24/Popn!$H$22</f>
        <v>0</v>
      </c>
      <c r="EC24" s="118">
        <f>0.5*2500*BX24/Popn!$H$22</f>
        <v>0</v>
      </c>
      <c r="ED24" s="118">
        <f>0.5*2500*BY24/Popn!$H$22</f>
        <v>0</v>
      </c>
      <c r="EE24" s="118">
        <f>0.5*2500*BZ24/Popn!$H$22</f>
        <v>0</v>
      </c>
      <c r="EF24" s="118">
        <f>0.5*2500*CA24/Popn!$H$22</f>
        <v>0</v>
      </c>
      <c r="EG24" s="118">
        <f>0.5*2500*CB24/Popn!$H$22</f>
        <v>0</v>
      </c>
      <c r="EH24" s="95">
        <f t="shared" ref="EH24:EH34" si="121">SUM(DU24:EG24)</f>
        <v>177.1920213341543</v>
      </c>
    </row>
    <row r="25" spans="2:138" ht="15.75" thickBot="1" x14ac:dyDescent="0.3">
      <c r="B25" s="124"/>
      <c r="E25" s="127"/>
      <c r="G25" s="27" t="s">
        <v>21</v>
      </c>
      <c r="H25" s="48">
        <f t="shared" ref="H25:O25" si="122">H10</f>
        <v>4731715.2634574072</v>
      </c>
      <c r="I25" s="50">
        <f t="shared" si="122"/>
        <v>11602801.340801064</v>
      </c>
      <c r="J25" s="45">
        <f t="shared" si="122"/>
        <v>0.1468108816837729</v>
      </c>
      <c r="K25" s="45">
        <f t="shared" si="122"/>
        <v>0.11418624130960116</v>
      </c>
      <c r="L25" s="45">
        <f t="shared" si="117"/>
        <v>0.20390400233857348</v>
      </c>
      <c r="M25" s="50">
        <f t="shared" si="122"/>
        <v>13832766.881824298</v>
      </c>
      <c r="N25" s="50">
        <f t="shared" si="122"/>
        <v>14993047.015904402</v>
      </c>
      <c r="O25" s="50">
        <f t="shared" si="122"/>
        <v>16153327.149984509</v>
      </c>
      <c r="P25" s="51">
        <f t="shared" si="118"/>
        <v>3109009.3313542488</v>
      </c>
      <c r="Q25" s="51">
        <f>MIN($M25-SUM($P25:P25),Q$21*AD25)</f>
        <v>3109009.3313542488</v>
      </c>
      <c r="R25" s="51">
        <f>MIN($M25-SUM($P25:Q25),R$21*AE25)</f>
        <v>3109009.3313542488</v>
      </c>
      <c r="S25" s="51">
        <f>MIN($M25-SUM($P25:R25),S$21*AF25)</f>
        <v>3109009.3313542488</v>
      </c>
      <c r="T25" s="51">
        <f>MIN($M25-SUM($P25:S25),T$21*AG25)</f>
        <v>1396729.5564073026</v>
      </c>
      <c r="U25" s="51"/>
      <c r="V25" s="51"/>
      <c r="W25" s="51"/>
      <c r="X25" s="51"/>
      <c r="Y25" s="28"/>
      <c r="Z25" s="29"/>
      <c r="AA25" s="29"/>
      <c r="AB25" s="53">
        <f t="shared" si="107"/>
        <v>0</v>
      </c>
      <c r="AC25" s="4">
        <f t="shared" si="108"/>
        <v>0.10363364437847496</v>
      </c>
      <c r="AD25" s="4">
        <f>$M25/SUM($M$38:$M$40,$M$44:$M$46)</f>
        <v>0.10363364437847496</v>
      </c>
      <c r="AE25" s="4">
        <f t="shared" si="108"/>
        <v>0.10363364437847496</v>
      </c>
      <c r="AF25" s="4">
        <f t="shared" si="108"/>
        <v>0.10363364437847496</v>
      </c>
      <c r="AG25" s="4">
        <f t="shared" si="108"/>
        <v>0.10363364437847496</v>
      </c>
      <c r="AH25" s="4">
        <f t="shared" si="108"/>
        <v>0.10363364437847496</v>
      </c>
      <c r="AI25" s="4">
        <f t="shared" si="108"/>
        <v>0.10363364437847496</v>
      </c>
      <c r="AJ25" s="4">
        <f t="shared" si="108"/>
        <v>0.10363364437847496</v>
      </c>
      <c r="AK25" s="4">
        <f t="shared" si="108"/>
        <v>0.10363364437847496</v>
      </c>
      <c r="AL25" s="4">
        <f>IF(SUM($P25:X25)&lt;$M25,$H25/SUM($H$38:$H$46),0)</f>
        <v>0</v>
      </c>
      <c r="AM25" s="4">
        <f t="shared" si="109"/>
        <v>4.2235607834429541E-2</v>
      </c>
      <c r="AN25" s="4">
        <f t="shared" si="109"/>
        <v>4.2235607834429541E-2</v>
      </c>
      <c r="AP25" s="62">
        <f>MIN($N25,$AP$36*BC25/BC$50)</f>
        <v>3022347.3088076222</v>
      </c>
      <c r="AQ25" s="62">
        <f>MIN($N25-SUM($AP25:AP25),AQ21*BD25/BD35)</f>
        <v>3022347.3088076226</v>
      </c>
      <c r="AR25" s="62">
        <f>MIN($N25-SUM($AP25:AQ25),AR21*BE25/BE35)</f>
        <v>3022347.3088076226</v>
      </c>
      <c r="AS25" s="62">
        <f>MIN($N25-SUM($AP25:AR25),AS21*BF25/BF35)</f>
        <v>3022347.3088076226</v>
      </c>
      <c r="AT25" s="62">
        <f>MIN($N25-SUM($AP25:AS25),AT21*BG25/BG35)</f>
        <v>2903657.7806739118</v>
      </c>
      <c r="AU25" s="62">
        <f>MIN($N25-SUM($AP25:AT25),AU21*BH25/BH35)</f>
        <v>0</v>
      </c>
      <c r="AV25" s="62"/>
      <c r="AW25" s="62"/>
      <c r="AX25" s="62"/>
      <c r="AY25" s="73"/>
      <c r="AZ25" s="66"/>
      <c r="BA25" s="66"/>
      <c r="BB25" s="63">
        <f t="shared" si="110"/>
        <v>0</v>
      </c>
      <c r="BC25" s="64">
        <f t="shared" si="111"/>
        <v>0.10074491029358741</v>
      </c>
      <c r="BD25" s="64">
        <f t="shared" si="111"/>
        <v>0.10074491029358741</v>
      </c>
      <c r="BE25" s="64">
        <f t="shared" si="111"/>
        <v>0.10074491029358741</v>
      </c>
      <c r="BF25" s="64">
        <f t="shared" si="111"/>
        <v>0.10074491029358741</v>
      </c>
      <c r="BG25" s="64">
        <f t="shared" si="111"/>
        <v>0.10074491029358741</v>
      </c>
      <c r="BH25" s="64">
        <f t="shared" si="111"/>
        <v>0.10074491029358741</v>
      </c>
      <c r="BI25" s="64">
        <f t="shared" si="111"/>
        <v>0.10074491029358741</v>
      </c>
      <c r="BJ25" s="64">
        <f t="shared" si="111"/>
        <v>0.10074491029358741</v>
      </c>
      <c r="BK25" s="64">
        <f t="shared" si="111"/>
        <v>0.10074491029358741</v>
      </c>
      <c r="BL25" s="64">
        <f>IF(SUM($AP25:AX25)&lt;$N25,$H25/SUM($H$38:$H$46),0)</f>
        <v>0</v>
      </c>
      <c r="BM25" s="64">
        <f t="shared" si="112"/>
        <v>4.2235607834429541E-2</v>
      </c>
      <c r="BN25" s="64">
        <f t="shared" si="112"/>
        <v>4.2235607834429541E-2</v>
      </c>
      <c r="BP25" s="78">
        <f>MIN($O25,$BP$36*CD25/CD$50)</f>
        <v>2951885.5658828262</v>
      </c>
      <c r="BQ25" s="78">
        <f>MIN($O25-SUM($BP25:BP25),BQ21*CE25/CE35)</f>
        <v>2951885.5658828258</v>
      </c>
      <c r="BR25" s="78">
        <f>MIN($O25-SUM($BP25:BQ25),BR21*CF25/CF35)</f>
        <v>2951885.5658828262</v>
      </c>
      <c r="BS25" s="78">
        <f>MIN($O25-SUM($BP25:BR25),BS21*CG25/CG35)</f>
        <v>2916297.3017092873</v>
      </c>
      <c r="BT25" s="78">
        <f>MIN($O25-SUM($BP25:BS25),BT21*CH25/CH35)</f>
        <v>2819599.9728187118</v>
      </c>
      <c r="BU25" s="78">
        <f>MIN($O25-SUM($BP25:BT25),BU21*CI25/CI35)</f>
        <v>1561773.1778080314</v>
      </c>
      <c r="BV25" s="78"/>
      <c r="BW25" s="78"/>
      <c r="BX25" s="78"/>
      <c r="BY25" s="89"/>
      <c r="BZ25" s="82"/>
      <c r="CA25" s="82"/>
      <c r="CB25" s="82"/>
      <c r="CC25" s="79">
        <f t="shared" si="113"/>
        <v>0</v>
      </c>
      <c r="CD25" s="80">
        <f t="shared" si="114"/>
        <v>9.8396185529427541E-2</v>
      </c>
      <c r="CE25" s="80">
        <f t="shared" si="114"/>
        <v>9.8396185529427541E-2</v>
      </c>
      <c r="CF25" s="80">
        <f t="shared" si="114"/>
        <v>9.8396185529427541E-2</v>
      </c>
      <c r="CG25" s="80">
        <f t="shared" si="114"/>
        <v>9.8396185529427541E-2</v>
      </c>
      <c r="CH25" s="80">
        <f t="shared" si="114"/>
        <v>9.8396185529427541E-2</v>
      </c>
      <c r="CI25" s="80">
        <f t="shared" si="114"/>
        <v>9.8396185529427541E-2</v>
      </c>
      <c r="CJ25" s="80">
        <f t="shared" si="114"/>
        <v>9.8396185529427541E-2</v>
      </c>
      <c r="CK25" s="80">
        <f t="shared" si="114"/>
        <v>9.8396185529427541E-2</v>
      </c>
      <c r="CL25" s="80">
        <f t="shared" si="114"/>
        <v>9.8396185529427541E-2</v>
      </c>
      <c r="CM25" s="80">
        <f>IF(SUM($BP25:BX25)&lt;$O25,$H25/SUM($H$38:$H$46),0)</f>
        <v>0</v>
      </c>
      <c r="CN25" s="80">
        <f t="shared" si="115"/>
        <v>4.2235607834429541E-2</v>
      </c>
      <c r="CO25" s="80">
        <f t="shared" si="115"/>
        <v>4.2235607834429541E-2</v>
      </c>
      <c r="CP25" s="91"/>
      <c r="CR25" s="27" t="s">
        <v>103</v>
      </c>
      <c r="CS25" s="105">
        <f>0.5*2500*P25/Popn!$H$22</f>
        <v>17.344516148134719</v>
      </c>
      <c r="CT25" s="105">
        <f>0.5*2500*Q25/Popn!$H$22</f>
        <v>17.344516148134719</v>
      </c>
      <c r="CU25" s="105">
        <f>0.5*2500*R25/Popn!$H$22</f>
        <v>17.344516148134719</v>
      </c>
      <c r="CV25" s="105">
        <f>0.5*2500*S25/Popn!$H$22</f>
        <v>17.344516148134719</v>
      </c>
      <c r="CW25" s="105">
        <f>0.5*2500*T25/Popn!$H$22</f>
        <v>7.7920635687288575</v>
      </c>
      <c r="CX25" s="106">
        <f>0.5*2500*U25/Popn!$H$22</f>
        <v>0</v>
      </c>
      <c r="CY25" s="106">
        <f>0.5*2500*V25/Popn!$H$22</f>
        <v>0</v>
      </c>
      <c r="CZ25" s="106">
        <f>0.5*2500*W25/Popn!$H$22</f>
        <v>0</v>
      </c>
      <c r="DA25" s="106">
        <f>0.5*2500*X25/Popn!$H$22</f>
        <v>0</v>
      </c>
      <c r="DB25" s="106">
        <f>0.5*2500*Y25/Popn!$H$22</f>
        <v>0</v>
      </c>
      <c r="DC25" s="106">
        <f>0.5*2500*Z25/Popn!$H$22</f>
        <v>0</v>
      </c>
      <c r="DD25" s="106">
        <f>0.5*2500*AA25/Popn!$H$22</f>
        <v>0</v>
      </c>
      <c r="DE25" s="106">
        <f>0.5*2500*AB25/Popn!$H$22</f>
        <v>0</v>
      </c>
      <c r="DF25" s="38">
        <f t="shared" si="119"/>
        <v>77.170128161267741</v>
      </c>
      <c r="DG25" s="99">
        <f>0.5*2500*AP25/Popn!$H$22</f>
        <v>16.861046756669356</v>
      </c>
      <c r="DH25" s="99">
        <f>0.5*2500*AQ25/Popn!$H$22</f>
        <v>16.861046756669356</v>
      </c>
      <c r="DI25" s="99">
        <f>0.5*2500*AR25/Popn!$H$22</f>
        <v>16.861046756669356</v>
      </c>
      <c r="DJ25" s="99">
        <f>0.5*2500*AS25/Popn!$H$22</f>
        <v>16.861046756669356</v>
      </c>
      <c r="DK25" s="99">
        <f>0.5*2500*AT25/Popn!$H$22</f>
        <v>16.198902575701933</v>
      </c>
      <c r="DL25" s="116">
        <f>0.5*2500*AU25/Popn!$H$22</f>
        <v>0</v>
      </c>
      <c r="DM25" s="116">
        <f>0.5*2500*AV25/Popn!$H$22</f>
        <v>0</v>
      </c>
      <c r="DN25" s="116">
        <f>0.5*2500*AW25/Popn!$H$22</f>
        <v>0</v>
      </c>
      <c r="DO25" s="116">
        <f>0.5*2500*AX25/Popn!$H$22</f>
        <v>0</v>
      </c>
      <c r="DP25" s="116">
        <f>0.5*2500*AY25/Popn!$H$22</f>
        <v>0</v>
      </c>
      <c r="DQ25" s="116">
        <f>0.5*2500*AZ25/Popn!$H$22</f>
        <v>0</v>
      </c>
      <c r="DR25" s="116">
        <f>0.5*2500*BA25/Popn!$H$22</f>
        <v>0</v>
      </c>
      <c r="DS25" s="116">
        <f>0.5*2500*BB25/Popn!$H$22</f>
        <v>0</v>
      </c>
      <c r="DT25" s="100">
        <f t="shared" si="120"/>
        <v>83.643089602379362</v>
      </c>
      <c r="DU25" s="92">
        <f>0.5*2500*BP25/Popn!$H$22</f>
        <v>16.46795535431821</v>
      </c>
      <c r="DV25" s="92">
        <f>0.5*2500*BQ25/Popn!$H$22</f>
        <v>16.467955354318207</v>
      </c>
      <c r="DW25" s="92">
        <f>0.5*2500*BR25/Popn!$H$22</f>
        <v>16.46795535431821</v>
      </c>
      <c r="DX25" s="92">
        <f>0.5*2500*BS25/Popn!$H$22</f>
        <v>16.269415833572172</v>
      </c>
      <c r="DY25" s="92">
        <f>0.5*2500*BT25/Popn!$H$22</f>
        <v>15.729961556124403</v>
      </c>
      <c r="DZ25" s="92">
        <f>0.5*2500*BU25/Popn!$H$22</f>
        <v>8.7128075908398035</v>
      </c>
      <c r="EA25" s="118">
        <f>0.5*2500*BV25/Popn!$H$22</f>
        <v>0</v>
      </c>
      <c r="EB25" s="118">
        <f>0.5*2500*BW25/Popn!$H$22</f>
        <v>0</v>
      </c>
      <c r="EC25" s="118">
        <f>0.5*2500*BX25/Popn!$H$22</f>
        <v>0</v>
      </c>
      <c r="ED25" s="118">
        <f>0.5*2500*BY25/Popn!$H$22</f>
        <v>0</v>
      </c>
      <c r="EE25" s="118">
        <f>0.5*2500*BZ25/Popn!$H$22</f>
        <v>0</v>
      </c>
      <c r="EF25" s="118">
        <f>0.5*2500*CA25/Popn!$H$22</f>
        <v>0</v>
      </c>
      <c r="EG25" s="118">
        <f>0.5*2500*CB25/Popn!$H$22</f>
        <v>0</v>
      </c>
      <c r="EH25" s="95">
        <f t="shared" si="121"/>
        <v>90.116051043490998</v>
      </c>
    </row>
    <row r="26" spans="2:138" ht="15.75" thickBot="1" x14ac:dyDescent="0.3">
      <c r="B26" s="124"/>
      <c r="E26" s="127"/>
      <c r="G26" s="1" t="s">
        <v>9</v>
      </c>
      <c r="H26" s="48"/>
      <c r="I26" s="50">
        <f t="shared" ref="I26" si="123">I11</f>
        <v>14834500.179531109</v>
      </c>
      <c r="J26" s="45"/>
      <c r="K26" s="45"/>
      <c r="L26" s="45"/>
      <c r="M26" s="50">
        <f t="shared" ref="M26:O26" si="124">M11</f>
        <v>17801400.21543733</v>
      </c>
      <c r="N26" s="50">
        <f t="shared" si="124"/>
        <v>20768300.251343552</v>
      </c>
      <c r="O26" s="50">
        <f t="shared" si="124"/>
        <v>23735200.287249774</v>
      </c>
      <c r="P26" s="51">
        <f t="shared" si="118"/>
        <v>0</v>
      </c>
      <c r="Q26" s="51">
        <f>MIN($M26-SUM($P26:P26),Q$21*AD26)</f>
        <v>0</v>
      </c>
      <c r="R26" s="51">
        <f>MIN($M26-SUM($P26:Q26),R$21*AE26)</f>
        <v>0</v>
      </c>
      <c r="S26" s="51">
        <f>MIN($M26-SUM($P26:R26),S$21*AF26)</f>
        <v>0</v>
      </c>
      <c r="T26" s="51">
        <f>MIN($M26-SUM($P26:S26),T$21*AG26)</f>
        <v>0</v>
      </c>
      <c r="U26" s="51">
        <f>$M26/6</f>
        <v>2966900.0359062217</v>
      </c>
      <c r="V26" s="51">
        <f t="shared" ref="V26:Z26" si="125">$M26/6</f>
        <v>2966900.0359062217</v>
      </c>
      <c r="W26" s="51">
        <f t="shared" si="125"/>
        <v>2966900.0359062217</v>
      </c>
      <c r="X26" s="51">
        <f t="shared" si="125"/>
        <v>2966900.0359062217</v>
      </c>
      <c r="Y26" s="51">
        <f t="shared" si="125"/>
        <v>2966900.0359062217</v>
      </c>
      <c r="Z26" s="51">
        <f t="shared" si="125"/>
        <v>2966900.0359062217</v>
      </c>
      <c r="AA26" s="9"/>
      <c r="AB26" s="53">
        <f t="shared" si="107"/>
        <v>0</v>
      </c>
      <c r="AC26" s="4"/>
      <c r="AD26" s="4"/>
      <c r="AE26" s="4"/>
      <c r="AF26" s="4"/>
      <c r="AG26" s="4"/>
      <c r="AH26" s="4"/>
      <c r="AI26" s="4"/>
      <c r="AJ26" s="4"/>
      <c r="AK26" s="4"/>
      <c r="AL26" s="4">
        <f>IF(SUM($P26:X26)&lt;$M26,$H26/SUM($H$38:$H$46),0)</f>
        <v>0</v>
      </c>
      <c r="AM26" s="4">
        <f t="shared" si="109"/>
        <v>0</v>
      </c>
      <c r="AN26" s="4">
        <f t="shared" si="109"/>
        <v>0</v>
      </c>
      <c r="AP26" s="62"/>
      <c r="AQ26" s="62"/>
      <c r="AR26" s="62"/>
      <c r="AS26" s="62"/>
      <c r="AT26" s="62"/>
      <c r="AU26" s="62">
        <f>$N26/6</f>
        <v>3461383.3752239253</v>
      </c>
      <c r="AV26" s="62">
        <f t="shared" ref="AV26:AZ28" si="126">$N26/6</f>
        <v>3461383.3752239253</v>
      </c>
      <c r="AW26" s="62">
        <f t="shared" si="126"/>
        <v>3461383.3752239253</v>
      </c>
      <c r="AX26" s="62">
        <f t="shared" si="126"/>
        <v>3461383.3752239253</v>
      </c>
      <c r="AY26" s="62">
        <f t="shared" si="126"/>
        <v>3461383.3752239253</v>
      </c>
      <c r="AZ26" s="62">
        <f t="shared" si="126"/>
        <v>3461383.3752239253</v>
      </c>
      <c r="BA26" s="67"/>
      <c r="BB26" s="63">
        <f t="shared" si="110"/>
        <v>0</v>
      </c>
      <c r="BC26" s="64"/>
      <c r="BD26" s="64"/>
      <c r="BE26" s="64"/>
      <c r="BF26" s="64"/>
      <c r="BG26" s="64"/>
      <c r="BH26" s="64"/>
      <c r="BI26" s="64"/>
      <c r="BJ26" s="64"/>
      <c r="BK26" s="64"/>
      <c r="BL26" s="64">
        <f>IF(SUM($AP26:AX26)&lt;$N26,$H26/SUM($H$38:$H$46),0)</f>
        <v>0</v>
      </c>
      <c r="BM26" s="64">
        <f t="shared" si="112"/>
        <v>0</v>
      </c>
      <c r="BN26" s="64">
        <f t="shared" si="112"/>
        <v>0</v>
      </c>
      <c r="BP26" s="78"/>
      <c r="BQ26" s="78"/>
      <c r="BR26" s="78"/>
      <c r="BS26" s="78"/>
      <c r="BT26" s="78"/>
      <c r="BU26" s="78"/>
      <c r="BV26" s="78">
        <f>$O26/6</f>
        <v>3955866.714541629</v>
      </c>
      <c r="BW26" s="78">
        <f t="shared" ref="BW26:CA26" si="127">$O26/6</f>
        <v>3955866.714541629</v>
      </c>
      <c r="BX26" s="78">
        <f t="shared" si="127"/>
        <v>3955866.714541629</v>
      </c>
      <c r="BY26" s="78">
        <f t="shared" si="127"/>
        <v>3955866.714541629</v>
      </c>
      <c r="BZ26" s="78">
        <f t="shared" si="127"/>
        <v>3955866.714541629</v>
      </c>
      <c r="CA26" s="78">
        <f t="shared" si="127"/>
        <v>3955866.714541629</v>
      </c>
      <c r="CB26" s="83"/>
      <c r="CC26" s="79">
        <f t="shared" si="113"/>
        <v>0</v>
      </c>
      <c r="CD26" s="80"/>
      <c r="CE26" s="80"/>
      <c r="CF26" s="80"/>
      <c r="CG26" s="80"/>
      <c r="CH26" s="80"/>
      <c r="CI26" s="80"/>
      <c r="CJ26" s="80"/>
      <c r="CK26" s="80"/>
      <c r="CL26" s="80"/>
      <c r="CM26" s="80">
        <f>IF(SUM($BP26:BX26)&lt;$O26,$H26/SUM($H$38:$H$46),0)</f>
        <v>0</v>
      </c>
      <c r="CN26" s="80">
        <f t="shared" si="115"/>
        <v>0</v>
      </c>
      <c r="CO26" s="80">
        <f t="shared" si="115"/>
        <v>0</v>
      </c>
      <c r="CP26" s="91"/>
      <c r="CR26" s="1" t="s">
        <v>104</v>
      </c>
      <c r="CS26" s="106">
        <f>0.5*2500*P26/Popn!$H$22</f>
        <v>0</v>
      </c>
      <c r="CT26" s="106">
        <f>0.5*2500*Q26/Popn!$H$22</f>
        <v>0</v>
      </c>
      <c r="CU26" s="106">
        <f>0.5*2500*R26/Popn!$H$22</f>
        <v>0</v>
      </c>
      <c r="CV26" s="106">
        <f>0.5*2500*S26/Popn!$H$22</f>
        <v>0</v>
      </c>
      <c r="CW26" s="106">
        <f>0.5*2500*T26/Popn!$H$22</f>
        <v>0</v>
      </c>
      <c r="CX26" s="109">
        <f>0.5*2500*U26/Popn!$H$22</f>
        <v>16.551717958421758</v>
      </c>
      <c r="CY26" s="109">
        <f>0.5*2500*V26/Popn!$H$22</f>
        <v>16.551717958421758</v>
      </c>
      <c r="CZ26" s="109">
        <f>0.5*2500*W26/Popn!$H$22</f>
        <v>16.551717958421758</v>
      </c>
      <c r="DA26" s="109">
        <f>0.5*2500*X26/Popn!$H$22</f>
        <v>16.551717958421758</v>
      </c>
      <c r="DB26" s="109">
        <f>0.5*2500*Y26/Popn!$H$22</f>
        <v>16.551717958421758</v>
      </c>
      <c r="DC26" s="109">
        <f>0.5*2500*Z26/Popn!$H$22</f>
        <v>16.551717958421758</v>
      </c>
      <c r="DD26" s="106">
        <f>0.5*2500*AA26/Popn!$H$22</f>
        <v>0</v>
      </c>
      <c r="DE26" s="106">
        <f>0.5*2500*AB26/Popn!$H$22</f>
        <v>0</v>
      </c>
      <c r="DF26" s="38">
        <f t="shared" si="119"/>
        <v>99.310307750530555</v>
      </c>
      <c r="DG26" s="116">
        <f>0.5*2500*AP26/Popn!$H$22</f>
        <v>0</v>
      </c>
      <c r="DH26" s="116">
        <f>0.5*2500*AQ26/Popn!$H$22</f>
        <v>0</v>
      </c>
      <c r="DI26" s="116">
        <f>0.5*2500*AR26/Popn!$H$22</f>
        <v>0</v>
      </c>
      <c r="DJ26" s="116">
        <f>0.5*2500*AS26/Popn!$H$22</f>
        <v>0</v>
      </c>
      <c r="DK26" s="116">
        <f>0.5*2500*AT26/Popn!$H$22</f>
        <v>0</v>
      </c>
      <c r="DL26" s="116">
        <f>0.5*2500*AU26/Popn!$H$22</f>
        <v>19.310337618158716</v>
      </c>
      <c r="DM26" s="116">
        <f>0.5*2500*AV26/Popn!$H$22</f>
        <v>19.310337618158716</v>
      </c>
      <c r="DN26" s="116">
        <f>0.5*2500*AW26/Popn!$H$22</f>
        <v>19.310337618158716</v>
      </c>
      <c r="DO26" s="116">
        <f>0.5*2500*AX26/Popn!$H$22</f>
        <v>19.310337618158716</v>
      </c>
      <c r="DP26" s="116">
        <f>0.5*2500*AY26/Popn!$H$22</f>
        <v>19.310337618158716</v>
      </c>
      <c r="DQ26" s="116">
        <f>0.5*2500*AZ26/Popn!$H$22</f>
        <v>19.310337618158716</v>
      </c>
      <c r="DR26" s="116">
        <f>0.5*2500*BA26/Popn!$H$22</f>
        <v>0</v>
      </c>
      <c r="DS26" s="116">
        <f>0.5*2500*BB26/Popn!$H$22</f>
        <v>0</v>
      </c>
      <c r="DT26" s="100">
        <f t="shared" si="120"/>
        <v>115.86202570895229</v>
      </c>
      <c r="DU26" s="118">
        <f>0.5*2500*BP26/Popn!$H$22</f>
        <v>0</v>
      </c>
      <c r="DV26" s="118">
        <f>0.5*2500*BQ26/Popn!$H$22</f>
        <v>0</v>
      </c>
      <c r="DW26" s="118">
        <f>0.5*2500*BR26/Popn!$H$22</f>
        <v>0</v>
      </c>
      <c r="DX26" s="118">
        <f>0.5*2500*BS26/Popn!$H$22</f>
        <v>0</v>
      </c>
      <c r="DY26" s="118">
        <f>0.5*2500*BT26/Popn!$H$22</f>
        <v>0</v>
      </c>
      <c r="DZ26" s="118">
        <f>0.5*2500*BU26/Popn!$H$22</f>
        <v>0</v>
      </c>
      <c r="EA26" s="94">
        <f>0.5*2500*BV26/Popn!$H$22</f>
        <v>22.068957277895681</v>
      </c>
      <c r="EB26" s="94">
        <f>0.5*2500*BW26/Popn!$H$22</f>
        <v>22.068957277895681</v>
      </c>
      <c r="EC26" s="94">
        <f>0.5*2500*BX26/Popn!$H$22</f>
        <v>22.068957277895681</v>
      </c>
      <c r="ED26" s="94">
        <f>0.5*2500*BY26/Popn!$H$22</f>
        <v>22.068957277895681</v>
      </c>
      <c r="EE26" s="94">
        <f>0.5*2500*BZ26/Popn!$H$22</f>
        <v>22.068957277895681</v>
      </c>
      <c r="EF26" s="94">
        <f>0.5*2500*CA26/Popn!$H$22</f>
        <v>22.068957277895681</v>
      </c>
      <c r="EG26" s="118">
        <f>0.5*2500*CB26/Popn!$H$22</f>
        <v>0</v>
      </c>
      <c r="EH26" s="95">
        <f t="shared" si="121"/>
        <v>132.41374366737409</v>
      </c>
    </row>
    <row r="27" spans="2:138" ht="15.75" thickBot="1" x14ac:dyDescent="0.3">
      <c r="B27" s="124"/>
      <c r="E27" s="127"/>
      <c r="G27" s="1" t="s">
        <v>24</v>
      </c>
      <c r="H27" s="48"/>
      <c r="I27" s="50">
        <f t="shared" ref="I27" si="128">I12</f>
        <v>4447016.3001431488</v>
      </c>
      <c r="J27" s="45"/>
      <c r="K27" s="45"/>
      <c r="L27" s="45"/>
      <c r="M27" s="50">
        <f t="shared" ref="M27:O27" si="129">M12</f>
        <v>2846090.4320916156</v>
      </c>
      <c r="N27" s="50">
        <f t="shared" si="129"/>
        <v>3023971.0840973412</v>
      </c>
      <c r="O27" s="50">
        <f t="shared" si="129"/>
        <v>3201851.7361030672</v>
      </c>
      <c r="P27" s="51">
        <f t="shared" si="118"/>
        <v>0</v>
      </c>
      <c r="Q27" s="51">
        <f>MIN($M27-SUM($P27:P27),Q$21*AD27)</f>
        <v>0</v>
      </c>
      <c r="R27" s="51">
        <f>MIN($M27-SUM($P27:Q27),R$21*AE27)</f>
        <v>0</v>
      </c>
      <c r="S27" s="51">
        <f>MIN($M27-SUM($P27:R27),S$21*AF27)</f>
        <v>0</v>
      </c>
      <c r="T27" s="51">
        <f>MIN($M27-SUM($P27:S27),T$21*AG27)</f>
        <v>0</v>
      </c>
      <c r="U27" s="51">
        <f>$M27/6</f>
        <v>474348.40534860262</v>
      </c>
      <c r="V27" s="51">
        <f t="shared" ref="V27:Z28" si="130">$M27/6</f>
        <v>474348.40534860262</v>
      </c>
      <c r="W27" s="51">
        <f t="shared" si="130"/>
        <v>474348.40534860262</v>
      </c>
      <c r="X27" s="51">
        <f t="shared" si="130"/>
        <v>474348.40534860262</v>
      </c>
      <c r="Y27" s="51">
        <f t="shared" si="130"/>
        <v>474348.40534860262</v>
      </c>
      <c r="Z27" s="51">
        <f t="shared" si="130"/>
        <v>474348.40534860262</v>
      </c>
      <c r="AA27" s="9"/>
      <c r="AB27" s="53">
        <f t="shared" si="107"/>
        <v>0</v>
      </c>
      <c r="AC27" s="4"/>
      <c r="AD27" s="4"/>
      <c r="AE27" s="4"/>
      <c r="AF27" s="4"/>
      <c r="AG27" s="4"/>
      <c r="AH27" s="4"/>
      <c r="AI27" s="4"/>
      <c r="AJ27" s="4"/>
      <c r="AK27" s="4"/>
      <c r="AL27" s="4">
        <f>IF(SUM($P27:X27)&lt;$M27,$H27/SUM($H$38:$H$46),0)</f>
        <v>0</v>
      </c>
      <c r="AM27" s="4">
        <f t="shared" si="109"/>
        <v>0</v>
      </c>
      <c r="AN27" s="4">
        <f t="shared" si="109"/>
        <v>0</v>
      </c>
      <c r="AP27" s="62"/>
      <c r="AQ27" s="62"/>
      <c r="AR27" s="62"/>
      <c r="AS27" s="62"/>
      <c r="AT27" s="62"/>
      <c r="AU27" s="62">
        <f>$N27/6</f>
        <v>503995.18068289018</v>
      </c>
      <c r="AV27" s="62">
        <f t="shared" si="126"/>
        <v>503995.18068289018</v>
      </c>
      <c r="AW27" s="62">
        <f t="shared" si="126"/>
        <v>503995.18068289018</v>
      </c>
      <c r="AX27" s="62">
        <f t="shared" si="126"/>
        <v>503995.18068289018</v>
      </c>
      <c r="AY27" s="62">
        <f t="shared" si="126"/>
        <v>503995.18068289018</v>
      </c>
      <c r="AZ27" s="62">
        <f t="shared" si="126"/>
        <v>503995.18068289018</v>
      </c>
      <c r="BA27" s="67"/>
      <c r="BB27" s="63">
        <f t="shared" si="110"/>
        <v>0</v>
      </c>
      <c r="BC27" s="64"/>
      <c r="BD27" s="64"/>
      <c r="BE27" s="64"/>
      <c r="BF27" s="64"/>
      <c r="BG27" s="64"/>
      <c r="BH27" s="64"/>
      <c r="BI27" s="64"/>
      <c r="BJ27" s="64"/>
      <c r="BK27" s="64"/>
      <c r="BL27" s="64">
        <f>IF(SUM($AP27:AX27)&lt;$N27,$H27/SUM($H$38:$H$46),0)</f>
        <v>0</v>
      </c>
      <c r="BM27" s="64">
        <f t="shared" si="112"/>
        <v>0</v>
      </c>
      <c r="BN27" s="64">
        <f t="shared" si="112"/>
        <v>0</v>
      </c>
      <c r="BP27" s="78"/>
      <c r="BQ27" s="78"/>
      <c r="BR27" s="78"/>
      <c r="BS27" s="78"/>
      <c r="BT27" s="78"/>
      <c r="BU27" s="78"/>
      <c r="BV27" s="78">
        <f t="shared" ref="BV27:CA28" si="131">$O27/6</f>
        <v>533641.9560171779</v>
      </c>
      <c r="BW27" s="78">
        <f t="shared" si="131"/>
        <v>533641.9560171779</v>
      </c>
      <c r="BX27" s="78">
        <f t="shared" si="131"/>
        <v>533641.9560171779</v>
      </c>
      <c r="BY27" s="78">
        <f t="shared" si="131"/>
        <v>533641.9560171779</v>
      </c>
      <c r="BZ27" s="78">
        <f t="shared" si="131"/>
        <v>533641.9560171779</v>
      </c>
      <c r="CA27" s="78">
        <f t="shared" si="131"/>
        <v>533641.9560171779</v>
      </c>
      <c r="CB27" s="83"/>
      <c r="CC27" s="79">
        <f>SUM(BP27:CB27)-O27</f>
        <v>0</v>
      </c>
      <c r="CD27" s="80"/>
      <c r="CE27" s="80"/>
      <c r="CF27" s="80"/>
      <c r="CG27" s="80"/>
      <c r="CH27" s="80"/>
      <c r="CI27" s="80"/>
      <c r="CJ27" s="80"/>
      <c r="CK27" s="80"/>
      <c r="CL27" s="80"/>
      <c r="CM27" s="80">
        <f>IF(SUM($BP27:BX27)&lt;$O27,$H27/SUM($H$38:$H$46),0)</f>
        <v>0</v>
      </c>
      <c r="CN27" s="80">
        <f t="shared" si="115"/>
        <v>0</v>
      </c>
      <c r="CO27" s="80">
        <f t="shared" si="115"/>
        <v>0</v>
      </c>
      <c r="CP27" s="91"/>
      <c r="CR27" s="1" t="s">
        <v>105</v>
      </c>
      <c r="CS27" s="106">
        <f>2500*P27/Popn!$H$22</f>
        <v>0</v>
      </c>
      <c r="CT27" s="106">
        <f>2500*Q27/Popn!$H$22</f>
        <v>0</v>
      </c>
      <c r="CU27" s="106">
        <f>2500*R27/Popn!$H$22</f>
        <v>0</v>
      </c>
      <c r="CV27" s="106">
        <f>2500*S27/Popn!$H$22</f>
        <v>0</v>
      </c>
      <c r="CW27" s="106">
        <f>2500*T27/Popn!$H$22</f>
        <v>0</v>
      </c>
      <c r="CX27" s="108">
        <f>2500*U27/Popn!$H$22</f>
        <v>5.2925821054561162</v>
      </c>
      <c r="CY27" s="108">
        <f>2500*V27/Popn!$H$22</f>
        <v>5.2925821054561162</v>
      </c>
      <c r="CZ27" s="108">
        <f>2500*W27/Popn!$H$22</f>
        <v>5.2925821054561162</v>
      </c>
      <c r="DA27" s="108">
        <f>2500*X27/Popn!$H$22</f>
        <v>5.2925821054561162</v>
      </c>
      <c r="DB27" s="108">
        <f>2500*Y27/Popn!$H$22</f>
        <v>5.2925821054561162</v>
      </c>
      <c r="DC27" s="108">
        <f>2500*Z27/Popn!$H$22</f>
        <v>5.2925821054561162</v>
      </c>
      <c r="DD27" s="117">
        <f>2500*AA27/Popn!$H$22</f>
        <v>0</v>
      </c>
      <c r="DE27" s="117">
        <f>2500*AB27/Popn!$H$22</f>
        <v>0</v>
      </c>
      <c r="DF27" s="38">
        <f t="shared" si="119"/>
        <v>31.755492632736697</v>
      </c>
      <c r="DG27" s="116">
        <f>2500*AP27/Popn!$H$22</f>
        <v>0</v>
      </c>
      <c r="DH27" s="116">
        <f>2500*AQ27/Popn!$H$22</f>
        <v>0</v>
      </c>
      <c r="DI27" s="116">
        <f>2500*AR27/Popn!$H$22</f>
        <v>0</v>
      </c>
      <c r="DJ27" s="116">
        <f>2500*AS27/Popn!$H$22</f>
        <v>0</v>
      </c>
      <c r="DK27" s="116">
        <f>2500*AT27/Popn!$H$22</f>
        <v>0</v>
      </c>
      <c r="DL27" s="101">
        <f>2500*AU27/Popn!$H$22</f>
        <v>5.6233684870471228</v>
      </c>
      <c r="DM27" s="101">
        <f>2500*AV27/Popn!$H$22</f>
        <v>5.6233684870471228</v>
      </c>
      <c r="DN27" s="101">
        <f>2500*AW27/Popn!$H$22</f>
        <v>5.6233684870471228</v>
      </c>
      <c r="DO27" s="101">
        <f>2500*AX27/Popn!$H$22</f>
        <v>5.6233684870471228</v>
      </c>
      <c r="DP27" s="101">
        <f>2500*AY27/Popn!$H$22</f>
        <v>5.6233684870471228</v>
      </c>
      <c r="DQ27" s="101">
        <f>2500*AZ27/Popn!$H$22</f>
        <v>5.6233684870471228</v>
      </c>
      <c r="DR27" s="116">
        <f>2500*BA27/Popn!$H$22</f>
        <v>0</v>
      </c>
      <c r="DS27" s="116">
        <f>2500*BB27/Popn!$H$22</f>
        <v>0</v>
      </c>
      <c r="DT27" s="100">
        <f t="shared" si="120"/>
        <v>33.740210922282735</v>
      </c>
      <c r="DU27" s="118">
        <f>2500*BP27/Popn!$H$22</f>
        <v>0</v>
      </c>
      <c r="DV27" s="118">
        <f>2500*BQ27/Popn!$H$22</f>
        <v>0</v>
      </c>
      <c r="DW27" s="118">
        <f>2500*BR27/Popn!$H$22</f>
        <v>0</v>
      </c>
      <c r="DX27" s="118">
        <f>2500*BS27/Popn!$H$22</f>
        <v>0</v>
      </c>
      <c r="DY27" s="118">
        <f>2500*BT27/Popn!$H$22</f>
        <v>0</v>
      </c>
      <c r="DZ27" s="118">
        <f>2500*BU27/Popn!$H$22</f>
        <v>0</v>
      </c>
      <c r="EA27" s="93">
        <f>2500*BV27/Popn!$H$22</f>
        <v>5.9541548686381303</v>
      </c>
      <c r="EB27" s="93">
        <f>2500*BW27/Popn!$H$22</f>
        <v>5.9541548686381303</v>
      </c>
      <c r="EC27" s="93">
        <f>2500*BX27/Popn!$H$22</f>
        <v>5.9541548686381303</v>
      </c>
      <c r="ED27" s="93">
        <f>2500*BY27/Popn!$H$22</f>
        <v>5.9541548686381303</v>
      </c>
      <c r="EE27" s="93">
        <f>2500*BZ27/Popn!$H$22</f>
        <v>5.9541548686381303</v>
      </c>
      <c r="EF27" s="93">
        <f>2500*CA27/Popn!$H$22</f>
        <v>5.9541548686381303</v>
      </c>
      <c r="EG27" s="118">
        <f>2500*CB27/Popn!$H$22</f>
        <v>0</v>
      </c>
      <c r="EH27" s="95">
        <f t="shared" si="121"/>
        <v>35.72492921182878</v>
      </c>
    </row>
    <row r="28" spans="2:138" ht="15.75" thickBot="1" x14ac:dyDescent="0.3">
      <c r="B28" s="124"/>
      <c r="E28" s="127"/>
      <c r="G28" t="s">
        <v>55</v>
      </c>
      <c r="H28" s="48"/>
      <c r="I28" s="50">
        <f t="shared" ref="I28" si="132">I13</f>
        <v>40724136.768097505</v>
      </c>
      <c r="J28" s="45"/>
      <c r="K28" s="45"/>
      <c r="L28" s="45"/>
      <c r="M28" s="50">
        <f t="shared" ref="M28:O28" si="133">M13</f>
        <v>18993833.698927861</v>
      </c>
      <c r="N28" s="50">
        <f t="shared" si="133"/>
        <v>22390202.627815396</v>
      </c>
      <c r="O28" s="50">
        <f t="shared" si="133"/>
        <v>25786571.556702938</v>
      </c>
      <c r="P28" s="51">
        <f t="shared" si="118"/>
        <v>0</v>
      </c>
      <c r="Q28" s="51">
        <f>MIN($M28-SUM($P28:P28),Q$21*AD28)</f>
        <v>0</v>
      </c>
      <c r="R28" s="51">
        <f>MIN($M28-SUM($P28:Q28),R$21*AE28)</f>
        <v>0</v>
      </c>
      <c r="S28" s="51">
        <f>MIN($M28-SUM($P28:R28),S$21*AF28)</f>
        <v>0</v>
      </c>
      <c r="T28" s="51">
        <f>MIN($M28-SUM($P28:S28),T$21*AG28)</f>
        <v>0</v>
      </c>
      <c r="U28" s="51">
        <f>$M28/6</f>
        <v>3165638.9498213101</v>
      </c>
      <c r="V28" s="51">
        <f t="shared" si="130"/>
        <v>3165638.9498213101</v>
      </c>
      <c r="W28" s="51">
        <f t="shared" si="130"/>
        <v>3165638.9498213101</v>
      </c>
      <c r="X28" s="51">
        <f t="shared" si="130"/>
        <v>3165638.9498213101</v>
      </c>
      <c r="Y28" s="51">
        <f t="shared" si="130"/>
        <v>3165638.9498213101</v>
      </c>
      <c r="Z28" s="51">
        <f t="shared" si="130"/>
        <v>3165638.9498213101</v>
      </c>
      <c r="AA28" s="51"/>
      <c r="AB28" s="53">
        <f t="shared" si="107"/>
        <v>0</v>
      </c>
      <c r="AC28" s="4"/>
      <c r="AD28" s="4"/>
      <c r="AE28" s="4"/>
      <c r="AF28" s="4"/>
      <c r="AG28" s="4"/>
      <c r="AH28" s="4"/>
      <c r="AI28" s="4"/>
      <c r="AJ28" s="4"/>
      <c r="AK28" s="4"/>
      <c r="AL28" s="4">
        <f>IF(SUM($P28:X28)&lt;$M28,$H28/SUM($H$38:$H$46),0)</f>
        <v>0</v>
      </c>
      <c r="AM28" s="4">
        <f t="shared" si="109"/>
        <v>0</v>
      </c>
      <c r="AN28" s="4">
        <f t="shared" si="109"/>
        <v>0</v>
      </c>
      <c r="AP28" s="62"/>
      <c r="AQ28" s="62"/>
      <c r="AR28" s="62"/>
      <c r="AS28" s="62"/>
      <c r="AT28" s="62"/>
      <c r="AU28" s="62">
        <f>$N28/6</f>
        <v>3731700.4379692324</v>
      </c>
      <c r="AV28" s="62">
        <f t="shared" si="126"/>
        <v>3731700.4379692324</v>
      </c>
      <c r="AW28" s="62">
        <f t="shared" si="126"/>
        <v>3731700.4379692324</v>
      </c>
      <c r="AX28" s="62">
        <f t="shared" si="126"/>
        <v>3731700.4379692324</v>
      </c>
      <c r="AY28" s="62">
        <f t="shared" si="126"/>
        <v>3731700.4379692324</v>
      </c>
      <c r="AZ28" s="62">
        <f t="shared" si="126"/>
        <v>3731700.4379692324</v>
      </c>
      <c r="BA28" s="67"/>
      <c r="BB28" s="63">
        <f t="shared" si="110"/>
        <v>0</v>
      </c>
      <c r="BC28" s="64"/>
      <c r="BD28" s="64"/>
      <c r="BE28" s="64"/>
      <c r="BF28" s="64"/>
      <c r="BG28" s="64"/>
      <c r="BH28" s="64"/>
      <c r="BI28" s="64"/>
      <c r="BJ28" s="64"/>
      <c r="BK28" s="64"/>
      <c r="BL28" s="64">
        <f>IF(SUM($AP28:AX28)&lt;$N28,$H28/SUM($H$38:$H$46),0)</f>
        <v>0</v>
      </c>
      <c r="BM28" s="64">
        <f t="shared" si="112"/>
        <v>0</v>
      </c>
      <c r="BN28" s="64">
        <f t="shared" si="112"/>
        <v>0</v>
      </c>
      <c r="BP28" s="78"/>
      <c r="BQ28" s="78"/>
      <c r="BR28" s="78"/>
      <c r="BS28" s="78"/>
      <c r="BT28" s="78"/>
      <c r="BU28" s="78"/>
      <c r="BV28" s="78">
        <f t="shared" si="131"/>
        <v>4297761.9261171566</v>
      </c>
      <c r="BW28" s="78">
        <f t="shared" si="131"/>
        <v>4297761.9261171566</v>
      </c>
      <c r="BX28" s="78">
        <f t="shared" si="131"/>
        <v>4297761.9261171566</v>
      </c>
      <c r="BY28" s="78">
        <f t="shared" si="131"/>
        <v>4297761.9261171566</v>
      </c>
      <c r="BZ28" s="78">
        <f t="shared" si="131"/>
        <v>4297761.9261171566</v>
      </c>
      <c r="CA28" s="78">
        <f t="shared" si="131"/>
        <v>4297761.9261171566</v>
      </c>
      <c r="CB28" s="83"/>
      <c r="CC28" s="79">
        <f t="shared" si="113"/>
        <v>0</v>
      </c>
      <c r="CD28" s="80"/>
      <c r="CE28" s="80"/>
      <c r="CF28" s="80"/>
      <c r="CG28" s="80"/>
      <c r="CH28" s="80"/>
      <c r="CI28" s="80"/>
      <c r="CJ28" s="80"/>
      <c r="CK28" s="80"/>
      <c r="CL28" s="80"/>
      <c r="CM28" s="80">
        <f>IF(SUM($BP28:BX28)&lt;$O28,$H28/SUM($H$38:$H$46),0)</f>
        <v>0</v>
      </c>
      <c r="CN28" s="80">
        <f t="shared" si="115"/>
        <v>0</v>
      </c>
      <c r="CO28" s="80">
        <f t="shared" si="115"/>
        <v>0</v>
      </c>
      <c r="CP28" s="91"/>
      <c r="CR28" t="s">
        <v>106</v>
      </c>
      <c r="CS28" s="106">
        <f>2500*P28/Popn!$H$22</f>
        <v>0</v>
      </c>
      <c r="CT28" s="106">
        <f>2500*Q28/Popn!$H$22</f>
        <v>0</v>
      </c>
      <c r="CU28" s="106">
        <f>2500*R28/Popn!$H$22</f>
        <v>0</v>
      </c>
      <c r="CV28" s="106">
        <f>2500*S28/Popn!$H$22</f>
        <v>0</v>
      </c>
      <c r="CW28" s="106">
        <f>2500*T28/Popn!$H$22</f>
        <v>0</v>
      </c>
      <c r="CX28" s="108">
        <f>2500*U28/Popn!$H$22</f>
        <v>35.320882012549845</v>
      </c>
      <c r="CY28" s="108">
        <f>2500*V28/Popn!$H$22</f>
        <v>35.320882012549845</v>
      </c>
      <c r="CZ28" s="108">
        <f>2500*W28/Popn!$H$22</f>
        <v>35.320882012549845</v>
      </c>
      <c r="DA28" s="108">
        <f>2500*X28/Popn!$H$22</f>
        <v>35.320882012549845</v>
      </c>
      <c r="DB28" s="108">
        <f>2500*Y28/Popn!$H$22</f>
        <v>35.320882012549845</v>
      </c>
      <c r="DC28" s="108">
        <f>2500*Z28/Popn!$H$22</f>
        <v>35.320882012549845</v>
      </c>
      <c r="DD28" s="117">
        <f>2500*AA28/Popn!$H$22</f>
        <v>0</v>
      </c>
      <c r="DE28" s="117">
        <f>2500*AB28/Popn!$H$22</f>
        <v>0</v>
      </c>
      <c r="DF28" s="38">
        <f t="shared" si="119"/>
        <v>211.92529207529907</v>
      </c>
      <c r="DG28" s="116">
        <f>2500*AP28/Popn!$H$22</f>
        <v>0</v>
      </c>
      <c r="DH28" s="116">
        <f>2500*AQ28/Popn!$H$22</f>
        <v>0</v>
      </c>
      <c r="DI28" s="116">
        <f>2500*AR28/Popn!$H$22</f>
        <v>0</v>
      </c>
      <c r="DJ28" s="116">
        <f>2500*AS28/Popn!$H$22</f>
        <v>0</v>
      </c>
      <c r="DK28" s="116">
        <f>2500*AT28/Popn!$H$22</f>
        <v>0</v>
      </c>
      <c r="DL28" s="101">
        <f>2500*AU28/Popn!$H$22</f>
        <v>41.636760529223302</v>
      </c>
      <c r="DM28" s="101">
        <f>2500*AV28/Popn!$H$22</f>
        <v>41.636760529223302</v>
      </c>
      <c r="DN28" s="101">
        <f>2500*AW28/Popn!$H$22</f>
        <v>41.636760529223302</v>
      </c>
      <c r="DO28" s="101">
        <f>2500*AX28/Popn!$H$22</f>
        <v>41.636760529223302</v>
      </c>
      <c r="DP28" s="101">
        <f>2500*AY28/Popn!$H$22</f>
        <v>41.636760529223302</v>
      </c>
      <c r="DQ28" s="101">
        <f>2500*AZ28/Popn!$H$22</f>
        <v>41.636760529223302</v>
      </c>
      <c r="DR28" s="116">
        <f>2500*BA28/Popn!$H$22</f>
        <v>0</v>
      </c>
      <c r="DS28" s="116">
        <f>2500*BB28/Popn!$H$22</f>
        <v>0</v>
      </c>
      <c r="DT28" s="100">
        <f t="shared" si="120"/>
        <v>249.8205631753398</v>
      </c>
      <c r="DU28" s="118">
        <f>2500*BP28/Popn!$H$22</f>
        <v>0</v>
      </c>
      <c r="DV28" s="118">
        <f>2500*BQ28/Popn!$H$22</f>
        <v>0</v>
      </c>
      <c r="DW28" s="118">
        <f>2500*BR28/Popn!$H$22</f>
        <v>0</v>
      </c>
      <c r="DX28" s="118">
        <f>2500*BS28/Popn!$H$22</f>
        <v>0</v>
      </c>
      <c r="DY28" s="118">
        <f>2500*BT28/Popn!$H$22</f>
        <v>0</v>
      </c>
      <c r="DZ28" s="118">
        <f>2500*BU28/Popn!$H$22</f>
        <v>0</v>
      </c>
      <c r="EA28" s="93">
        <f>2500*BV28/Popn!$H$22</f>
        <v>47.952639045896788</v>
      </c>
      <c r="EB28" s="93">
        <f>2500*BW28/Popn!$H$22</f>
        <v>47.952639045896788</v>
      </c>
      <c r="EC28" s="93">
        <f>2500*BX28/Popn!$H$22</f>
        <v>47.952639045896788</v>
      </c>
      <c r="ED28" s="93">
        <f>2500*BY28/Popn!$H$22</f>
        <v>47.952639045896788</v>
      </c>
      <c r="EE28" s="93">
        <f>2500*BZ28/Popn!$H$22</f>
        <v>47.952639045896788</v>
      </c>
      <c r="EF28" s="93">
        <f>2500*CA28/Popn!$H$22</f>
        <v>47.952639045896788</v>
      </c>
      <c r="EG28" s="118">
        <f>2500*CB28/Popn!$H$22</f>
        <v>0</v>
      </c>
      <c r="EH28" s="95">
        <f t="shared" si="121"/>
        <v>287.7158342753807</v>
      </c>
    </row>
    <row r="29" spans="2:138" ht="15.75" thickBot="1" x14ac:dyDescent="0.3">
      <c r="E29" s="127"/>
      <c r="F29" t="s">
        <v>6</v>
      </c>
      <c r="G29" t="s">
        <v>22</v>
      </c>
      <c r="H29" s="48">
        <f t="shared" ref="H29:O29" si="134">H14</f>
        <v>6601393.3762986325</v>
      </c>
      <c r="I29" s="50">
        <f t="shared" si="134"/>
        <v>7571946.6732167117</v>
      </c>
      <c r="J29" s="45">
        <f t="shared" si="134"/>
        <v>0.3138560951404486</v>
      </c>
      <c r="K29" s="45">
        <f t="shared" si="134"/>
        <v>0.24411029622034894</v>
      </c>
      <c r="L29" s="45">
        <f>J29+K29/2</f>
        <v>0.43591124325062308</v>
      </c>
      <c r="M29" s="50">
        <f t="shared" si="134"/>
        <v>5513721.3008481069</v>
      </c>
      <c r="N29" s="50">
        <f t="shared" si="134"/>
        <v>6270915.9681697767</v>
      </c>
      <c r="O29" s="50">
        <f t="shared" si="134"/>
        <v>7028110.6354914485</v>
      </c>
      <c r="P29" s="51">
        <f t="shared" si="118"/>
        <v>1239246.7191323545</v>
      </c>
      <c r="Q29" s="51">
        <f>MIN($M29-SUM($P29:P29),Q$21*AD29)</f>
        <v>1239246.7191323545</v>
      </c>
      <c r="R29" s="51">
        <f>MIN($M29-SUM($P29:Q29),R$21*AE29)</f>
        <v>1239246.7191323545</v>
      </c>
      <c r="S29" s="51">
        <f>MIN($M29-SUM($P29:R29),S$21*AF29)</f>
        <v>1239246.7191323545</v>
      </c>
      <c r="T29" s="51">
        <f>MIN($M29-SUM($P29:S29),T$21*AG29)</f>
        <v>556734.42431868892</v>
      </c>
      <c r="U29" s="51"/>
      <c r="V29" s="51"/>
      <c r="W29" s="51"/>
      <c r="X29" s="51"/>
      <c r="Y29" s="12"/>
      <c r="Z29" s="9"/>
      <c r="AA29" s="9"/>
      <c r="AB29" s="53">
        <f t="shared" si="107"/>
        <v>0</v>
      </c>
      <c r="AC29" s="4">
        <f t="shared" ref="AC29:AK31" si="135">$M29/SUM($M$38:$M$40,$M$44:$M$46)</f>
        <v>4.1308223971078487E-2</v>
      </c>
      <c r="AD29" s="4">
        <f t="shared" si="135"/>
        <v>4.1308223971078487E-2</v>
      </c>
      <c r="AE29" s="4">
        <f t="shared" si="135"/>
        <v>4.1308223971078487E-2</v>
      </c>
      <c r="AF29" s="4">
        <f t="shared" si="135"/>
        <v>4.1308223971078487E-2</v>
      </c>
      <c r="AG29" s="4">
        <f t="shared" si="135"/>
        <v>4.1308223971078487E-2</v>
      </c>
      <c r="AH29" s="4">
        <f t="shared" si="135"/>
        <v>4.1308223971078487E-2</v>
      </c>
      <c r="AI29" s="4">
        <f t="shared" si="135"/>
        <v>4.1308223971078487E-2</v>
      </c>
      <c r="AJ29" s="4">
        <f t="shared" si="135"/>
        <v>4.1308223971078487E-2</v>
      </c>
      <c r="AK29" s="4">
        <f t="shared" si="135"/>
        <v>4.1308223971078487E-2</v>
      </c>
      <c r="AL29" s="4">
        <f>IF(SUM($P29:X29)&lt;$M29,$H29/SUM($H$38:$H$46),0)</f>
        <v>0</v>
      </c>
      <c r="AM29" s="4">
        <f t="shared" si="109"/>
        <v>5.8924480083449457E-2</v>
      </c>
      <c r="AN29" s="4">
        <f t="shared" si="109"/>
        <v>5.8924480083449457E-2</v>
      </c>
      <c r="AP29" s="62">
        <f>MIN($N29,AP21*BC29/BC35)</f>
        <v>1264111.6899087781</v>
      </c>
      <c r="AQ29" s="62">
        <f>MIN($N29-SUM($AP29:AP29),AQ21*BD29/BD35)</f>
        <v>1264111.6899087781</v>
      </c>
      <c r="AR29" s="62">
        <f>MIN($N29-SUM($AP29:AQ29),AR21*BE29/BE35)</f>
        <v>1264111.6899087781</v>
      </c>
      <c r="AS29" s="62">
        <f>MIN($N29-SUM($AP29:AR29),AS21*BF29/BF35)</f>
        <v>1264111.6899087781</v>
      </c>
      <c r="AT29" s="62">
        <f>MIN($N29-SUM($AP29:AS29),AT21*BG29/BG35)</f>
        <v>1214469.2085346645</v>
      </c>
      <c r="AU29" s="62">
        <f>MIN($N29-SUM($AP29:AT29),AU21*BH29/BH35)</f>
        <v>0</v>
      </c>
      <c r="AV29" s="62"/>
      <c r="AW29" s="62"/>
      <c r="AX29" s="62"/>
      <c r="AY29" s="74"/>
      <c r="AZ29" s="67"/>
      <c r="BA29" s="67"/>
      <c r="BB29" s="63">
        <f t="shared" si="110"/>
        <v>0</v>
      </c>
      <c r="BC29" s="64">
        <f t="shared" ref="BC29:BK31" si="136">$N29/SUM($N$38:$N$40,$N$44:$N$46)</f>
        <v>4.2137056330292591E-2</v>
      </c>
      <c r="BD29" s="64">
        <f t="shared" si="136"/>
        <v>4.2137056330292591E-2</v>
      </c>
      <c r="BE29" s="64">
        <f t="shared" si="136"/>
        <v>4.2137056330292591E-2</v>
      </c>
      <c r="BF29" s="64">
        <f t="shared" si="136"/>
        <v>4.2137056330292591E-2</v>
      </c>
      <c r="BG29" s="64">
        <f t="shared" si="136"/>
        <v>4.2137056330292591E-2</v>
      </c>
      <c r="BH29" s="64">
        <f t="shared" si="136"/>
        <v>4.2137056330292591E-2</v>
      </c>
      <c r="BI29" s="64">
        <f t="shared" si="136"/>
        <v>4.2137056330292591E-2</v>
      </c>
      <c r="BJ29" s="64">
        <f t="shared" si="136"/>
        <v>4.2137056330292591E-2</v>
      </c>
      <c r="BK29" s="64">
        <f t="shared" si="136"/>
        <v>4.2137056330292591E-2</v>
      </c>
      <c r="BL29" s="64">
        <f>IF(SUM($AP29:AX29)&lt;$N29,$H29/SUM($H$38:$H$46),0)</f>
        <v>0</v>
      </c>
      <c r="BM29" s="64">
        <f t="shared" si="112"/>
        <v>5.8924480083449457E-2</v>
      </c>
      <c r="BN29" s="64">
        <f t="shared" si="112"/>
        <v>5.8924480083449457E-2</v>
      </c>
      <c r="BP29" s="78">
        <f>MIN($O29,BP21*CD29/CD35)</f>
        <v>1284328.4945389517</v>
      </c>
      <c r="BQ29" s="78">
        <f>MIN($O29-SUM($BP29:BP29),BQ21*CE29/CE35)</f>
        <v>1284328.4945389517</v>
      </c>
      <c r="BR29" s="78">
        <f>MIN($O29-SUM($BP29:BQ29),BR21*CF29/CF35)</f>
        <v>1284328.4945389519</v>
      </c>
      <c r="BS29" s="78">
        <f>MIN($O29-SUM($BP29:BR29),BS21*CG29/CG35)</f>
        <v>1268844.4858505644</v>
      </c>
      <c r="BT29" s="78">
        <f>MIN($O29-SUM($BP29:BS29),BT21*CH29/CH35)</f>
        <v>1226772.687310898</v>
      </c>
      <c r="BU29" s="78">
        <f>MIN($O29-SUM($BP29:BT29),BU21*CI29/CI35)</f>
        <v>679507.97871313151</v>
      </c>
      <c r="BV29" s="78">
        <f>MIN($O29-SUM($BP29:BU29),BV21*CJ29/CJ35)</f>
        <v>0</v>
      </c>
      <c r="BW29" s="78"/>
      <c r="BX29" s="78"/>
      <c r="BY29" s="90"/>
      <c r="BZ29" s="83"/>
      <c r="CA29" s="83"/>
      <c r="CB29" s="83"/>
      <c r="CC29" s="79">
        <f t="shared" si="113"/>
        <v>0</v>
      </c>
      <c r="CD29" s="80">
        <f t="shared" ref="CD29:CL31" si="137">$O29/SUM($O$38:$O$40,$O$44:$O$46)</f>
        <v>4.2810949817965065E-2</v>
      </c>
      <c r="CE29" s="80">
        <f t="shared" si="137"/>
        <v>4.2810949817965065E-2</v>
      </c>
      <c r="CF29" s="80">
        <f t="shared" si="137"/>
        <v>4.2810949817965065E-2</v>
      </c>
      <c r="CG29" s="80">
        <f t="shared" si="137"/>
        <v>4.2810949817965065E-2</v>
      </c>
      <c r="CH29" s="80">
        <f t="shared" si="137"/>
        <v>4.2810949817965065E-2</v>
      </c>
      <c r="CI29" s="80">
        <f t="shared" si="137"/>
        <v>4.2810949817965065E-2</v>
      </c>
      <c r="CJ29" s="80">
        <f t="shared" si="137"/>
        <v>4.2810949817965065E-2</v>
      </c>
      <c r="CK29" s="80">
        <f t="shared" si="137"/>
        <v>4.2810949817965065E-2</v>
      </c>
      <c r="CL29" s="80">
        <f t="shared" si="137"/>
        <v>4.2810949817965065E-2</v>
      </c>
      <c r="CM29" s="80">
        <f>IF(SUM($BP29:BX29)&lt;$O29,$H29/SUM($H$38:$H$46),0)</f>
        <v>0</v>
      </c>
      <c r="CN29" s="80">
        <f t="shared" si="115"/>
        <v>5.8924480083449457E-2</v>
      </c>
      <c r="CO29" s="80">
        <f t="shared" si="115"/>
        <v>5.8924480083449457E-2</v>
      </c>
      <c r="CP29" s="91"/>
      <c r="CQ29" t="s">
        <v>6</v>
      </c>
      <c r="CR29" t="s">
        <v>101</v>
      </c>
      <c r="CS29" s="105">
        <f>0.5*2500*P29/Popn!$H$22</f>
        <v>6.9134995880348473</v>
      </c>
      <c r="CT29" s="105">
        <f>0.5*2500*Q29/Popn!$H$22</f>
        <v>6.9134995880348473</v>
      </c>
      <c r="CU29" s="105">
        <f>0.5*2500*R29/Popn!$H$22</f>
        <v>6.9134995880348473</v>
      </c>
      <c r="CV29" s="105">
        <f>0.5*2500*S29/Popn!$H$22</f>
        <v>6.9134995880348473</v>
      </c>
      <c r="CW29" s="105">
        <f>0.5*2500*T29/Popn!$H$22</f>
        <v>3.1059055099753654</v>
      </c>
      <c r="CX29" s="106">
        <f>0.5*2500*U29/Popn!$H$22</f>
        <v>0</v>
      </c>
      <c r="CY29" s="106">
        <f>0.5*2500*V29/Popn!$H$22</f>
        <v>0</v>
      </c>
      <c r="CZ29" s="106">
        <f>0.5*2500*W29/Popn!$H$22</f>
        <v>0</v>
      </c>
      <c r="DA29" s="106">
        <f>0.5*2500*X29/Popn!$H$22</f>
        <v>0</v>
      </c>
      <c r="DB29" s="106">
        <f>0.5*2500*Y29/Popn!$H$22</f>
        <v>0</v>
      </c>
      <c r="DC29" s="106">
        <f>0.5*2500*Z29/Popn!$H$22</f>
        <v>0</v>
      </c>
      <c r="DD29" s="106">
        <f>0.5*2500*AA29/Popn!$H$22</f>
        <v>0</v>
      </c>
      <c r="DE29" s="106">
        <f>0.5*2500*AB29/Popn!$H$22</f>
        <v>0</v>
      </c>
      <c r="DF29" s="38">
        <f t="shared" si="119"/>
        <v>30.759903862114754</v>
      </c>
      <c r="DG29" s="99">
        <f>0.5*2500*AP29/Popn!$H$22</f>
        <v>7.0522160861827379</v>
      </c>
      <c r="DH29" s="99">
        <f>0.5*2500*AQ29/Popn!$H$22</f>
        <v>7.0522160861827379</v>
      </c>
      <c r="DI29" s="99">
        <f>0.5*2500*AR29/Popn!$H$22</f>
        <v>7.0522160861827379</v>
      </c>
      <c r="DJ29" s="99">
        <f>0.5*2500*AS29/Popn!$H$22</f>
        <v>7.0522160861827379</v>
      </c>
      <c r="DK29" s="99">
        <f>0.5*2500*AT29/Popn!$H$22</f>
        <v>6.775271012025712</v>
      </c>
      <c r="DL29" s="116">
        <f>0.5*2500*AU29/Popn!$H$22</f>
        <v>0</v>
      </c>
      <c r="DM29" s="116">
        <f>0.5*2500*AV29/Popn!$H$22</f>
        <v>0</v>
      </c>
      <c r="DN29" s="116">
        <f>0.5*2500*AW29/Popn!$H$22</f>
        <v>0</v>
      </c>
      <c r="DO29" s="116">
        <f>0.5*2500*AX29/Popn!$H$22</f>
        <v>0</v>
      </c>
      <c r="DP29" s="116">
        <f>0.5*2500*AY29/Popn!$H$22</f>
        <v>0</v>
      </c>
      <c r="DQ29" s="116">
        <f>0.5*2500*AZ29/Popn!$H$22</f>
        <v>0</v>
      </c>
      <c r="DR29" s="116">
        <f>0.5*2500*BA29/Popn!$H$22</f>
        <v>0</v>
      </c>
      <c r="DS29" s="116">
        <f>0.5*2500*BB29/Popn!$H$22</f>
        <v>0</v>
      </c>
      <c r="DT29" s="100">
        <f t="shared" si="120"/>
        <v>34.984135356756667</v>
      </c>
      <c r="DU29" s="92">
        <f>0.5*2500*BP29/Popn!$H$22</f>
        <v>7.1650014325744102</v>
      </c>
      <c r="DV29" s="92">
        <f>0.5*2500*BQ29/Popn!$H$22</f>
        <v>7.1650014325744102</v>
      </c>
      <c r="DW29" s="92">
        <f>0.5*2500*BR29/Popn!$H$22</f>
        <v>7.165001432574412</v>
      </c>
      <c r="DX29" s="92">
        <f>0.5*2500*BS29/Popn!$H$22</f>
        <v>7.0786193699587896</v>
      </c>
      <c r="DY29" s="92">
        <f>0.5*2500*BT29/Popn!$H$22</f>
        <v>6.8439095600546622</v>
      </c>
      <c r="DZ29" s="92">
        <f>0.5*2500*BU29/Popn!$H$22</f>
        <v>3.7908336236619018</v>
      </c>
      <c r="EA29" s="118">
        <f>0.5*2500*BV29/Popn!$H$22</f>
        <v>0</v>
      </c>
      <c r="EB29" s="118">
        <f>0.5*2500*BW29/Popn!$H$22</f>
        <v>0</v>
      </c>
      <c r="EC29" s="118">
        <f>0.5*2500*BX29/Popn!$H$22</f>
        <v>0</v>
      </c>
      <c r="ED29" s="118">
        <f>0.5*2500*BY29/Popn!$H$22</f>
        <v>0</v>
      </c>
      <c r="EE29" s="118">
        <f>0.5*2500*BZ29/Popn!$H$22</f>
        <v>0</v>
      </c>
      <c r="EF29" s="118">
        <f>0.5*2500*CA29/Popn!$H$22</f>
        <v>0</v>
      </c>
      <c r="EG29" s="118">
        <f>0.5*2500*CB29/Popn!$H$22</f>
        <v>0</v>
      </c>
      <c r="EH29" s="95">
        <f t="shared" si="121"/>
        <v>39.208366851398587</v>
      </c>
    </row>
    <row r="30" spans="2:138" ht="15.75" thickBot="1" x14ac:dyDescent="0.3">
      <c r="E30" s="127"/>
      <c r="G30" t="s">
        <v>23</v>
      </c>
      <c r="H30" s="48">
        <f t="shared" ref="H30:O30" si="138">H15</f>
        <v>47975939.44994241</v>
      </c>
      <c r="I30" s="50">
        <f t="shared" si="138"/>
        <v>69341097.740274146</v>
      </c>
      <c r="J30" s="45">
        <f t="shared" si="138"/>
        <v>0.24907794604970418</v>
      </c>
      <c r="K30" s="45">
        <f t="shared" si="138"/>
        <v>0.19372729137199213</v>
      </c>
      <c r="L30" s="45">
        <f t="shared" ref="L30:L31" si="139">J30+K30/2</f>
        <v>0.34594159173570027</v>
      </c>
      <c r="M30" s="50">
        <f t="shared" si="138"/>
        <v>62969816.934496239</v>
      </c>
      <c r="N30" s="50">
        <f t="shared" si="138"/>
        <v>69903926.708523631</v>
      </c>
      <c r="O30" s="50">
        <f t="shared" si="138"/>
        <v>76838036.482551053</v>
      </c>
      <c r="P30" s="51">
        <f t="shared" si="118"/>
        <v>14152898.701723693</v>
      </c>
      <c r="Q30" s="51">
        <f>MIN($M30-SUM($P30:P30),Q$21*AD30)</f>
        <v>14152898.701723693</v>
      </c>
      <c r="R30" s="51">
        <f>MIN($M30-SUM($P30:Q30),R$21*AE30)</f>
        <v>14152898.701723693</v>
      </c>
      <c r="S30" s="51">
        <f>MIN($M30-SUM($P30:R30),S$21*AF30)</f>
        <v>14152898.701723693</v>
      </c>
      <c r="T30" s="51">
        <f>MIN($M30-SUM($P30:S30),T$21*AG30)</f>
        <v>6358222.1276014671</v>
      </c>
      <c r="U30" s="51"/>
      <c r="V30" s="51"/>
      <c r="W30" s="51"/>
      <c r="X30" s="51"/>
      <c r="Y30" s="9"/>
      <c r="Z30" s="9"/>
      <c r="AA30" s="9"/>
      <c r="AB30" s="53">
        <f t="shared" si="107"/>
        <v>0</v>
      </c>
      <c r="AC30" s="4">
        <f t="shared" si="135"/>
        <v>0.47176329005745643</v>
      </c>
      <c r="AD30" s="4">
        <f t="shared" si="135"/>
        <v>0.47176329005745643</v>
      </c>
      <c r="AE30" s="4">
        <f t="shared" si="135"/>
        <v>0.47176329005745643</v>
      </c>
      <c r="AF30" s="4">
        <f t="shared" si="135"/>
        <v>0.47176329005745643</v>
      </c>
      <c r="AG30" s="4">
        <f t="shared" si="135"/>
        <v>0.47176329005745643</v>
      </c>
      <c r="AH30" s="4">
        <f t="shared" si="135"/>
        <v>0.47176329005745643</v>
      </c>
      <c r="AI30" s="4">
        <f t="shared" si="135"/>
        <v>0.47176329005745643</v>
      </c>
      <c r="AJ30" s="4">
        <f t="shared" si="135"/>
        <v>0.47176329005745643</v>
      </c>
      <c r="AK30" s="4">
        <f t="shared" si="135"/>
        <v>0.47176329005745643</v>
      </c>
      <c r="AL30" s="4">
        <f>IF(SUM($P30:X30)&lt;$M30,$H30/SUM($H$38:$H$46),0)</f>
        <v>0</v>
      </c>
      <c r="AM30" s="4">
        <f t="shared" si="109"/>
        <v>0.42823645364820984</v>
      </c>
      <c r="AN30" s="4">
        <f t="shared" si="109"/>
        <v>0.42823645364820984</v>
      </c>
      <c r="AP30" s="62">
        <f>MIN($N30,AP21*BC30/BC35)</f>
        <v>14091461.498018077</v>
      </c>
      <c r="AQ30" s="62">
        <f>MIN($N30-SUM($AP30:AP30),AQ21*BD30/BD$50)</f>
        <v>14091461.498018075</v>
      </c>
      <c r="AR30" s="62">
        <f>MIN($N30-SUM($AP30:AQ30),AR21*BE30/BE$35)</f>
        <v>14091461.498018077</v>
      </c>
      <c r="AS30" s="62">
        <f>MIN($N30-SUM($AP30:AR30),AS21*BF30/BF$35)</f>
        <v>14091461.498018077</v>
      </c>
      <c r="AT30" s="62">
        <f>MIN($N30-SUM($AP30:AS30),AT21*BG30/BG$35)</f>
        <v>13538080.716451325</v>
      </c>
      <c r="AU30" s="62">
        <f>MIN($N30-SUM($AP30:AT30),AU21*BH30/BH$35)</f>
        <v>0</v>
      </c>
      <c r="AV30" s="62">
        <f>MIN($N30-SUM($AP30:AU30),AV21*BI30/BI$35)</f>
        <v>0</v>
      </c>
      <c r="AW30" s="62"/>
      <c r="AX30" s="62"/>
      <c r="AY30" s="67"/>
      <c r="AZ30" s="67"/>
      <c r="BA30" s="67"/>
      <c r="BB30" s="63">
        <f t="shared" si="110"/>
        <v>0</v>
      </c>
      <c r="BC30" s="64">
        <f t="shared" si="136"/>
        <v>0.46971538326726914</v>
      </c>
      <c r="BD30" s="64">
        <f t="shared" si="136"/>
        <v>0.46971538326726914</v>
      </c>
      <c r="BE30" s="64">
        <f t="shared" si="136"/>
        <v>0.46971538326726914</v>
      </c>
      <c r="BF30" s="64">
        <f t="shared" si="136"/>
        <v>0.46971538326726914</v>
      </c>
      <c r="BG30" s="64">
        <f t="shared" si="136"/>
        <v>0.46971538326726914</v>
      </c>
      <c r="BH30" s="64">
        <f t="shared" si="136"/>
        <v>0.46971538326726914</v>
      </c>
      <c r="BI30" s="64">
        <f t="shared" si="136"/>
        <v>0.46971538326726914</v>
      </c>
      <c r="BJ30" s="64">
        <f t="shared" si="136"/>
        <v>0.46971538326726914</v>
      </c>
      <c r="BK30" s="64">
        <f t="shared" si="136"/>
        <v>0.46971538326726914</v>
      </c>
      <c r="BL30" s="64">
        <f>IF(SUM($AP30:AX30)&lt;$N30,$H30/SUM($H$38:$H$46),0)</f>
        <v>0</v>
      </c>
      <c r="BM30" s="64">
        <f t="shared" si="112"/>
        <v>0.42823645364820984</v>
      </c>
      <c r="BN30" s="64">
        <f t="shared" si="112"/>
        <v>0.42823645364820984</v>
      </c>
      <c r="BP30" s="78">
        <f>MIN($O30,BP21*CD30/CD35)</f>
        <v>14041509.139114905</v>
      </c>
      <c r="BQ30" s="78">
        <f>MIN($O30-SUM($BP30:BP30),BQ36*CE30/CE$35)</f>
        <v>14041509.139114905</v>
      </c>
      <c r="BR30" s="78">
        <f>MIN($O30-SUM($BP30:BQ30),BR36*CF30/CF$35)</f>
        <v>14403192.511107972</v>
      </c>
      <c r="BS30" s="78">
        <f>MIN($O30-SUM($BP30:BR30),BS36*CG30/CG$35)</f>
        <v>15216641.026128964</v>
      </c>
      <c r="BT30" s="78">
        <f>MIN($O30-SUM($BP30:BS30),BT36*CH30/CH$35)</f>
        <v>14851909.365840636</v>
      </c>
      <c r="BU30" s="78">
        <f>MIN($O30-SUM($BP30:BT30),BU36*CI30/CI$35)</f>
        <v>4283275.3012436777</v>
      </c>
      <c r="BV30" s="78"/>
      <c r="BW30" s="78"/>
      <c r="BX30" s="78"/>
      <c r="BY30" s="83"/>
      <c r="BZ30" s="83"/>
      <c r="CA30" s="83"/>
      <c r="CB30" s="83"/>
      <c r="CC30" s="79">
        <f t="shared" si="113"/>
        <v>0</v>
      </c>
      <c r="CD30" s="80">
        <f t="shared" si="137"/>
        <v>0.46805030463716363</v>
      </c>
      <c r="CE30" s="80">
        <f t="shared" si="137"/>
        <v>0.46805030463716363</v>
      </c>
      <c r="CF30" s="80">
        <f t="shared" si="137"/>
        <v>0.46805030463716363</v>
      </c>
      <c r="CG30" s="80">
        <f t="shared" si="137"/>
        <v>0.46805030463716363</v>
      </c>
      <c r="CH30" s="80">
        <f t="shared" si="137"/>
        <v>0.46805030463716363</v>
      </c>
      <c r="CI30" s="80">
        <f t="shared" si="137"/>
        <v>0.46805030463716363</v>
      </c>
      <c r="CJ30" s="80">
        <f t="shared" si="137"/>
        <v>0.46805030463716363</v>
      </c>
      <c r="CK30" s="80">
        <f t="shared" si="137"/>
        <v>0.46805030463716363</v>
      </c>
      <c r="CL30" s="80">
        <f t="shared" si="137"/>
        <v>0.46805030463716363</v>
      </c>
      <c r="CM30" s="80">
        <f>IF(SUM($BP30:BX30)&lt;$O30,$H30/SUM($H$38:$H$46),0)</f>
        <v>0</v>
      </c>
      <c r="CN30" s="80">
        <f t="shared" si="115"/>
        <v>0.42823645364820984</v>
      </c>
      <c r="CO30" s="80">
        <f t="shared" si="115"/>
        <v>0.42823645364820984</v>
      </c>
      <c r="CP30" s="91"/>
      <c r="CR30" t="s">
        <v>102</v>
      </c>
      <c r="CS30" s="105">
        <f>0.5*2500*P30/Popn!$H$22</f>
        <v>78.956076972607661</v>
      </c>
      <c r="CT30" s="105">
        <f>0.5*2500*Q30/Popn!$H$22</f>
        <v>78.956076972607661</v>
      </c>
      <c r="CU30" s="105">
        <f>0.5*2500*R30/Popn!$H$22</f>
        <v>78.956076972607661</v>
      </c>
      <c r="CV30" s="105">
        <f>0.5*2500*S30/Popn!$H$22</f>
        <v>78.956076972607661</v>
      </c>
      <c r="CW30" s="105">
        <f>0.5*2500*T30/Popn!$H$22</f>
        <v>35.471198253874114</v>
      </c>
      <c r="CX30" s="106">
        <f>0.5*2500*U30/Popn!$H$22</f>
        <v>0</v>
      </c>
      <c r="CY30" s="106">
        <f>0.5*2500*V30/Popn!$H$22</f>
        <v>0</v>
      </c>
      <c r="CZ30" s="106">
        <f>0.5*2500*W30/Popn!$H$22</f>
        <v>0</v>
      </c>
      <c r="DA30" s="106">
        <f>0.5*2500*X30/Popn!$H$22</f>
        <v>0</v>
      </c>
      <c r="DB30" s="106">
        <f>0.5*2500*Y30/Popn!$H$22</f>
        <v>0</v>
      </c>
      <c r="DC30" s="106">
        <f>0.5*2500*Z30/Popn!$H$22</f>
        <v>0</v>
      </c>
      <c r="DD30" s="106">
        <f>0.5*2500*AA30/Popn!$H$22</f>
        <v>0</v>
      </c>
      <c r="DE30" s="106">
        <f>0.5*2500*AB30/Popn!$H$22</f>
        <v>0</v>
      </c>
      <c r="DF30" s="38">
        <f t="shared" si="119"/>
        <v>351.29550614430474</v>
      </c>
      <c r="DG30" s="99">
        <f>0.5*2500*AP30/Popn!$H$22</f>
        <v>78.613331596766614</v>
      </c>
      <c r="DH30" s="99">
        <f>0.5*2500*AQ30/Popn!$H$22</f>
        <v>78.613331596766614</v>
      </c>
      <c r="DI30" s="99">
        <f>0.5*2500*AR30/Popn!$H$22</f>
        <v>78.613331596766614</v>
      </c>
      <c r="DJ30" s="99">
        <f>0.5*2500*AS30/Popn!$H$22</f>
        <v>78.613331596766614</v>
      </c>
      <c r="DK30" s="99">
        <f>0.5*2500*AT30/Popn!$H$22</f>
        <v>75.526135361890368</v>
      </c>
      <c r="DL30" s="116">
        <f>0.5*2500*AU30/Popn!$H$22</f>
        <v>0</v>
      </c>
      <c r="DM30" s="116">
        <f>0.5*2500*AV30/Popn!$H$22</f>
        <v>0</v>
      </c>
      <c r="DN30" s="116">
        <f>0.5*2500*AW30/Popn!$H$22</f>
        <v>0</v>
      </c>
      <c r="DO30" s="116">
        <f>0.5*2500*AX30/Popn!$H$22</f>
        <v>0</v>
      </c>
      <c r="DP30" s="116">
        <f>0.5*2500*AY30/Popn!$H$22</f>
        <v>0</v>
      </c>
      <c r="DQ30" s="116">
        <f>0.5*2500*AZ30/Popn!$H$22</f>
        <v>0</v>
      </c>
      <c r="DR30" s="116">
        <f>0.5*2500*BA30/Popn!$H$22</f>
        <v>0</v>
      </c>
      <c r="DS30" s="116">
        <f>0.5*2500*BB30/Popn!$H$22</f>
        <v>0</v>
      </c>
      <c r="DT30" s="100">
        <f t="shared" si="120"/>
        <v>389.97946174895685</v>
      </c>
      <c r="DU30" s="92">
        <f>0.5*2500*BP30/Popn!$H$22</f>
        <v>78.334657780353169</v>
      </c>
      <c r="DV30" s="92">
        <f>0.5*2500*BQ30/Popn!$H$22</f>
        <v>78.334657780353169</v>
      </c>
      <c r="DW30" s="92">
        <f>0.5*2500*BR30/Popn!$H$22</f>
        <v>80.352414054926015</v>
      </c>
      <c r="DX30" s="92">
        <f>0.5*2500*BS30/Popn!$H$22</f>
        <v>84.890474060783944</v>
      </c>
      <c r="DY30" s="92">
        <f>0.5*2500*BT30/Popn!$H$22</f>
        <v>82.855712020088717</v>
      </c>
      <c r="DZ30" s="92">
        <f>0.5*2500*BU30/Popn!$H$22</f>
        <v>23.895501657104106</v>
      </c>
      <c r="EA30" s="118">
        <f>0.5*2500*BV30/Popn!$H$22</f>
        <v>0</v>
      </c>
      <c r="EB30" s="118">
        <f>0.5*2500*BW30/Popn!$H$22</f>
        <v>0</v>
      </c>
      <c r="EC30" s="118">
        <f>0.5*2500*BX30/Popn!$H$22</f>
        <v>0</v>
      </c>
      <c r="ED30" s="118">
        <f>0.5*2500*BY30/Popn!$H$22</f>
        <v>0</v>
      </c>
      <c r="EE30" s="118">
        <f>0.5*2500*BZ30/Popn!$H$22</f>
        <v>0</v>
      </c>
      <c r="EF30" s="118">
        <f>0.5*2500*CA30/Popn!$H$22</f>
        <v>0</v>
      </c>
      <c r="EG30" s="118">
        <f>0.5*2500*CB30/Popn!$H$22</f>
        <v>0</v>
      </c>
      <c r="EH30" s="95">
        <f t="shared" si="121"/>
        <v>428.66341735360913</v>
      </c>
    </row>
    <row r="31" spans="2:138" ht="15.75" thickBot="1" x14ac:dyDescent="0.3">
      <c r="E31" s="127"/>
      <c r="G31" s="27" t="s">
        <v>21</v>
      </c>
      <c r="H31" s="48">
        <f t="shared" ref="H31:O31" si="140">H16</f>
        <v>5464589.4687026059</v>
      </c>
      <c r="I31" s="50">
        <f t="shared" si="140"/>
        <v>19756121.201904517</v>
      </c>
      <c r="J31" s="45">
        <f t="shared" si="140"/>
        <v>9.9576844494317654E-2</v>
      </c>
      <c r="K31" s="45">
        <f t="shared" si="140"/>
        <v>7.7448656828913748E-2</v>
      </c>
      <c r="L31" s="45">
        <f t="shared" si="139"/>
        <v>0.13830117290877453</v>
      </c>
      <c r="M31" s="50">
        <f t="shared" si="140"/>
        <v>26145204.454344623</v>
      </c>
      <c r="N31" s="50">
        <f t="shared" si="140"/>
        <v>28120816.574535072</v>
      </c>
      <c r="O31" s="50">
        <f t="shared" si="140"/>
        <v>30096428.694725525</v>
      </c>
      <c r="P31" s="51">
        <f t="shared" si="118"/>
        <v>5876314.2119837385</v>
      </c>
      <c r="Q31" s="51">
        <f>MIN($M31-SUM($P31:P31),Q$21*AD31)</f>
        <v>5876314.2119837385</v>
      </c>
      <c r="R31" s="51">
        <f>MIN($M31-SUM($P31:Q31),R$21*AE31)</f>
        <v>5876314.2119837385</v>
      </c>
      <c r="S31" s="51">
        <f>MIN($M31-SUM($P31:R31),S$21*AF31)</f>
        <v>5876314.2119837385</v>
      </c>
      <c r="T31" s="51">
        <f>MIN($M31-SUM($P31:S31),T$21*AG31)</f>
        <v>2639947.6064096689</v>
      </c>
      <c r="U31" s="51"/>
      <c r="V31" s="51"/>
      <c r="W31" s="51"/>
      <c r="X31" s="51"/>
      <c r="Y31" s="31"/>
      <c r="Z31" s="31"/>
      <c r="AA31" s="31"/>
      <c r="AB31" s="53">
        <f t="shared" si="107"/>
        <v>0</v>
      </c>
      <c r="AC31" s="4">
        <f t="shared" si="135"/>
        <v>0.19587714039945794</v>
      </c>
      <c r="AD31" s="4">
        <f t="shared" si="135"/>
        <v>0.19587714039945794</v>
      </c>
      <c r="AE31" s="4">
        <f t="shared" si="135"/>
        <v>0.19587714039945794</v>
      </c>
      <c r="AF31" s="4">
        <f t="shared" si="135"/>
        <v>0.19587714039945794</v>
      </c>
      <c r="AG31" s="4">
        <f t="shared" si="135"/>
        <v>0.19587714039945794</v>
      </c>
      <c r="AH31" s="4">
        <f t="shared" si="135"/>
        <v>0.19587714039945794</v>
      </c>
      <c r="AI31" s="4">
        <f t="shared" si="135"/>
        <v>0.19587714039945794</v>
      </c>
      <c r="AJ31" s="4">
        <f t="shared" si="135"/>
        <v>0.19587714039945794</v>
      </c>
      <c r="AK31" s="4">
        <f t="shared" si="135"/>
        <v>0.19587714039945794</v>
      </c>
      <c r="AL31" s="4">
        <f>IF(SUM($P31:X31)&lt;$M31,$H31/SUM($H$38:$H$46),0)</f>
        <v>0</v>
      </c>
      <c r="AM31" s="4">
        <f t="shared" si="109"/>
        <v>4.8777292150000165E-2</v>
      </c>
      <c r="AN31" s="4">
        <f t="shared" si="109"/>
        <v>4.8777292150000165E-2</v>
      </c>
      <c r="AP31" s="62">
        <f>MIN($N31,AP21*BC31/BC35)</f>
        <v>5668685.9052307252</v>
      </c>
      <c r="AQ31" s="62">
        <f>MIN($N31-SUM($AP31:AP31),AQ21*BD31/BD35)</f>
        <v>5668685.9052307252</v>
      </c>
      <c r="AR31" s="62">
        <f>MIN($N31-SUM($AP31:AQ31),AR21*BE31/BE35)</f>
        <v>5668685.9052307252</v>
      </c>
      <c r="AS31" s="62">
        <f>MIN($N31-SUM($AP31:AR31),AS21*BF31/BF35)</f>
        <v>5668685.9052307252</v>
      </c>
      <c r="AT31" s="62">
        <f>MIN($N31-SUM($AP31:AS31),AT21*BG31/BG35)</f>
        <v>5446072.9536121711</v>
      </c>
      <c r="AU31" s="62">
        <f>MIN($N31-SUM($AP31:AT31),AU21*BH31/BH35)</f>
        <v>0</v>
      </c>
      <c r="AV31" s="62"/>
      <c r="AW31" s="62"/>
      <c r="AX31" s="62"/>
      <c r="AY31" s="68"/>
      <c r="AZ31" s="68"/>
      <c r="BA31" s="68"/>
      <c r="BB31" s="63">
        <f t="shared" si="110"/>
        <v>0</v>
      </c>
      <c r="BC31" s="64">
        <f t="shared" si="136"/>
        <v>0.18895619684102413</v>
      </c>
      <c r="BD31" s="64">
        <f t="shared" si="136"/>
        <v>0.18895619684102413</v>
      </c>
      <c r="BE31" s="64">
        <f t="shared" si="136"/>
        <v>0.18895619684102413</v>
      </c>
      <c r="BF31" s="64">
        <f t="shared" si="136"/>
        <v>0.18895619684102413</v>
      </c>
      <c r="BG31" s="64">
        <f t="shared" si="136"/>
        <v>0.18895619684102413</v>
      </c>
      <c r="BH31" s="64">
        <f t="shared" si="136"/>
        <v>0.18895619684102413</v>
      </c>
      <c r="BI31" s="64">
        <f t="shared" si="136"/>
        <v>0.18895619684102413</v>
      </c>
      <c r="BJ31" s="64">
        <f t="shared" si="136"/>
        <v>0.18895619684102413</v>
      </c>
      <c r="BK31" s="64">
        <f t="shared" si="136"/>
        <v>0.18895619684102413</v>
      </c>
      <c r="BL31" s="64">
        <f>IF(SUM($AP31:AX31)&lt;$N31,$H31/SUM($H$38:$H$46),0)</f>
        <v>0</v>
      </c>
      <c r="BM31" s="64">
        <f t="shared" si="112"/>
        <v>4.8777292150000165E-2</v>
      </c>
      <c r="BN31" s="64">
        <f t="shared" si="112"/>
        <v>4.8777292150000165E-2</v>
      </c>
      <c r="BP31" s="78">
        <f>MIN($O31,BP21*CD31/CD35)</f>
        <v>5499870.8701734655</v>
      </c>
      <c r="BQ31" s="78">
        <f>MIN($O31-SUM($BP31:BP31),BQ21*CE31/CE35)</f>
        <v>5499870.8701734655</v>
      </c>
      <c r="BR31" s="78">
        <f>MIN($O31-SUM($BP31:BQ31),BR21*CF31/CF35)</f>
        <v>5499870.8701734664</v>
      </c>
      <c r="BS31" s="78">
        <f>MIN($O31-SUM($BP31:BR31),BS21*CG31/CG35)</f>
        <v>5433563.8087784406</v>
      </c>
      <c r="BT31" s="78">
        <f>MIN($O31-SUM($BP31:BS31),BT21*CH31/CH35)</f>
        <v>5253400.0420879088</v>
      </c>
      <c r="BU31" s="78">
        <f>MIN($O31-SUM($BP31:BT31),BU21*CI31/CI35)</f>
        <v>2909852.2333387807</v>
      </c>
      <c r="BV31" s="78"/>
      <c r="BW31" s="78"/>
      <c r="BX31" s="78"/>
      <c r="BY31" s="84"/>
      <c r="BZ31" s="84"/>
      <c r="CA31" s="84"/>
      <c r="CB31" s="84"/>
      <c r="CC31" s="79">
        <f t="shared" si="113"/>
        <v>0</v>
      </c>
      <c r="CD31" s="80">
        <f t="shared" si="137"/>
        <v>0.18332902900578221</v>
      </c>
      <c r="CE31" s="80">
        <f t="shared" si="137"/>
        <v>0.18332902900578221</v>
      </c>
      <c r="CF31" s="80">
        <f t="shared" si="137"/>
        <v>0.18332902900578221</v>
      </c>
      <c r="CG31" s="80">
        <f t="shared" si="137"/>
        <v>0.18332902900578221</v>
      </c>
      <c r="CH31" s="80">
        <f t="shared" si="137"/>
        <v>0.18332902900578221</v>
      </c>
      <c r="CI31" s="80">
        <f t="shared" si="137"/>
        <v>0.18332902900578221</v>
      </c>
      <c r="CJ31" s="80">
        <f t="shared" si="137"/>
        <v>0.18332902900578221</v>
      </c>
      <c r="CK31" s="80">
        <f t="shared" si="137"/>
        <v>0.18332902900578221</v>
      </c>
      <c r="CL31" s="80">
        <f t="shared" si="137"/>
        <v>0.18332902900578221</v>
      </c>
      <c r="CM31" s="80">
        <f>IF(SUM($BP31:BX31)&lt;$O31,$H31/SUM($H$38:$H$46),0)</f>
        <v>0</v>
      </c>
      <c r="CN31" s="80">
        <f t="shared" si="115"/>
        <v>4.8777292150000165E-2</v>
      </c>
      <c r="CO31" s="80">
        <f t="shared" si="115"/>
        <v>4.8777292150000165E-2</v>
      </c>
      <c r="CP31" s="91"/>
      <c r="CR31" s="27" t="s">
        <v>103</v>
      </c>
      <c r="CS31" s="105">
        <f>0.5*2500*P31/Popn!$H$22</f>
        <v>32.782734266310335</v>
      </c>
      <c r="CT31" s="105">
        <f>0.5*2500*Q31/Popn!$H$22</f>
        <v>32.782734266310335</v>
      </c>
      <c r="CU31" s="105">
        <f>0.5*2500*R31/Popn!$H$22</f>
        <v>32.782734266310335</v>
      </c>
      <c r="CV31" s="105">
        <f>0.5*2500*S31/Popn!$H$22</f>
        <v>32.782734266310335</v>
      </c>
      <c r="CW31" s="105">
        <f>0.5*2500*T31/Popn!$H$22</f>
        <v>14.727718385347242</v>
      </c>
      <c r="CX31" s="106">
        <f>0.5*2500*U31/Popn!$H$22</f>
        <v>0</v>
      </c>
      <c r="CY31" s="106">
        <f>0.5*2500*V31/Popn!$H$22</f>
        <v>0</v>
      </c>
      <c r="CZ31" s="106">
        <f>0.5*2500*W31/Popn!$H$22</f>
        <v>0</v>
      </c>
      <c r="DA31" s="106">
        <f>0.5*2500*X31/Popn!$H$22</f>
        <v>0</v>
      </c>
      <c r="DB31" s="106">
        <f>0.5*2500*Y31/Popn!$H$22</f>
        <v>0</v>
      </c>
      <c r="DC31" s="106">
        <f>0.5*2500*Z31/Popn!$H$22</f>
        <v>0</v>
      </c>
      <c r="DD31" s="106">
        <f>0.5*2500*AA31/Popn!$H$22</f>
        <v>0</v>
      </c>
      <c r="DE31" s="106">
        <f>0.5*2500*AB31/Popn!$H$22</f>
        <v>0</v>
      </c>
      <c r="DF31" s="38">
        <f t="shared" si="119"/>
        <v>145.85865545058857</v>
      </c>
      <c r="DG31" s="99">
        <f>0.5*2500*AP31/Popn!$H$22</f>
        <v>31.624419145487309</v>
      </c>
      <c r="DH31" s="99">
        <f>0.5*2500*AQ31/Popn!$H$22</f>
        <v>31.624419145487309</v>
      </c>
      <c r="DI31" s="99">
        <f>0.5*2500*AR31/Popn!$H$22</f>
        <v>31.624419145487309</v>
      </c>
      <c r="DJ31" s="99">
        <f>0.5*2500*AS31/Popn!$H$22</f>
        <v>31.624419145487309</v>
      </c>
      <c r="DK31" s="99">
        <f>0.5*2500*AT31/Popn!$H$22</f>
        <v>30.382507808910493</v>
      </c>
      <c r="DL31" s="116">
        <f>0.5*2500*AU31/Popn!$H$22</f>
        <v>0</v>
      </c>
      <c r="DM31" s="116">
        <f>0.5*2500*AV31/Popn!$H$22</f>
        <v>0</v>
      </c>
      <c r="DN31" s="116">
        <f>0.5*2500*AW31/Popn!$H$22</f>
        <v>0</v>
      </c>
      <c r="DO31" s="116">
        <f>0.5*2500*AX31/Popn!$H$22</f>
        <v>0</v>
      </c>
      <c r="DP31" s="116">
        <f>0.5*2500*AY31/Popn!$H$22</f>
        <v>0</v>
      </c>
      <c r="DQ31" s="116">
        <f>0.5*2500*AZ31/Popn!$H$22</f>
        <v>0</v>
      </c>
      <c r="DR31" s="116">
        <f>0.5*2500*BA31/Popn!$H$22</f>
        <v>0</v>
      </c>
      <c r="DS31" s="116">
        <f>0.5*2500*BB31/Popn!$H$22</f>
        <v>0</v>
      </c>
      <c r="DT31" s="100">
        <f t="shared" si="120"/>
        <v>156.88018439085974</v>
      </c>
      <c r="DU31" s="92">
        <f>0.5*2500*BP31/Popn!$H$22</f>
        <v>30.682635191328782</v>
      </c>
      <c r="DV31" s="92">
        <f>0.5*2500*BQ31/Popn!$H$22</f>
        <v>30.682635191328782</v>
      </c>
      <c r="DW31" s="92">
        <f>0.5*2500*BR31/Popn!$H$22</f>
        <v>30.682635191328785</v>
      </c>
      <c r="DX31" s="92">
        <f>0.5*2500*BS31/Popn!$H$22</f>
        <v>30.31272189274102</v>
      </c>
      <c r="DY31" s="92">
        <f>0.5*2500*BT31/Popn!$H$22</f>
        <v>29.307625726203767</v>
      </c>
      <c r="DZ31" s="92">
        <f>0.5*2500*BU31/Popn!$H$22</f>
        <v>16.233460138199785</v>
      </c>
      <c r="EA31" s="118">
        <f>0.5*2500*BV31/Popn!$H$22</f>
        <v>0</v>
      </c>
      <c r="EB31" s="118">
        <f>0.5*2500*BW31/Popn!$H$22</f>
        <v>0</v>
      </c>
      <c r="EC31" s="118">
        <f>0.5*2500*BX31/Popn!$H$22</f>
        <v>0</v>
      </c>
      <c r="ED31" s="118">
        <f>0.5*2500*BY31/Popn!$H$22</f>
        <v>0</v>
      </c>
      <c r="EE31" s="118">
        <f>0.5*2500*BZ31/Popn!$H$22</f>
        <v>0</v>
      </c>
      <c r="EF31" s="118">
        <f>0.5*2500*CA31/Popn!$H$22</f>
        <v>0</v>
      </c>
      <c r="EG31" s="118">
        <f>0.5*2500*CB31/Popn!$H$22</f>
        <v>0</v>
      </c>
      <c r="EH31" s="95">
        <f t="shared" si="121"/>
        <v>167.90171333113094</v>
      </c>
    </row>
    <row r="32" spans="2:138" ht="15.75" thickBot="1" x14ac:dyDescent="0.3">
      <c r="E32" s="127"/>
      <c r="G32" s="1" t="s">
        <v>9</v>
      </c>
      <c r="H32" s="48"/>
      <c r="I32" s="50">
        <f t="shared" ref="I32" si="141">I17</f>
        <v>25258743.548931349</v>
      </c>
      <c r="J32" s="45"/>
      <c r="K32" s="45"/>
      <c r="L32" s="45"/>
      <c r="M32" s="50">
        <f t="shared" ref="M32:O32" si="142">M17</f>
        <v>30310492.258717619</v>
      </c>
      <c r="N32" s="50">
        <f t="shared" si="142"/>
        <v>35362240.968503885</v>
      </c>
      <c r="O32" s="50">
        <f t="shared" si="142"/>
        <v>40413989.678290159</v>
      </c>
      <c r="P32" s="51">
        <f t="shared" si="118"/>
        <v>0</v>
      </c>
      <c r="Q32" s="51">
        <f>MIN($M32-SUM($P32:P32),Q$21*AD32)</f>
        <v>0</v>
      </c>
      <c r="R32" s="51">
        <f>MIN($M32-SUM($P32:Q32),R$21*AE32)</f>
        <v>0</v>
      </c>
      <c r="S32" s="51">
        <f>MIN($M32-SUM($P32:R32),S$21*AF32)</f>
        <v>0</v>
      </c>
      <c r="T32" s="51">
        <f>MIN($M32-SUM($P32:S32),T$21*AG32)</f>
        <v>0</v>
      </c>
      <c r="U32" s="51">
        <f>$M32/6</f>
        <v>5051748.7097862698</v>
      </c>
      <c r="V32" s="51">
        <f t="shared" ref="V32:Z34" si="143">$M32/6</f>
        <v>5051748.7097862698</v>
      </c>
      <c r="W32" s="51">
        <f t="shared" si="143"/>
        <v>5051748.7097862698</v>
      </c>
      <c r="X32" s="51">
        <f t="shared" si="143"/>
        <v>5051748.7097862698</v>
      </c>
      <c r="Y32" s="51">
        <f t="shared" si="143"/>
        <v>5051748.7097862698</v>
      </c>
      <c r="Z32" s="51">
        <f t="shared" si="143"/>
        <v>5051748.7097862698</v>
      </c>
      <c r="AA32" s="31"/>
      <c r="AB32" s="53">
        <f t="shared" si="107"/>
        <v>0</v>
      </c>
      <c r="AC32" s="4"/>
      <c r="AD32" s="4"/>
      <c r="AE32" s="4"/>
      <c r="AF32" s="4"/>
      <c r="AG32" s="4"/>
      <c r="AH32" s="4"/>
      <c r="AI32" s="4"/>
      <c r="AJ32" s="4"/>
      <c r="AK32" s="4"/>
      <c r="AL32" s="4">
        <f>IF(SUM($P32:X32)&lt;$M32,$H32/SUM($H$38:$H$46),0)</f>
        <v>0</v>
      </c>
      <c r="AM32" s="4">
        <f t="shared" si="109"/>
        <v>0</v>
      </c>
      <c r="AN32" s="4">
        <f t="shared" si="109"/>
        <v>0</v>
      </c>
      <c r="AP32" s="62"/>
      <c r="AQ32" s="62"/>
      <c r="AR32" s="62"/>
      <c r="AS32" s="62"/>
      <c r="AT32" s="62"/>
      <c r="AU32" s="62">
        <f>$N32/6</f>
        <v>5893706.8280839808</v>
      </c>
      <c r="AV32" s="62">
        <f t="shared" ref="AV32:AZ34" si="144">$N32/6</f>
        <v>5893706.8280839808</v>
      </c>
      <c r="AW32" s="62">
        <f t="shared" si="144"/>
        <v>5893706.8280839808</v>
      </c>
      <c r="AX32" s="62">
        <f t="shared" si="144"/>
        <v>5893706.8280839808</v>
      </c>
      <c r="AY32" s="62">
        <f t="shared" si="144"/>
        <v>5893706.8280839808</v>
      </c>
      <c r="AZ32" s="62">
        <f t="shared" si="144"/>
        <v>5893706.8280839808</v>
      </c>
      <c r="BA32" s="68"/>
      <c r="BB32" s="63">
        <f t="shared" si="110"/>
        <v>0</v>
      </c>
      <c r="BC32" s="64"/>
      <c r="BD32" s="64"/>
      <c r="BE32" s="64"/>
      <c r="BF32" s="64"/>
      <c r="BG32" s="64"/>
      <c r="BH32" s="64"/>
      <c r="BI32" s="64"/>
      <c r="BJ32" s="64"/>
      <c r="BK32" s="64"/>
      <c r="BL32" s="64">
        <f>IF(SUM($AP32:AX32)&lt;$N32,$H32/SUM($H$38:$H$46),0)</f>
        <v>0</v>
      </c>
      <c r="BM32" s="64">
        <f t="shared" si="112"/>
        <v>0</v>
      </c>
      <c r="BN32" s="64">
        <f t="shared" si="112"/>
        <v>0</v>
      </c>
      <c r="BP32" s="78"/>
      <c r="BQ32" s="78"/>
      <c r="BR32" s="78"/>
      <c r="BS32" s="78"/>
      <c r="BT32" s="78"/>
      <c r="BU32" s="78"/>
      <c r="BV32" s="78">
        <f>$O32/6</f>
        <v>6735664.9463816928</v>
      </c>
      <c r="BW32" s="78">
        <f t="shared" ref="BW32:CA32" si="145">$O32/6</f>
        <v>6735664.9463816928</v>
      </c>
      <c r="BX32" s="78">
        <f t="shared" si="145"/>
        <v>6735664.9463816928</v>
      </c>
      <c r="BY32" s="78">
        <f t="shared" si="145"/>
        <v>6735664.9463816928</v>
      </c>
      <c r="BZ32" s="78">
        <f t="shared" si="145"/>
        <v>6735664.9463816928</v>
      </c>
      <c r="CA32" s="78">
        <f t="shared" si="145"/>
        <v>6735664.9463816928</v>
      </c>
      <c r="CB32" s="84"/>
      <c r="CC32" s="79">
        <f t="shared" si="113"/>
        <v>0</v>
      </c>
      <c r="CD32" s="80"/>
      <c r="CE32" s="80"/>
      <c r="CF32" s="80"/>
      <c r="CG32" s="80"/>
      <c r="CH32" s="80"/>
      <c r="CI32" s="80"/>
      <c r="CJ32" s="80"/>
      <c r="CK32" s="80"/>
      <c r="CL32" s="80"/>
      <c r="CM32" s="80">
        <f>IF(SUM($BP32:BX32)&lt;$O32,$H32/SUM($H$38:$H$46),0)</f>
        <v>0</v>
      </c>
      <c r="CN32" s="80">
        <f t="shared" si="115"/>
        <v>0</v>
      </c>
      <c r="CO32" s="80">
        <f t="shared" si="115"/>
        <v>0</v>
      </c>
      <c r="CP32" s="91"/>
      <c r="CR32" s="1" t="s">
        <v>104</v>
      </c>
      <c r="CS32" s="106">
        <f>0.5*2500*P32/Popn!$H$22</f>
        <v>0</v>
      </c>
      <c r="CT32" s="106">
        <f>0.5*2500*Q32/Popn!$H$22</f>
        <v>0</v>
      </c>
      <c r="CU32" s="106">
        <f>0.5*2500*R32/Popn!$H$22</f>
        <v>0</v>
      </c>
      <c r="CV32" s="106">
        <f>0.5*2500*S32/Popn!$H$22</f>
        <v>0</v>
      </c>
      <c r="CW32" s="106">
        <f>0.5*2500*T32/Popn!$H$22</f>
        <v>0</v>
      </c>
      <c r="CX32" s="109">
        <f>0.5*2500*U32/Popn!$H$22</f>
        <v>28.182654902177593</v>
      </c>
      <c r="CY32" s="109">
        <f>0.5*2500*V32/Popn!$H$22</f>
        <v>28.182654902177593</v>
      </c>
      <c r="CZ32" s="109">
        <f>0.5*2500*W32/Popn!$H$22</f>
        <v>28.182654902177593</v>
      </c>
      <c r="DA32" s="109">
        <f>0.5*2500*X32/Popn!$H$22</f>
        <v>28.182654902177593</v>
      </c>
      <c r="DB32" s="109">
        <f>0.5*2500*Y32/Popn!$H$22</f>
        <v>28.182654902177593</v>
      </c>
      <c r="DC32" s="109">
        <f>0.5*2500*Z32/Popn!$H$22</f>
        <v>28.182654902177593</v>
      </c>
      <c r="DD32" s="106">
        <f>0.5*2500*AA32/Popn!$H$22</f>
        <v>0</v>
      </c>
      <c r="DE32" s="106">
        <f>0.5*2500*AB32/Popn!$H$22</f>
        <v>0</v>
      </c>
      <c r="DF32" s="38">
        <f t="shared" si="119"/>
        <v>169.09592941306556</v>
      </c>
      <c r="DG32" s="116">
        <f>0.5*2500*AP32/Popn!$H$22</f>
        <v>0</v>
      </c>
      <c r="DH32" s="116">
        <f>0.5*2500*AQ32/Popn!$H$22</f>
        <v>0</v>
      </c>
      <c r="DI32" s="116">
        <f>0.5*2500*AR32/Popn!$H$22</f>
        <v>0</v>
      </c>
      <c r="DJ32" s="116">
        <f>0.5*2500*AS32/Popn!$H$22</f>
        <v>0</v>
      </c>
      <c r="DK32" s="116">
        <f>0.5*2500*AT32/Popn!$H$22</f>
        <v>0</v>
      </c>
      <c r="DL32" s="116">
        <f>0.5*2500*AU32/Popn!$H$22</f>
        <v>32.879764052540516</v>
      </c>
      <c r="DM32" s="116">
        <f>0.5*2500*AV32/Popn!$H$22</f>
        <v>32.879764052540516</v>
      </c>
      <c r="DN32" s="116">
        <f>0.5*2500*AW32/Popn!$H$22</f>
        <v>32.879764052540516</v>
      </c>
      <c r="DO32" s="116">
        <f>0.5*2500*AX32/Popn!$H$22</f>
        <v>32.879764052540516</v>
      </c>
      <c r="DP32" s="116">
        <f>0.5*2500*AY32/Popn!$H$22</f>
        <v>32.879764052540516</v>
      </c>
      <c r="DQ32" s="116">
        <f>0.5*2500*AZ32/Popn!$H$22</f>
        <v>32.879764052540516</v>
      </c>
      <c r="DR32" s="116">
        <f>0.5*2500*BA32/Popn!$H$22</f>
        <v>0</v>
      </c>
      <c r="DS32" s="116">
        <f>0.5*2500*BB32/Popn!$H$22</f>
        <v>0</v>
      </c>
      <c r="DT32" s="100">
        <f t="shared" si="120"/>
        <v>197.27858431524308</v>
      </c>
      <c r="DU32" s="118">
        <f>0.5*2500*BP32/Popn!$H$22</f>
        <v>0</v>
      </c>
      <c r="DV32" s="118">
        <f>0.5*2500*BQ32/Popn!$H$22</f>
        <v>0</v>
      </c>
      <c r="DW32" s="118">
        <f>0.5*2500*BR32/Popn!$H$22</f>
        <v>0</v>
      </c>
      <c r="DX32" s="118">
        <f>0.5*2500*BS32/Popn!$H$22</f>
        <v>0</v>
      </c>
      <c r="DY32" s="118">
        <f>0.5*2500*BT32/Popn!$H$22</f>
        <v>0</v>
      </c>
      <c r="DZ32" s="118">
        <f>0.5*2500*BU32/Popn!$H$22</f>
        <v>0</v>
      </c>
      <c r="EA32" s="94">
        <f>0.5*2500*BV32/Popn!$H$22</f>
        <v>37.57687320290345</v>
      </c>
      <c r="EB32" s="94">
        <f>0.5*2500*BW32/Popn!$H$22</f>
        <v>37.57687320290345</v>
      </c>
      <c r="EC32" s="94">
        <f>0.5*2500*BX32/Popn!$H$22</f>
        <v>37.57687320290345</v>
      </c>
      <c r="ED32" s="94">
        <f>0.5*2500*BY32/Popn!$H$22</f>
        <v>37.57687320290345</v>
      </c>
      <c r="EE32" s="94">
        <f>0.5*2500*BZ32/Popn!$H$22</f>
        <v>37.57687320290345</v>
      </c>
      <c r="EF32" s="94">
        <f>0.5*2500*CA32/Popn!$H$22</f>
        <v>37.57687320290345</v>
      </c>
      <c r="EG32" s="118">
        <f>0.5*2500*CB32/Popn!$H$22</f>
        <v>0</v>
      </c>
      <c r="EH32" s="95">
        <f t="shared" si="121"/>
        <v>225.46123921742068</v>
      </c>
    </row>
    <row r="33" spans="2:138" ht="15.75" thickBot="1" x14ac:dyDescent="0.3">
      <c r="E33" s="127"/>
      <c r="G33" s="1" t="s">
        <v>24</v>
      </c>
      <c r="H33" s="48"/>
      <c r="I33" s="50">
        <f t="shared" ref="I33" si="146">I18</f>
        <v>7571946.6732167117</v>
      </c>
      <c r="J33" s="45"/>
      <c r="K33" s="45"/>
      <c r="L33" s="45"/>
      <c r="M33" s="50">
        <f t="shared" ref="M33:O33" si="147">M18</f>
        <v>4846045.8708586963</v>
      </c>
      <c r="N33" s="50">
        <f t="shared" si="147"/>
        <v>5148923.7377873641</v>
      </c>
      <c r="O33" s="50">
        <f t="shared" si="147"/>
        <v>5451801.6047160327</v>
      </c>
      <c r="P33" s="51">
        <f t="shared" si="118"/>
        <v>0</v>
      </c>
      <c r="Q33" s="51">
        <f>MIN($M33-SUM($P33:P33),Q$21*AD33)</f>
        <v>0</v>
      </c>
      <c r="R33" s="51">
        <f>MIN($M33-SUM($P33:Q33),R$21*AE33)</f>
        <v>0</v>
      </c>
      <c r="S33" s="51">
        <f>MIN($M33-SUM($P33:R33),S$21*AF33)</f>
        <v>0</v>
      </c>
      <c r="T33" s="51">
        <f>MIN($M33-SUM($P33:S33),T$21*AG33)</f>
        <v>0</v>
      </c>
      <c r="U33" s="51">
        <f>$M33/6</f>
        <v>807674.31180978275</v>
      </c>
      <c r="V33" s="51">
        <f t="shared" si="143"/>
        <v>807674.31180978275</v>
      </c>
      <c r="W33" s="51">
        <f t="shared" si="143"/>
        <v>807674.31180978275</v>
      </c>
      <c r="X33" s="51">
        <f t="shared" si="143"/>
        <v>807674.31180978275</v>
      </c>
      <c r="Y33" s="51">
        <f t="shared" si="143"/>
        <v>807674.31180978275</v>
      </c>
      <c r="Z33" s="51">
        <f t="shared" si="143"/>
        <v>807674.31180978275</v>
      </c>
      <c r="AA33" s="31"/>
      <c r="AB33" s="53">
        <f t="shared" si="107"/>
        <v>0</v>
      </c>
      <c r="AC33" s="4"/>
      <c r="AD33" s="4"/>
      <c r="AE33" s="4"/>
      <c r="AF33" s="4"/>
      <c r="AG33" s="4"/>
      <c r="AH33" s="4"/>
      <c r="AI33" s="4"/>
      <c r="AJ33" s="4"/>
      <c r="AK33" s="4"/>
      <c r="AL33" s="4">
        <f>IF(SUM($P33:X33)&lt;$M33,$H33/SUM($H$38:$H$46),0)</f>
        <v>0</v>
      </c>
      <c r="AM33" s="4">
        <f t="shared" si="109"/>
        <v>0</v>
      </c>
      <c r="AN33" s="4">
        <f t="shared" si="109"/>
        <v>0</v>
      </c>
      <c r="AP33" s="62"/>
      <c r="AQ33" s="62"/>
      <c r="AR33" s="62"/>
      <c r="AS33" s="62"/>
      <c r="AT33" s="62"/>
      <c r="AU33" s="62">
        <f>$N33/6</f>
        <v>858153.95629789401</v>
      </c>
      <c r="AV33" s="62">
        <f t="shared" si="144"/>
        <v>858153.95629789401</v>
      </c>
      <c r="AW33" s="62">
        <f t="shared" si="144"/>
        <v>858153.95629789401</v>
      </c>
      <c r="AX33" s="62">
        <f t="shared" si="144"/>
        <v>858153.95629789401</v>
      </c>
      <c r="AY33" s="62">
        <f t="shared" si="144"/>
        <v>858153.95629789401</v>
      </c>
      <c r="AZ33" s="62">
        <f t="shared" si="144"/>
        <v>858153.95629789401</v>
      </c>
      <c r="BA33" s="68"/>
      <c r="BB33" s="63">
        <f t="shared" si="110"/>
        <v>0</v>
      </c>
      <c r="BC33" s="64"/>
      <c r="BD33" s="64"/>
      <c r="BE33" s="64"/>
      <c r="BF33" s="64"/>
      <c r="BG33" s="64"/>
      <c r="BH33" s="64"/>
      <c r="BI33" s="64"/>
      <c r="BJ33" s="64"/>
      <c r="BK33" s="64"/>
      <c r="BL33" s="64">
        <f>IF(SUM($AP33:AX33)&lt;$N33,$H33/SUM($H$38:$H$46),0)</f>
        <v>0</v>
      </c>
      <c r="BM33" s="64">
        <f t="shared" si="112"/>
        <v>0</v>
      </c>
      <c r="BN33" s="64">
        <f t="shared" si="112"/>
        <v>0</v>
      </c>
      <c r="BP33" s="78"/>
      <c r="BQ33" s="78"/>
      <c r="BR33" s="78"/>
      <c r="BS33" s="78"/>
      <c r="BT33" s="78"/>
      <c r="BU33" s="78"/>
      <c r="BV33" s="78">
        <f t="shared" ref="BV33:CA34" si="148">$O33/6</f>
        <v>908633.6007860055</v>
      </c>
      <c r="BW33" s="78">
        <f t="shared" si="148"/>
        <v>908633.6007860055</v>
      </c>
      <c r="BX33" s="78">
        <f t="shared" si="148"/>
        <v>908633.6007860055</v>
      </c>
      <c r="BY33" s="78">
        <f t="shared" si="148"/>
        <v>908633.6007860055</v>
      </c>
      <c r="BZ33" s="78">
        <f t="shared" si="148"/>
        <v>908633.6007860055</v>
      </c>
      <c r="CA33" s="78">
        <f t="shared" si="148"/>
        <v>908633.6007860055</v>
      </c>
      <c r="CB33" s="84"/>
      <c r="CC33" s="79">
        <f t="shared" si="113"/>
        <v>0</v>
      </c>
      <c r="CD33" s="80"/>
      <c r="CE33" s="80"/>
      <c r="CF33" s="80"/>
      <c r="CG33" s="80"/>
      <c r="CH33" s="80"/>
      <c r="CI33" s="80"/>
      <c r="CJ33" s="80"/>
      <c r="CK33" s="80"/>
      <c r="CL33" s="80"/>
      <c r="CM33" s="80">
        <f>IF(SUM($BP33:BX33)&lt;$O33,$H33/SUM($H$38:$H$46),0)</f>
        <v>0</v>
      </c>
      <c r="CN33" s="80">
        <f t="shared" si="115"/>
        <v>0</v>
      </c>
      <c r="CO33" s="80">
        <f t="shared" si="115"/>
        <v>0</v>
      </c>
      <c r="CP33" s="91"/>
      <c r="CR33" s="1" t="s">
        <v>105</v>
      </c>
      <c r="CS33" s="106">
        <f>2500*P33/Popn!$H$22</f>
        <v>0</v>
      </c>
      <c r="CT33" s="117">
        <f>2500*Q33/Popn!$H$22</f>
        <v>0</v>
      </c>
      <c r="CU33" s="117">
        <f>2500*R33/Popn!$H$22</f>
        <v>0</v>
      </c>
      <c r="CV33" s="117">
        <f>2500*S33/Popn!$H$22</f>
        <v>0</v>
      </c>
      <c r="CW33" s="117">
        <f>2500*T33/Popn!$H$22</f>
        <v>0</v>
      </c>
      <c r="CX33" s="108">
        <f>2500*U33/Popn!$H$22</f>
        <v>9.011693855236091</v>
      </c>
      <c r="CY33" s="108">
        <f>2500*V33/Popn!$H$22</f>
        <v>9.011693855236091</v>
      </c>
      <c r="CZ33" s="108">
        <f>2500*W33/Popn!$H$22</f>
        <v>9.011693855236091</v>
      </c>
      <c r="DA33" s="108">
        <f>2500*X33/Popn!$H$22</f>
        <v>9.011693855236091</v>
      </c>
      <c r="DB33" s="108">
        <f>2500*Y33/Popn!$H$22</f>
        <v>9.011693855236091</v>
      </c>
      <c r="DC33" s="108">
        <f>2500*Z33/Popn!$H$22</f>
        <v>9.011693855236091</v>
      </c>
      <c r="DD33" s="106">
        <f>2500*AA33/Popn!$H$22</f>
        <v>0</v>
      </c>
      <c r="DE33" s="106">
        <f>2500*AB33/Popn!$H$22</f>
        <v>0</v>
      </c>
      <c r="DF33" s="38">
        <f t="shared" si="119"/>
        <v>54.070163131416543</v>
      </c>
      <c r="DG33" s="116">
        <f>2500*AP33/Popn!$H$22</f>
        <v>0</v>
      </c>
      <c r="DH33" s="116">
        <f>2500*AQ33/Popn!$H$22</f>
        <v>0</v>
      </c>
      <c r="DI33" s="116">
        <f>2500*AR33/Popn!$H$22</f>
        <v>0</v>
      </c>
      <c r="DJ33" s="116">
        <f>2500*AS33/Popn!$H$22</f>
        <v>0</v>
      </c>
      <c r="DK33" s="116">
        <f>2500*AT33/Popn!$H$22</f>
        <v>0</v>
      </c>
      <c r="DL33" s="101">
        <f>2500*AU33/Popn!$H$22</f>
        <v>9.5749247211883439</v>
      </c>
      <c r="DM33" s="101">
        <f>2500*AV33/Popn!$H$22</f>
        <v>9.5749247211883439</v>
      </c>
      <c r="DN33" s="101">
        <f>2500*AW33/Popn!$H$22</f>
        <v>9.5749247211883439</v>
      </c>
      <c r="DO33" s="101">
        <f>2500*AX33/Popn!$H$22</f>
        <v>9.5749247211883439</v>
      </c>
      <c r="DP33" s="101">
        <f>2500*AY33/Popn!$H$22</f>
        <v>9.5749247211883439</v>
      </c>
      <c r="DQ33" s="101">
        <f>2500*AZ33/Popn!$H$22</f>
        <v>9.5749247211883439</v>
      </c>
      <c r="DR33" s="116">
        <f>2500*BA33/Popn!$H$22</f>
        <v>0</v>
      </c>
      <c r="DS33" s="116">
        <f>2500*BB33/Popn!$H$22</f>
        <v>0</v>
      </c>
      <c r="DT33" s="100">
        <f t="shared" si="120"/>
        <v>57.449548327130067</v>
      </c>
      <c r="DU33" s="118">
        <f>2500*BP33/Popn!$H$22</f>
        <v>0</v>
      </c>
      <c r="DV33" s="118">
        <f>2500*BQ33/Popn!$H$22</f>
        <v>0</v>
      </c>
      <c r="DW33" s="118">
        <f>2500*BR33/Popn!$H$22</f>
        <v>0</v>
      </c>
      <c r="DX33" s="118">
        <f>2500*BS33/Popn!$H$22</f>
        <v>0</v>
      </c>
      <c r="DY33" s="118">
        <f>2500*BT33/Popn!$H$22</f>
        <v>0</v>
      </c>
      <c r="DZ33" s="118">
        <f>2500*BU33/Popn!$H$22</f>
        <v>0</v>
      </c>
      <c r="EA33" s="93">
        <f>2500*BV33/Popn!$H$22</f>
        <v>10.138155587140599</v>
      </c>
      <c r="EB33" s="93">
        <f>2500*BW33/Popn!$H$22</f>
        <v>10.138155587140599</v>
      </c>
      <c r="EC33" s="93">
        <f>2500*BX33/Popn!$H$22</f>
        <v>10.138155587140599</v>
      </c>
      <c r="ED33" s="93">
        <f>2500*BY33/Popn!$H$22</f>
        <v>10.138155587140599</v>
      </c>
      <c r="EE33" s="93">
        <f>2500*BZ33/Popn!$H$22</f>
        <v>10.138155587140599</v>
      </c>
      <c r="EF33" s="93">
        <f>2500*CA33/Popn!$H$22</f>
        <v>10.138155587140599</v>
      </c>
      <c r="EG33" s="118">
        <f>2500*CB33/Popn!$H$22</f>
        <v>0</v>
      </c>
      <c r="EH33" s="95">
        <f t="shared" si="121"/>
        <v>60.828933522843599</v>
      </c>
    </row>
    <row r="34" spans="2:138" ht="15.75" thickBot="1" x14ac:dyDescent="0.3">
      <c r="E34" s="128"/>
      <c r="G34" t="s">
        <v>55</v>
      </c>
      <c r="H34" s="48"/>
      <c r="I34" s="50">
        <f t="shared" ref="I34" si="149">I19</f>
        <v>69341097.740274146</v>
      </c>
      <c r="J34" s="45"/>
      <c r="K34" s="45"/>
      <c r="L34" s="45"/>
      <c r="M34" s="50">
        <f t="shared" ref="M34:O34" si="150">M19</f>
        <v>32340851.97385015</v>
      </c>
      <c r="N34" s="50">
        <f t="shared" si="150"/>
        <v>38123858.528442435</v>
      </c>
      <c r="O34" s="50">
        <f t="shared" si="150"/>
        <v>43906865.083034739</v>
      </c>
      <c r="P34" s="51">
        <f t="shared" si="118"/>
        <v>0</v>
      </c>
      <c r="Q34" s="51">
        <f>MIN($M34-SUM($P34:P34),Q$21*AD34)</f>
        <v>0</v>
      </c>
      <c r="R34" s="51">
        <f>MIN($M34-SUM($P34:Q34),R$21*AE34)</f>
        <v>0</v>
      </c>
      <c r="S34" s="51">
        <f>MIN($M34-SUM($P34:R34),S$21*AF34)</f>
        <v>0</v>
      </c>
      <c r="T34" s="51">
        <f>MIN($M34-SUM($P34:S34),T$21*AG34)</f>
        <v>0</v>
      </c>
      <c r="U34" s="51">
        <f>$M34/6</f>
        <v>5390141.9956416916</v>
      </c>
      <c r="V34" s="51">
        <f t="shared" si="143"/>
        <v>5390141.9956416916</v>
      </c>
      <c r="W34" s="51">
        <f t="shared" si="143"/>
        <v>5390141.9956416916</v>
      </c>
      <c r="X34" s="51">
        <f t="shared" si="143"/>
        <v>5390141.9956416916</v>
      </c>
      <c r="Y34" s="51">
        <f t="shared" si="143"/>
        <v>5390141.9956416916</v>
      </c>
      <c r="Z34" s="51">
        <f t="shared" si="143"/>
        <v>5390141.9956416916</v>
      </c>
      <c r="AA34" s="51"/>
      <c r="AB34" s="53">
        <f t="shared" si="107"/>
        <v>0</v>
      </c>
      <c r="AC34" s="4"/>
      <c r="AD34" s="4"/>
      <c r="AE34" s="4"/>
      <c r="AF34" s="4"/>
      <c r="AG34" s="4"/>
      <c r="AH34" s="4"/>
      <c r="AI34" s="4"/>
      <c r="AJ34" s="4"/>
      <c r="AK34" s="4"/>
      <c r="AL34" s="4">
        <f>IF(SUM($P34:X34)&lt;$M34,$H34/SUM($H$38:$H$46),0)</f>
        <v>0</v>
      </c>
      <c r="AM34" s="4">
        <f t="shared" si="109"/>
        <v>0</v>
      </c>
      <c r="AN34" s="4">
        <f t="shared" si="109"/>
        <v>0</v>
      </c>
      <c r="AP34" s="62"/>
      <c r="AQ34" s="62"/>
      <c r="AR34" s="62"/>
      <c r="AS34" s="62"/>
      <c r="AT34" s="62"/>
      <c r="AU34" s="62">
        <f>$N34/6</f>
        <v>6353976.4214070728</v>
      </c>
      <c r="AV34" s="62">
        <f t="shared" si="144"/>
        <v>6353976.4214070728</v>
      </c>
      <c r="AW34" s="62">
        <f t="shared" si="144"/>
        <v>6353976.4214070728</v>
      </c>
      <c r="AX34" s="62">
        <f t="shared" si="144"/>
        <v>6353976.4214070728</v>
      </c>
      <c r="AY34" s="62">
        <f t="shared" si="144"/>
        <v>6353976.4214070728</v>
      </c>
      <c r="AZ34" s="62">
        <f t="shared" si="144"/>
        <v>6353976.4214070728</v>
      </c>
      <c r="BA34" s="69"/>
      <c r="BB34" s="63">
        <f t="shared" si="110"/>
        <v>0</v>
      </c>
      <c r="BC34" s="64"/>
      <c r="BD34" s="64"/>
      <c r="BE34" s="64"/>
      <c r="BF34" s="64"/>
      <c r="BG34" s="64"/>
      <c r="BH34" s="64"/>
      <c r="BI34" s="64"/>
      <c r="BJ34" s="64"/>
      <c r="BK34" s="64"/>
      <c r="BL34" s="64">
        <f>IF(SUM($AP34:AX34)&lt;$N34,$H34/SUM($H$38:$H$46),0)</f>
        <v>0</v>
      </c>
      <c r="BM34" s="64">
        <f t="shared" si="112"/>
        <v>0</v>
      </c>
      <c r="BN34" s="64">
        <f t="shared" si="112"/>
        <v>0</v>
      </c>
      <c r="BP34" s="78"/>
      <c r="BQ34" s="78"/>
      <c r="BR34" s="78"/>
      <c r="BS34" s="78"/>
      <c r="BT34" s="78"/>
      <c r="BU34" s="78"/>
      <c r="BV34" s="78">
        <f t="shared" si="148"/>
        <v>7317810.8471724568</v>
      </c>
      <c r="BW34" s="78">
        <f t="shared" si="148"/>
        <v>7317810.8471724568</v>
      </c>
      <c r="BX34" s="78">
        <f t="shared" si="148"/>
        <v>7317810.8471724568</v>
      </c>
      <c r="BY34" s="78">
        <f t="shared" si="148"/>
        <v>7317810.8471724568</v>
      </c>
      <c r="BZ34" s="78">
        <f t="shared" si="148"/>
        <v>7317810.8471724568</v>
      </c>
      <c r="CA34" s="78">
        <f t="shared" si="148"/>
        <v>7317810.8471724568</v>
      </c>
      <c r="CB34" s="85"/>
      <c r="CC34" s="79">
        <f t="shared" si="113"/>
        <v>0</v>
      </c>
      <c r="CD34" s="80"/>
      <c r="CE34" s="80"/>
      <c r="CF34" s="80"/>
      <c r="CG34" s="80"/>
      <c r="CH34" s="80"/>
      <c r="CI34" s="80"/>
      <c r="CJ34" s="80"/>
      <c r="CK34" s="80"/>
      <c r="CL34" s="80"/>
      <c r="CM34" s="80">
        <f>IF(SUM($BP34:BX34)&lt;$O34,$H34/SUM($H$38:$H$46),0)</f>
        <v>0</v>
      </c>
      <c r="CN34" s="80">
        <f t="shared" si="115"/>
        <v>0</v>
      </c>
      <c r="CO34" s="80">
        <f t="shared" si="115"/>
        <v>0</v>
      </c>
      <c r="CP34" s="91"/>
      <c r="CR34" t="s">
        <v>106</v>
      </c>
      <c r="CS34" s="106">
        <f>2500*P34/Popn!$H$22</f>
        <v>0</v>
      </c>
      <c r="CT34" s="106">
        <f>2500*Q34/Popn!$H$22</f>
        <v>0</v>
      </c>
      <c r="CU34" s="106">
        <f>2500*R34/Popn!$H$22</f>
        <v>0</v>
      </c>
      <c r="CV34" s="106">
        <f>2500*S34/Popn!$H$22</f>
        <v>0</v>
      </c>
      <c r="CW34" s="106">
        <f>2500*T34/Popn!$H$22</f>
        <v>0</v>
      </c>
      <c r="CX34" s="108">
        <f>2500*U34/Popn!$H$22</f>
        <v>60.14096126461191</v>
      </c>
      <c r="CY34" s="108">
        <f>2500*V34/Popn!$H$22</f>
        <v>60.14096126461191</v>
      </c>
      <c r="CZ34" s="108">
        <f>2500*W34/Popn!$H$22</f>
        <v>60.14096126461191</v>
      </c>
      <c r="DA34" s="108">
        <f>2500*X34/Popn!$H$22</f>
        <v>60.14096126461191</v>
      </c>
      <c r="DB34" s="108">
        <f>2500*Y34/Popn!$H$22</f>
        <v>60.14096126461191</v>
      </c>
      <c r="DC34" s="108">
        <f>2500*Z34/Popn!$H$22</f>
        <v>60.14096126461191</v>
      </c>
      <c r="DD34" s="106">
        <f>2500*AA34/Popn!$H$22</f>
        <v>0</v>
      </c>
      <c r="DE34" s="106">
        <f>2500*AB34/Popn!$H$22</f>
        <v>0</v>
      </c>
      <c r="DF34" s="38">
        <f t="shared" si="119"/>
        <v>360.84576758767145</v>
      </c>
      <c r="DG34" s="116">
        <f>2500*AP34/Popn!$H$22</f>
        <v>0</v>
      </c>
      <c r="DH34" s="116">
        <f>2500*AQ34/Popn!$H$22</f>
        <v>0</v>
      </c>
      <c r="DI34" s="116">
        <f>2500*AR34/Popn!$H$22</f>
        <v>0</v>
      </c>
      <c r="DJ34" s="116">
        <f>2500*AS34/Popn!$H$22</f>
        <v>0</v>
      </c>
      <c r="DK34" s="116">
        <f>2500*AT34/Popn!$H$22</f>
        <v>0</v>
      </c>
      <c r="DL34" s="101">
        <f>2500*AU34/Popn!$H$22</f>
        <v>70.895024684893741</v>
      </c>
      <c r="DM34" s="101">
        <f>2500*AV34/Popn!$H$22</f>
        <v>70.895024684893741</v>
      </c>
      <c r="DN34" s="101">
        <f>2500*AW34/Popn!$H$22</f>
        <v>70.895024684893741</v>
      </c>
      <c r="DO34" s="101">
        <f>2500*AX34/Popn!$H$22</f>
        <v>70.895024684893741</v>
      </c>
      <c r="DP34" s="101">
        <f>2500*AY34/Popn!$H$22</f>
        <v>70.895024684893741</v>
      </c>
      <c r="DQ34" s="101">
        <f>2500*AZ34/Popn!$H$22</f>
        <v>70.895024684893741</v>
      </c>
      <c r="DR34" s="116">
        <f>2500*BA34/Popn!$H$22</f>
        <v>0</v>
      </c>
      <c r="DS34" s="116">
        <f>2500*BB34/Popn!$H$22</f>
        <v>0</v>
      </c>
      <c r="DT34" s="100">
        <f t="shared" si="120"/>
        <v>425.3701481093625</v>
      </c>
      <c r="DU34" s="118">
        <f>2500*BP34/Popn!$H$22</f>
        <v>0</v>
      </c>
      <c r="DV34" s="118">
        <f>2500*BQ34/Popn!$H$22</f>
        <v>0</v>
      </c>
      <c r="DW34" s="118">
        <f>2500*BR34/Popn!$H$22</f>
        <v>0</v>
      </c>
      <c r="DX34" s="118">
        <f>2500*BS34/Popn!$H$22</f>
        <v>0</v>
      </c>
      <c r="DY34" s="118">
        <f>2500*BT34/Popn!$H$22</f>
        <v>0</v>
      </c>
      <c r="DZ34" s="118">
        <f>2500*BU34/Popn!$H$22</f>
        <v>0</v>
      </c>
      <c r="EA34" s="93">
        <f>2500*BV34/Popn!$H$22</f>
        <v>81.649088105175608</v>
      </c>
      <c r="EB34" s="93">
        <f>2500*BW34/Popn!$H$22</f>
        <v>81.649088105175608</v>
      </c>
      <c r="EC34" s="93">
        <f>2500*BX34/Popn!$H$22</f>
        <v>81.649088105175608</v>
      </c>
      <c r="ED34" s="93">
        <f>2500*BY34/Popn!$H$22</f>
        <v>81.649088105175608</v>
      </c>
      <c r="EE34" s="93">
        <f>2500*BZ34/Popn!$H$22</f>
        <v>81.649088105175608</v>
      </c>
      <c r="EF34" s="93">
        <f>2500*CA34/Popn!$H$22</f>
        <v>81.649088105175608</v>
      </c>
      <c r="EG34" s="118">
        <f>2500*CB34/Popn!$H$22</f>
        <v>0</v>
      </c>
      <c r="EH34" s="95">
        <f t="shared" si="121"/>
        <v>489.89452863105367</v>
      </c>
    </row>
    <row r="35" spans="2:138" x14ac:dyDescent="0.25">
      <c r="H35" s="1"/>
      <c r="I35" s="1"/>
      <c r="J35" s="1"/>
      <c r="K35" s="1"/>
      <c r="L35" s="1"/>
      <c r="M35" s="1"/>
      <c r="N35" s="1"/>
      <c r="O35" s="1"/>
      <c r="P35" s="52">
        <f>P21-SUM(P23:P34)</f>
        <v>0</v>
      </c>
      <c r="Q35" s="52">
        <f t="shared" ref="Q35:AA35" si="151">Q21-SUM(Q23:Q34)</f>
        <v>0</v>
      </c>
      <c r="R35" s="52">
        <f t="shared" si="151"/>
        <v>0</v>
      </c>
      <c r="S35" s="52">
        <f t="shared" si="151"/>
        <v>0</v>
      </c>
      <c r="T35" s="52">
        <f t="shared" si="151"/>
        <v>16522431.351479055</v>
      </c>
      <c r="U35" s="52">
        <f t="shared" si="151"/>
        <v>28665978.943165176</v>
      </c>
      <c r="V35" s="52">
        <f t="shared" si="151"/>
        <v>39527503.817692913</v>
      </c>
      <c r="W35" s="52">
        <f t="shared" si="151"/>
        <v>50389028.692220651</v>
      </c>
      <c r="X35" s="52">
        <f t="shared" si="151"/>
        <v>61250553.566748403</v>
      </c>
      <c r="Y35" s="52">
        <f t="shared" si="151"/>
        <v>72112078.441276163</v>
      </c>
      <c r="Z35" s="52">
        <f t="shared" si="151"/>
        <v>82973603.315803915</v>
      </c>
      <c r="AA35" s="52">
        <f t="shared" si="151"/>
        <v>112973603.31580392</v>
      </c>
      <c r="AC35" s="2">
        <f>SUM(AC23:AC34)</f>
        <v>0.99999999999999989</v>
      </c>
      <c r="AD35" s="2">
        <f>SUM(AD23:AD34)</f>
        <v>0.99999999999999989</v>
      </c>
      <c r="AE35" s="2">
        <f t="shared" ref="AE35" si="152">SUM(AE23:AE34)</f>
        <v>0.99999999999999989</v>
      </c>
      <c r="AF35" s="2">
        <f t="shared" ref="AF35" si="153">SUM(AF23:AF34)</f>
        <v>0.99999999999999989</v>
      </c>
      <c r="AG35" s="2">
        <f t="shared" ref="AG35" si="154">SUM(AG23:AG34)</f>
        <v>0.99999999999999989</v>
      </c>
      <c r="AH35" s="2">
        <f t="shared" ref="AH35" si="155">SUM(AH23:AH34)</f>
        <v>0.99999999999999989</v>
      </c>
      <c r="AI35" s="2">
        <f t="shared" ref="AI35" si="156">SUM(AI23:AI34)</f>
        <v>0.99999999999999989</v>
      </c>
      <c r="AJ35" s="2">
        <f t="shared" ref="AJ35" si="157">SUM(AJ23:AJ34)</f>
        <v>0.99999999999999989</v>
      </c>
      <c r="AK35" s="2">
        <f t="shared" ref="AK35" si="158">SUM(AK23:AK34)</f>
        <v>0.99999999999999989</v>
      </c>
      <c r="AL35" s="2">
        <f t="shared" ref="AL35" si="159">SUM(AL23:AL34)</f>
        <v>0</v>
      </c>
      <c r="AM35" s="2">
        <f t="shared" ref="AM35" si="160">SUM(AM23:AM34)</f>
        <v>1</v>
      </c>
      <c r="AN35" s="2">
        <f t="shared" ref="AN35" si="161">SUM(AN23:AN34)</f>
        <v>1</v>
      </c>
      <c r="AP35" s="70">
        <f>AP21-SUM(AP23:AP34)</f>
        <v>0</v>
      </c>
      <c r="AQ35" s="70">
        <f>AQ21-SUM(AQ23:AQ34)+AQ27+AQ33</f>
        <v>0</v>
      </c>
      <c r="AR35" s="70">
        <f t="shared" ref="AR35" si="162">AR21-SUM(AR23:AR34)+AR27+AR33</f>
        <v>0</v>
      </c>
      <c r="AS35" s="70">
        <f t="shared" ref="AS35" si="163">AS21-SUM(AS23:AS34)+AS27+AS33</f>
        <v>0</v>
      </c>
      <c r="AT35" s="70">
        <f t="shared" ref="AT35" si="164">AT21-SUM(AT23:AT34)+AT27+AT33</f>
        <v>1178119.3490354046</v>
      </c>
      <c r="AU35" s="70">
        <f t="shared" ref="AU35" si="165">AU21-SUM(AU23:AU34)+AU27+AU33</f>
        <v>10375203.14937041</v>
      </c>
      <c r="AV35" s="70">
        <f t="shared" ref="AV35" si="166">AV21-SUM(AV23:AV34)+AV27+AV33</f>
        <v>19572286.949705411</v>
      </c>
      <c r="AW35" s="70">
        <f t="shared" ref="AW35" si="167">AW21-SUM(AW23:AW34)+AW27+AW33</f>
        <v>28769370.750040408</v>
      </c>
      <c r="AX35" s="70">
        <f t="shared" ref="AX35" si="168">AX21-SUM(AX23:AX34)+AX27+AX33</f>
        <v>37966454.550375417</v>
      </c>
      <c r="AY35" s="70">
        <f t="shared" ref="AY35" si="169">AY21-SUM(AY23:AY34)+AY27+AY33</f>
        <v>47163538.350710414</v>
      </c>
      <c r="AZ35" s="70">
        <f t="shared" ref="AZ35" si="170">AZ21-SUM(AZ23:AZ34)+AZ27+AZ33</f>
        <v>56360622.151045427</v>
      </c>
      <c r="BA35" s="70">
        <f t="shared" ref="BA35" si="171">BA21-SUM(BA23:BA34)+BA27+BA33</f>
        <v>86360622.151045427</v>
      </c>
      <c r="BB35" s="59"/>
      <c r="BC35" s="71">
        <f>SUM(BC23:BC34)</f>
        <v>0.99999999999999989</v>
      </c>
      <c r="BD35" s="71">
        <f>SUM(BD23:BD34)</f>
        <v>0.99999999999999989</v>
      </c>
      <c r="BE35" s="71">
        <f t="shared" ref="BE35" si="172">SUM(BE23:BE34)</f>
        <v>0.99999999999999989</v>
      </c>
      <c r="BF35" s="71">
        <f t="shared" ref="BF35" si="173">SUM(BF23:BF34)</f>
        <v>0.99999999999999989</v>
      </c>
      <c r="BG35" s="71">
        <f t="shared" ref="BG35" si="174">SUM(BG23:BG34)</f>
        <v>0.99999999999999989</v>
      </c>
      <c r="BH35" s="71">
        <f t="shared" ref="BH35" si="175">SUM(BH23:BH34)</f>
        <v>0.99999999999999989</v>
      </c>
      <c r="BI35" s="71">
        <f t="shared" ref="BI35" si="176">SUM(BI23:BI34)</f>
        <v>0.99999999999999989</v>
      </c>
      <c r="BJ35" s="71">
        <f t="shared" ref="BJ35" si="177">SUM(BJ23:BJ34)</f>
        <v>0.99999999999999989</v>
      </c>
      <c r="BK35" s="71">
        <f t="shared" ref="BK35" si="178">SUM(BK23:BK34)</f>
        <v>0.99999999999999989</v>
      </c>
      <c r="BL35" s="71">
        <f t="shared" ref="BL35" si="179">SUM(BL23:BL34)</f>
        <v>0</v>
      </c>
      <c r="BM35" s="71">
        <f t="shared" ref="BM35" si="180">SUM(BM23:BM34)</f>
        <v>1</v>
      </c>
      <c r="BN35" s="71">
        <f t="shared" ref="BN35" si="181">SUM(BN23:BN34)</f>
        <v>1</v>
      </c>
      <c r="BP35" s="86">
        <f>BP21-SUM(BP23:BP34)</f>
        <v>0</v>
      </c>
      <c r="BQ35" s="86">
        <f>BQ21-SUM(BQ23:BQ34)+BQ27+BQ33</f>
        <v>3.7252902984619141E-9</v>
      </c>
      <c r="BR35" s="86">
        <f t="shared" ref="BR35" si="182">BR21-SUM(BR23:BR34)+BR27+BR33</f>
        <v>-361683.37199306116</v>
      </c>
      <c r="BS35" s="86">
        <f t="shared" ref="BS35" si="183">BS21-SUM(BS23:BS34)+BS27+BS33</f>
        <v>-1344417.8994576074</v>
      </c>
      <c r="BT35" s="86">
        <f t="shared" ref="BT35" si="184">BT21-SUM(BT23:BT34)+BT27+BT33</f>
        <v>-1439655.4341265187</v>
      </c>
      <c r="BU35" s="86">
        <f t="shared" ref="BU35" si="185">BU21-SUM(BU23:BU34)+BU27+BU33</f>
        <v>15833807.346591651</v>
      </c>
      <c r="BV35" s="86">
        <f t="shared" ref="BV35" si="186">BV21-SUM(BV23:BV34)+BV27+BV33</f>
        <v>22084427.355575528</v>
      </c>
      <c r="BW35" s="86">
        <f t="shared" ref="BW35" si="187">BW21-SUM(BW23:BW34)+BW27+BW33</f>
        <v>28335047.364559408</v>
      </c>
      <c r="BX35" s="86">
        <f t="shared" ref="BX35" si="188">BX21-SUM(BX23:BX34)+BX27+BX33</f>
        <v>34585667.373543292</v>
      </c>
      <c r="BY35" s="86">
        <f t="shared" ref="BY35" si="189">BY21-SUM(BY23:BY34)+BY27+BY33</f>
        <v>40836287.38252718</v>
      </c>
      <c r="BZ35" s="86">
        <f t="shared" ref="BZ35" si="190">BZ21-SUM(BZ23:BZ34)+BZ27+BZ33</f>
        <v>47086907.39151106</v>
      </c>
      <c r="CA35" s="86">
        <f t="shared" ref="CA35:CB35" si="191">CA21-SUM(CA23:CA34)+CA27+CA33</f>
        <v>53337527.400494941</v>
      </c>
      <c r="CB35" s="86">
        <f t="shared" si="191"/>
        <v>83337527.400494933</v>
      </c>
      <c r="CC35" s="77"/>
      <c r="CD35" s="87">
        <f>SUM(CD23:CD34)</f>
        <v>1.0000000000000002</v>
      </c>
      <c r="CE35" s="87">
        <f>SUM(CE23:CE34)</f>
        <v>1.0000000000000002</v>
      </c>
      <c r="CF35" s="87">
        <f t="shared" ref="CF35" si="192">SUM(CF23:CF34)</f>
        <v>1.0000000000000002</v>
      </c>
      <c r="CG35" s="87">
        <f t="shared" ref="CG35" si="193">SUM(CG23:CG34)</f>
        <v>1.0000000000000002</v>
      </c>
      <c r="CH35" s="87">
        <f t="shared" ref="CH35" si="194">SUM(CH23:CH34)</f>
        <v>1.0000000000000002</v>
      </c>
      <c r="CI35" s="87">
        <f t="shared" ref="CI35" si="195">SUM(CI23:CI34)</f>
        <v>1.0000000000000002</v>
      </c>
      <c r="CJ35" s="87">
        <f t="shared" ref="CJ35" si="196">SUM(CJ23:CJ34)</f>
        <v>1.0000000000000002</v>
      </c>
      <c r="CK35" s="87">
        <f t="shared" ref="CK35" si="197">SUM(CK23:CK34)</f>
        <v>1.0000000000000002</v>
      </c>
      <c r="CL35" s="87">
        <f t="shared" ref="CL35" si="198">SUM(CL23:CL34)</f>
        <v>1.0000000000000002</v>
      </c>
      <c r="CM35" s="87">
        <f t="shared" ref="CM35" si="199">SUM(CM23:CM34)</f>
        <v>0</v>
      </c>
      <c r="CN35" s="87">
        <f t="shared" ref="CN35" si="200">SUM(CN23:CN34)</f>
        <v>1</v>
      </c>
      <c r="CO35" s="87">
        <f t="shared" ref="CO35" si="201">SUM(CO23:CO34)</f>
        <v>1</v>
      </c>
      <c r="CP35" s="87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38">
        <f>SUM(CS23:DD34)</f>
        <v>1671.6465345479335</v>
      </c>
      <c r="DG35" s="103"/>
      <c r="DH35" s="103"/>
      <c r="DI35" s="103"/>
      <c r="DJ35" s="103"/>
      <c r="DK35" s="103"/>
      <c r="DL35" s="103"/>
      <c r="DM35" s="103"/>
      <c r="DN35" s="103"/>
      <c r="DO35" s="103"/>
      <c r="DP35" s="103"/>
      <c r="DQ35" s="103"/>
      <c r="DR35" s="103"/>
      <c r="DS35" s="103"/>
      <c r="DT35" s="100">
        <f>SUM(DG23:DR34)</f>
        <v>1909.7673863878515</v>
      </c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95">
        <f>SUM(DU23:EG34)</f>
        <v>2147.888238227767</v>
      </c>
    </row>
    <row r="36" spans="2:138" x14ac:dyDescent="0.25">
      <c r="M36" t="s">
        <v>26</v>
      </c>
      <c r="P36" s="54">
        <f>1000000*30</f>
        <v>30000000</v>
      </c>
      <c r="Q36" s="55">
        <f>30000000+P50</f>
        <v>30131490.23388508</v>
      </c>
      <c r="R36" s="55">
        <f t="shared" ref="R36:AA36" si="202">30000000+Q50</f>
        <v>30000000</v>
      </c>
      <c r="S36" s="55">
        <f t="shared" si="202"/>
        <v>41003048.998085879</v>
      </c>
      <c r="T36" s="55">
        <f t="shared" si="202"/>
        <v>41548560.505879045</v>
      </c>
      <c r="U36" s="55">
        <f t="shared" si="202"/>
        <v>46522431.351479068</v>
      </c>
      <c r="V36" s="55">
        <f t="shared" si="202"/>
        <v>30000000</v>
      </c>
      <c r="W36" s="55">
        <f t="shared" si="202"/>
        <v>50718402.574373811</v>
      </c>
      <c r="X36" s="55">
        <f t="shared" si="202"/>
        <v>30000000</v>
      </c>
      <c r="Y36" s="55">
        <f t="shared" si="202"/>
        <v>59383716.901595801</v>
      </c>
      <c r="Z36" s="55">
        <f t="shared" si="202"/>
        <v>89383716.901595801</v>
      </c>
      <c r="AA36" s="55">
        <f t="shared" si="202"/>
        <v>119383716.9015958</v>
      </c>
      <c r="AP36" s="60">
        <f>1000000*30</f>
        <v>30000000</v>
      </c>
      <c r="AQ36" s="61">
        <f>30000000+AP50</f>
        <v>30000000</v>
      </c>
      <c r="AR36" s="61">
        <f t="shared" ref="AR36:BA36" si="203">30000000+AQ50</f>
        <v>31217446.286752541</v>
      </c>
      <c r="AS36" s="61">
        <f t="shared" si="203"/>
        <v>36756872.348805621</v>
      </c>
      <c r="AT36" s="61">
        <f t="shared" si="203"/>
        <v>32948993.950566597</v>
      </c>
      <c r="AU36" s="61">
        <f t="shared" si="203"/>
        <v>54275971.690325871</v>
      </c>
      <c r="AV36" s="61">
        <f t="shared" si="203"/>
        <v>61178119.349035397</v>
      </c>
      <c r="AW36" s="61">
        <f t="shared" si="203"/>
        <v>35047578.129187956</v>
      </c>
      <c r="AX36" s="61">
        <f t="shared" si="203"/>
        <v>21827105.178115293</v>
      </c>
      <c r="AY36" s="61">
        <f t="shared" si="203"/>
        <v>30000000</v>
      </c>
      <c r="AZ36" s="61">
        <f t="shared" si="203"/>
        <v>56360622.151045419</v>
      </c>
      <c r="BA36" s="61">
        <f t="shared" si="203"/>
        <v>86360622.151045412</v>
      </c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P36" s="75">
        <f>1000000*30</f>
        <v>30000000</v>
      </c>
      <c r="BQ36" s="76">
        <f>30000000+BP50</f>
        <v>30000000</v>
      </c>
      <c r="BR36" s="76">
        <f t="shared" ref="BR36:CA36" si="204">30000000+BQ50</f>
        <v>30772744.656738225</v>
      </c>
      <c r="BS36" s="76">
        <f t="shared" si="204"/>
        <v>32510695.699525356</v>
      </c>
      <c r="BT36" s="76">
        <f t="shared" si="204"/>
        <v>31731438.306303337</v>
      </c>
      <c r="BU36" s="76">
        <f t="shared" si="204"/>
        <v>42992021.549684308</v>
      </c>
      <c r="BV36" s="76">
        <f t="shared" si="204"/>
        <v>2841785.7969073579</v>
      </c>
      <c r="BW36" s="76">
        <f t="shared" si="204"/>
        <v>29073415.984777045</v>
      </c>
      <c r="BX36" s="76">
        <f t="shared" si="204"/>
        <v>3957548.0554555915</v>
      </c>
      <c r="BY36" s="76">
        <f t="shared" si="204"/>
        <v>30000000</v>
      </c>
      <c r="BZ36" s="76">
        <f t="shared" si="204"/>
        <v>30000000</v>
      </c>
      <c r="CA36" s="76">
        <f t="shared" si="204"/>
        <v>53337527.400494948</v>
      </c>
      <c r="CB36" s="76">
        <f t="shared" ref="CB36" si="205">30000000+CA50</f>
        <v>83337527.400494948</v>
      </c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</row>
    <row r="37" spans="2:138" ht="15.75" thickBot="1" x14ac:dyDescent="0.3">
      <c r="G37" t="s">
        <v>109</v>
      </c>
      <c r="H37" t="s">
        <v>27</v>
      </c>
      <c r="I37" t="s">
        <v>25</v>
      </c>
      <c r="J37" t="s">
        <v>56</v>
      </c>
      <c r="K37" t="s">
        <v>84</v>
      </c>
      <c r="L37" t="s">
        <v>98</v>
      </c>
      <c r="M37" s="30">
        <v>0.6</v>
      </c>
      <c r="N37" s="30">
        <v>0.7</v>
      </c>
      <c r="O37" s="30">
        <v>0.8</v>
      </c>
      <c r="P37">
        <v>1</v>
      </c>
      <c r="Q37">
        <v>2</v>
      </c>
      <c r="R37">
        <v>3</v>
      </c>
      <c r="S37">
        <v>4</v>
      </c>
      <c r="T37">
        <v>5</v>
      </c>
      <c r="U37">
        <v>6</v>
      </c>
      <c r="V37">
        <v>7</v>
      </c>
      <c r="W37">
        <v>8</v>
      </c>
      <c r="X37">
        <v>9</v>
      </c>
      <c r="Y37">
        <v>10</v>
      </c>
      <c r="Z37">
        <v>11</v>
      </c>
      <c r="AA37">
        <v>12</v>
      </c>
      <c r="AB37" t="s">
        <v>13</v>
      </c>
      <c r="AC37">
        <v>1</v>
      </c>
      <c r="AD37">
        <v>2</v>
      </c>
      <c r="AE37">
        <v>3</v>
      </c>
      <c r="AF37">
        <v>4</v>
      </c>
      <c r="AG37">
        <v>5</v>
      </c>
      <c r="AH37">
        <v>6</v>
      </c>
      <c r="AI37">
        <v>7</v>
      </c>
      <c r="AJ37">
        <v>8</v>
      </c>
      <c r="AK37">
        <v>9</v>
      </c>
      <c r="AL37">
        <v>10</v>
      </c>
      <c r="AM37">
        <v>11</v>
      </c>
      <c r="AN37">
        <v>12</v>
      </c>
      <c r="AP37" s="59">
        <v>1</v>
      </c>
      <c r="AQ37" s="59">
        <v>2</v>
      </c>
      <c r="AR37" s="59">
        <v>3</v>
      </c>
      <c r="AS37" s="59">
        <v>4</v>
      </c>
      <c r="AT37" s="59">
        <v>5</v>
      </c>
      <c r="AU37" s="59">
        <v>6</v>
      </c>
      <c r="AV37" s="59">
        <v>7</v>
      </c>
      <c r="AW37" s="59">
        <v>8</v>
      </c>
      <c r="AX37" s="59">
        <v>9</v>
      </c>
      <c r="AY37" s="59">
        <v>10</v>
      </c>
      <c r="AZ37" s="59">
        <v>11</v>
      </c>
      <c r="BA37" s="59">
        <v>12</v>
      </c>
      <c r="BB37" s="59" t="s">
        <v>13</v>
      </c>
      <c r="BC37" s="59">
        <v>1</v>
      </c>
      <c r="BD37" s="59">
        <v>2</v>
      </c>
      <c r="BE37" s="59">
        <v>3</v>
      </c>
      <c r="BF37" s="59">
        <v>4</v>
      </c>
      <c r="BG37" s="59">
        <v>5</v>
      </c>
      <c r="BH37" s="59">
        <v>6</v>
      </c>
      <c r="BI37" s="59">
        <v>7</v>
      </c>
      <c r="BJ37" s="59">
        <v>8</v>
      </c>
      <c r="BK37" s="59">
        <v>9</v>
      </c>
      <c r="BL37" s="59">
        <v>10</v>
      </c>
      <c r="BM37" s="59">
        <v>11</v>
      </c>
      <c r="BN37" s="59">
        <v>12</v>
      </c>
      <c r="BP37" s="77">
        <v>1</v>
      </c>
      <c r="BQ37" s="77">
        <v>2</v>
      </c>
      <c r="BR37" s="77">
        <v>3</v>
      </c>
      <c r="BS37" s="77">
        <v>4</v>
      </c>
      <c r="BT37" s="77">
        <v>5</v>
      </c>
      <c r="BU37" s="77">
        <v>6</v>
      </c>
      <c r="BV37" s="77">
        <v>7</v>
      </c>
      <c r="BW37" s="77">
        <v>8</v>
      </c>
      <c r="BX37" s="77">
        <v>9</v>
      </c>
      <c r="BY37" s="77">
        <v>10</v>
      </c>
      <c r="BZ37" s="77">
        <v>11</v>
      </c>
      <c r="CA37" s="77">
        <v>12</v>
      </c>
      <c r="CB37" s="77">
        <v>12</v>
      </c>
      <c r="CC37" s="77" t="s">
        <v>13</v>
      </c>
      <c r="CD37" s="77">
        <v>1</v>
      </c>
      <c r="CE37" s="77">
        <v>2</v>
      </c>
      <c r="CF37" s="77">
        <v>3</v>
      </c>
      <c r="CG37" s="77">
        <v>4</v>
      </c>
      <c r="CH37" s="77">
        <v>5</v>
      </c>
      <c r="CI37" s="77">
        <v>6</v>
      </c>
      <c r="CJ37" s="77">
        <v>7</v>
      </c>
      <c r="CK37" s="77">
        <v>8</v>
      </c>
      <c r="CL37" s="77">
        <v>9</v>
      </c>
      <c r="CM37" s="77">
        <v>10</v>
      </c>
      <c r="CN37" s="77">
        <v>11</v>
      </c>
      <c r="CO37" s="77">
        <v>12</v>
      </c>
      <c r="CP37" s="77"/>
      <c r="CR37" t="s">
        <v>11</v>
      </c>
      <c r="CS37" s="104">
        <v>1</v>
      </c>
      <c r="CT37" s="104">
        <v>2</v>
      </c>
      <c r="CU37" s="104">
        <v>3</v>
      </c>
      <c r="CV37" s="104">
        <v>4</v>
      </c>
      <c r="CW37" s="104">
        <v>5</v>
      </c>
      <c r="CX37" s="104"/>
      <c r="CY37" s="104">
        <v>7</v>
      </c>
      <c r="CZ37" s="104">
        <v>8</v>
      </c>
      <c r="DA37" s="104">
        <v>9</v>
      </c>
      <c r="DB37" s="104">
        <v>10</v>
      </c>
      <c r="DC37" s="104">
        <v>11</v>
      </c>
      <c r="DD37" s="104">
        <v>12</v>
      </c>
      <c r="DE37" s="104">
        <v>13</v>
      </c>
      <c r="DG37" s="96">
        <v>1</v>
      </c>
      <c r="DH37" s="96">
        <v>2</v>
      </c>
      <c r="DI37" s="96">
        <v>3</v>
      </c>
      <c r="DJ37" s="96">
        <v>4</v>
      </c>
      <c r="DK37" s="96">
        <v>5</v>
      </c>
      <c r="DL37" s="96">
        <v>6</v>
      </c>
      <c r="DM37" s="96">
        <v>7</v>
      </c>
      <c r="DN37" s="96">
        <v>8</v>
      </c>
      <c r="DO37" s="96">
        <v>9</v>
      </c>
      <c r="DP37" s="96">
        <v>10</v>
      </c>
      <c r="DQ37" s="96">
        <v>11</v>
      </c>
      <c r="DR37" s="96">
        <v>12</v>
      </c>
      <c r="DS37" s="96">
        <v>13</v>
      </c>
      <c r="DT37" s="96"/>
      <c r="DU37" s="77">
        <v>1</v>
      </c>
      <c r="DV37" s="77">
        <v>2</v>
      </c>
      <c r="DW37" s="77">
        <v>3</v>
      </c>
      <c r="DX37" s="77">
        <v>4</v>
      </c>
      <c r="DY37" s="77">
        <v>5</v>
      </c>
      <c r="DZ37" s="77"/>
      <c r="EA37" s="77">
        <v>7</v>
      </c>
      <c r="EB37" s="77">
        <v>8</v>
      </c>
      <c r="EC37" s="77">
        <v>9</v>
      </c>
      <c r="ED37" s="77">
        <v>10</v>
      </c>
      <c r="EE37" s="77">
        <v>11</v>
      </c>
      <c r="EF37" s="77">
        <v>12</v>
      </c>
      <c r="EG37" s="77">
        <v>13</v>
      </c>
      <c r="EH37" s="77"/>
    </row>
    <row r="38" spans="2:138" ht="15.75" thickBot="1" x14ac:dyDescent="0.3">
      <c r="B38" s="123"/>
      <c r="E38" s="126" t="s">
        <v>97</v>
      </c>
      <c r="F38" t="s">
        <v>5</v>
      </c>
      <c r="G38" t="s">
        <v>22</v>
      </c>
      <c r="H38" s="48">
        <f>'Urban Rural'!J20</f>
        <v>5716058.6312323399</v>
      </c>
      <c r="I38" s="32">
        <f>Popn!Q3</f>
        <v>4447016.3001431488</v>
      </c>
      <c r="J38" s="47">
        <f>'Urban Rural'!L20</f>
        <v>0.46273298057787704</v>
      </c>
      <c r="K38" s="47">
        <f>'Urban Rural'!M20</f>
        <v>0.35990342933834885</v>
      </c>
      <c r="L38" s="45">
        <f>J38+K38/2</f>
        <v>0.64268469524705152</v>
      </c>
      <c r="M38" s="33">
        <f t="shared" ref="M38:O40" si="206">(M$5*2-$J38*2-$K38)*$I38</f>
        <v>1399167.4489966987</v>
      </c>
      <c r="N38" s="33">
        <f t="shared" si="206"/>
        <v>1843869.0790110128</v>
      </c>
      <c r="O38" s="33">
        <f t="shared" si="206"/>
        <v>2288570.709025328</v>
      </c>
      <c r="P38" s="51">
        <f>MIN($M38,P36*AC38/AC50)</f>
        <v>1399167.4489966987</v>
      </c>
      <c r="Q38" s="51">
        <f>MIN($M38-SUM($P38:P38),Q36*AD38/AD50)</f>
        <v>0</v>
      </c>
      <c r="R38" s="51">
        <f>MIN($M38,R36*AE38/AE$50)</f>
        <v>0</v>
      </c>
      <c r="S38" s="51">
        <f>MIN($M38,S36*AF38/AF$50)</f>
        <v>0</v>
      </c>
      <c r="T38" s="51">
        <f>MIN($M38,T36*AG38/AG$50)</f>
        <v>0</v>
      </c>
      <c r="U38" s="51"/>
      <c r="V38" s="51"/>
      <c r="W38" s="51"/>
      <c r="X38" s="51"/>
      <c r="Y38" s="51"/>
      <c r="Z38" s="51"/>
      <c r="AA38" s="51"/>
      <c r="AB38" s="53">
        <f t="shared" ref="AB38:AB49" si="207">SUM(P38:AA38)-M38</f>
        <v>0</v>
      </c>
      <c r="AC38" s="4">
        <f t="shared" ref="AC38:AC49" si="208">$H38/SUM($H$38:$H$46)</f>
        <v>5.1021922762725928E-2</v>
      </c>
      <c r="AD38" s="4">
        <f>IF(SUM($P38:P38)&lt;$M38,$H38/SUM($H$38:$H$46),0)</f>
        <v>0</v>
      </c>
      <c r="AE38" s="4">
        <f>IF(SUM($P38:Q38)&lt;$M38,$H38/SUM($H$38:$H$46),0)</f>
        <v>0</v>
      </c>
      <c r="AF38" s="4">
        <f>IF(SUM($P38:R38)&lt;$M38,$H38/SUM($H$38:$H$46),0)</f>
        <v>0</v>
      </c>
      <c r="AG38" s="4">
        <f>IF(SUM($P38:S38)&lt;$M38,$H38/SUM($H$38:$H$46),0)</f>
        <v>0</v>
      </c>
      <c r="AH38" s="4">
        <f>IF(SUM($P38:T38)&lt;$M38,$H38/SUM($H$38:$H$46),0)</f>
        <v>0</v>
      </c>
      <c r="AI38" s="4">
        <f>IF(SUM($P38:U38)&lt;$M38,$H38/SUM($H$38:$H$46),0)</f>
        <v>0</v>
      </c>
      <c r="AJ38" s="4">
        <f>IF(SUM($P38:V38)&lt;$M38,$H38/SUM($H$38:$H$46),0)</f>
        <v>0</v>
      </c>
      <c r="AK38" s="4">
        <f>IF(SUM($P38:W38)&lt;$M38,$H38/SUM($H$38:$H$46),0)</f>
        <v>0</v>
      </c>
      <c r="AL38" s="4">
        <f>IF(SUM($P38:X38)&lt;$M38,$H38/SUM($H$38:$H$46),0)</f>
        <v>0</v>
      </c>
      <c r="AM38" s="4">
        <f t="shared" ref="AM38:AN49" si="209">$H38/SUM($H$38:$H$46)</f>
        <v>5.1021922762725928E-2</v>
      </c>
      <c r="AN38" s="4">
        <f t="shared" si="209"/>
        <v>5.1021922762725928E-2</v>
      </c>
      <c r="AP38" s="62">
        <f>MIN($N38,AP36*BC38/BC50)</f>
        <v>1530657.6828817779</v>
      </c>
      <c r="AQ38" s="62">
        <f>MIN($N38-SUM($AP38:AP38),AQ36*BD38/BD50)</f>
        <v>313211.39612923493</v>
      </c>
      <c r="AR38" s="62">
        <f>MIN($N38-SUM($AP38:AQ38),AR36*BE38/BE50)</f>
        <v>0</v>
      </c>
      <c r="AS38" s="62">
        <f>MIN($N38-SUM($AP38:AR38),AS36*BF38/BF50)</f>
        <v>0</v>
      </c>
      <c r="AT38" s="62">
        <f>MIN($N38,AT36*BG38/BG$50)</f>
        <v>0</v>
      </c>
      <c r="AU38" s="62"/>
      <c r="AV38" s="62"/>
      <c r="AW38" s="62"/>
      <c r="AX38" s="62"/>
      <c r="AY38" s="62"/>
      <c r="AZ38" s="62"/>
      <c r="BA38" s="62"/>
      <c r="BB38" s="63">
        <f t="shared" ref="BB38:BB49" si="210">SUM(AP38:BA38)-$N38</f>
        <v>0</v>
      </c>
      <c r="BC38" s="64">
        <f t="shared" ref="BC38:BC49" si="211">$H38/SUM($H$38:$H$46)</f>
        <v>5.1021922762725928E-2</v>
      </c>
      <c r="BD38" s="64">
        <f>IF(SUM($AP38:AP38)&lt;$N38,$H38/SUM($H$38:$H$46),0)</f>
        <v>5.1021922762725928E-2</v>
      </c>
      <c r="BE38" s="64">
        <f>IF(SUM($AP38:AQ38)&lt;$N38,$H38/SUM($H$38:$H$46),0)</f>
        <v>0</v>
      </c>
      <c r="BF38" s="64">
        <f>IF(SUM($AP38:AR38)&lt;$N38,$H38/SUM($H$38:$H$46),0)</f>
        <v>0</v>
      </c>
      <c r="BG38" s="64">
        <f>IF(SUM($AP38:AS38)&lt;$N38,$H38/SUM($H$38:$H$46),0)</f>
        <v>0</v>
      </c>
      <c r="BH38" s="64">
        <f>IF(SUM($AP38:AT38)&lt;$N38,$H38/SUM($H$38:$H$46),0)</f>
        <v>0</v>
      </c>
      <c r="BI38" s="64">
        <f>IF(SUM($AP38:AU38)&lt;$N38,$H38/SUM($H$38:$H$46),0)</f>
        <v>0</v>
      </c>
      <c r="BJ38" s="64">
        <f>IF(SUM($AP38:AV38)&lt;$N38,$H38/SUM($H$38:$H$46),0)</f>
        <v>0</v>
      </c>
      <c r="BK38" s="64">
        <f>IF(SUM($AP38:AW38)&lt;$N38,$H38/SUM($H$38:$H$46),0)</f>
        <v>0</v>
      </c>
      <c r="BL38" s="64">
        <f>IF(SUM($AP38:AX38)&lt;$N38,$H38/SUM($H$38:$H$46),0)</f>
        <v>0</v>
      </c>
      <c r="BM38" s="64">
        <f>IF(SUM($AP38:AY38)&lt;$N38,$H38/SUM($H$38:$H$46),0)</f>
        <v>0</v>
      </c>
      <c r="BN38" s="64">
        <f>IF(SUM($AP38:AZ38)&lt;$N38,$H38/SUM($H$38:$H$46),0)</f>
        <v>0</v>
      </c>
      <c r="BP38" s="78">
        <f>MIN($O38,BP36*CD38/CD50)</f>
        <v>1530657.6828817779</v>
      </c>
      <c r="BQ38" s="78">
        <f>MIN($O38-SUM($BP38:BP38),BQ36*CE38/CE50)</f>
        <v>757913.02614355017</v>
      </c>
      <c r="BR38" s="78">
        <f>MIN($O38-SUM($BP38:BQ38),BR36*CF38/CF50)</f>
        <v>0</v>
      </c>
      <c r="BS38" s="78">
        <f>MIN($O38-SUM($BP38:BR38),BS36*CG38/CG50)</f>
        <v>0</v>
      </c>
      <c r="BT38" s="78">
        <f>MIN($O38,BT36*CH38/CH$50)</f>
        <v>0</v>
      </c>
      <c r="BU38" s="78"/>
      <c r="BV38" s="78"/>
      <c r="BW38" s="78"/>
      <c r="BX38" s="78"/>
      <c r="BY38" s="78"/>
      <c r="BZ38" s="78"/>
      <c r="CA38" s="78"/>
      <c r="CB38" s="78"/>
      <c r="CC38" s="79">
        <f t="shared" ref="CC38:CC49" si="212">SUM(BP38:CB38)-O38</f>
        <v>0</v>
      </c>
      <c r="CD38" s="80">
        <f t="shared" ref="CD38:CD49" si="213">$H38/SUM($H$38:$H$46)</f>
        <v>5.1021922762725928E-2</v>
      </c>
      <c r="CE38" s="80">
        <f>IF(SUM($BP38:BP38)&lt;$O38,$H38/SUM($H$38:$H$46),0)</f>
        <v>5.1021922762725928E-2</v>
      </c>
      <c r="CF38" s="80">
        <f>IF(SUM($BP38:BQ38)&lt;$O38,$H38/SUM($H$38:$H$46),0)</f>
        <v>0</v>
      </c>
      <c r="CG38" s="80">
        <f>IF(SUM($BP38:BR38)&lt;$O38,$H38/SUM($H$38:$H$46),0)</f>
        <v>0</v>
      </c>
      <c r="CH38" s="80">
        <f>IF(SUM($BP38:BS38)&lt;$O38,$H38/SUM($H$38:$H$46),0)</f>
        <v>0</v>
      </c>
      <c r="CI38" s="80">
        <f>IF(SUM($BP38:BT38)&lt;$O38,$H38/SUM($H$38:$H$46),0)</f>
        <v>0</v>
      </c>
      <c r="CJ38" s="80">
        <f>IF(SUM($BP38:BU38)&lt;$O38,$H38/SUM($H$38:$H$46),0)</f>
        <v>0</v>
      </c>
      <c r="CK38" s="80">
        <f>IF(SUM($BP38:BV38)&lt;$O38,$H38/SUM($H$38:$H$46),0)</f>
        <v>0</v>
      </c>
      <c r="CL38" s="80">
        <f>IF(SUM($BP38:BW38)&lt;$O38,$H38/SUM($H$38:$H$46),0)</f>
        <v>0</v>
      </c>
      <c r="CM38" s="80">
        <f>IF(SUM($BP38:BX38)&lt;$O38,$H38/SUM($H$38:$H$46),0)</f>
        <v>0</v>
      </c>
      <c r="CN38" s="80">
        <f t="shared" ref="CN38:CO49" si="214">$H38/SUM($H$38:$H$46)</f>
        <v>5.1021922762725928E-2</v>
      </c>
      <c r="CO38" s="80">
        <f t="shared" si="214"/>
        <v>5.1021922762725928E-2</v>
      </c>
      <c r="CP38" s="91"/>
      <c r="CQ38" t="s">
        <v>5</v>
      </c>
      <c r="CR38" t="s">
        <v>101</v>
      </c>
      <c r="CS38" s="105">
        <f>0.5*2500*P38/Popn!$H$22</f>
        <v>7.8056640642171677</v>
      </c>
      <c r="CT38" s="105">
        <f>0.5*2500*Q38/Popn!$H$22</f>
        <v>0</v>
      </c>
      <c r="CU38" s="105">
        <f>0.5*2500*R38/Popn!$H$22</f>
        <v>0</v>
      </c>
      <c r="CV38" s="105">
        <f>0.5*2500*S38/Popn!$H$22</f>
        <v>0</v>
      </c>
      <c r="CW38" s="105">
        <f>0.5*2500*T38/Popn!$H$22</f>
        <v>0</v>
      </c>
      <c r="CX38" s="105">
        <f>0.5*2500*U38/Popn!$H$22</f>
        <v>0</v>
      </c>
      <c r="DF38" s="38">
        <f>SUM(CS38:DD38)</f>
        <v>7.8056640642171677</v>
      </c>
      <c r="DG38" s="99">
        <f>0.5*2500*AP38/Popn!$H$22</f>
        <v>8.5392207190466181</v>
      </c>
      <c r="DH38" s="99">
        <f>0.5*2500*AQ38/Popn!$H$22</f>
        <v>1.7473412071031003</v>
      </c>
      <c r="DI38" s="99">
        <f>0.5*2500*AR38/Popn!$H$22</f>
        <v>0</v>
      </c>
      <c r="DJ38" s="99">
        <f>0.5*2500*AS38/Popn!$H$22</f>
        <v>0</v>
      </c>
      <c r="DK38" s="99">
        <f>0.5*2500*AT38/Popn!$H$22</f>
        <v>0</v>
      </c>
      <c r="DL38" s="99">
        <f>0.5*2500*AU38/Popn!$H$22</f>
        <v>0</v>
      </c>
      <c r="DT38" s="100">
        <f>SUM(DG38:DR38)</f>
        <v>10.286561926149718</v>
      </c>
      <c r="DU38" s="92">
        <f>0.5*2500*BP38/Popn!$H$22</f>
        <v>8.5392207190466181</v>
      </c>
      <c r="DV38" s="92">
        <f>0.5*2500*BQ38/Popn!$H$22</f>
        <v>4.2282390690356566</v>
      </c>
      <c r="DW38" s="92">
        <f>0.5*2500*BR38/Popn!$H$22</f>
        <v>0</v>
      </c>
      <c r="DX38" s="92">
        <f>0.5*2500*BS38/Popn!$H$22</f>
        <v>0</v>
      </c>
      <c r="DY38" s="92">
        <f>0.5*2500*BT38/Popn!$H$22</f>
        <v>0</v>
      </c>
      <c r="DZ38" s="92">
        <f>0.5*2500*BU38/Popn!$H$22</f>
        <v>0</v>
      </c>
      <c r="EH38" s="95">
        <f>SUM(DU38:EF38)</f>
        <v>12.767459788082274</v>
      </c>
    </row>
    <row r="39" spans="2:138" ht="15.75" thickBot="1" x14ac:dyDescent="0.3">
      <c r="B39" s="123"/>
      <c r="E39" s="127"/>
      <c r="G39" t="s">
        <v>23</v>
      </c>
      <c r="H39" s="48">
        <f>'Urban Rural'!J21</f>
        <v>41541727.200945042</v>
      </c>
      <c r="I39" s="32">
        <f>Popn!Q4</f>
        <v>40724136.768097505</v>
      </c>
      <c r="J39" s="47">
        <f>'Urban Rural'!L21</f>
        <v>0.36722747194130062</v>
      </c>
      <c r="K39" s="47">
        <f>'Urban Rural'!M21</f>
        <v>0.28562136706545604</v>
      </c>
      <c r="L39" s="45">
        <f t="shared" ref="L39:L40" si="215">J39+K39/2</f>
        <v>0.51003815547402864</v>
      </c>
      <c r="M39" s="33">
        <f t="shared" si="206"/>
        <v>23616891.62801097</v>
      </c>
      <c r="N39" s="33">
        <f t="shared" si="206"/>
        <v>27689305.304820713</v>
      </c>
      <c r="O39" s="33">
        <f t="shared" si="206"/>
        <v>31761718.981630471</v>
      </c>
      <c r="P39" s="51">
        <f>MIN($M39,P36*AC39/AC50)</f>
        <v>11124127.305635555</v>
      </c>
      <c r="Q39" s="51">
        <f>MIN($M39-SUM($P39:P39),Q36*AD39/AD50)</f>
        <v>11773595.945302501</v>
      </c>
      <c r="R39" s="51">
        <f>MIN($M39-SUM($P39:Q39),R36*AE39/AE50)</f>
        <v>719168.37707291171</v>
      </c>
      <c r="S39" s="51">
        <f>MIN($M39-SUM($P39:R39),S36*AF39/AF50)</f>
        <v>0</v>
      </c>
      <c r="T39" s="51">
        <f>MIN($M39-SUM($P39:S39),T36*AG39/AG50)</f>
        <v>0</v>
      </c>
      <c r="U39" s="51"/>
      <c r="V39" s="51"/>
      <c r="W39" s="51"/>
      <c r="X39" s="51"/>
      <c r="Y39" s="51"/>
      <c r="Z39" s="51"/>
      <c r="AA39" s="51"/>
      <c r="AB39" s="53">
        <f t="shared" si="207"/>
        <v>0</v>
      </c>
      <c r="AC39" s="4">
        <f t="shared" si="208"/>
        <v>0.37080424352118513</v>
      </c>
      <c r="AD39" s="4">
        <f>IF(SUM($P39:P39)&lt;$M39,$H39/SUM($H$38:$H$46),0)</f>
        <v>0.37080424352118513</v>
      </c>
      <c r="AE39" s="4">
        <f>IF(SUM($P39:Q39)&lt;$M39,$H39/SUM($H$38:$H$46),0)</f>
        <v>0.37080424352118513</v>
      </c>
      <c r="AF39" s="4">
        <f>IF(SUM($P39:R39)&lt;$M39,$H39/SUM($H$38:$H$46),0)</f>
        <v>0</v>
      </c>
      <c r="AG39" s="4">
        <f>IF(SUM($P39:S39)&lt;$M39,$H39/SUM($H$38:$H$46),0)</f>
        <v>0</v>
      </c>
      <c r="AH39" s="4">
        <f>IF(SUM($P39:T39)&lt;$M39,$H39/SUM($H$38:$H$46),0)</f>
        <v>0</v>
      </c>
      <c r="AI39" s="4">
        <f>IF(SUM($P39:U39)&lt;$M39,$H39/SUM($H$38:$H$46),0)</f>
        <v>0</v>
      </c>
      <c r="AJ39" s="4">
        <f>IF(SUM($P39:V39)&lt;$M39,$H39/SUM($H$38:$H$46),0)</f>
        <v>0</v>
      </c>
      <c r="AK39" s="4">
        <f>IF(SUM($P39:W39)&lt;$M39,$H39/SUM($H$38:$H$46),0)</f>
        <v>0</v>
      </c>
      <c r="AL39" s="4">
        <f>IF(SUM($P39:X39)&lt;$M39,$H39/SUM($H$38:$H$46),0)</f>
        <v>0</v>
      </c>
      <c r="AM39" s="4">
        <f t="shared" si="209"/>
        <v>0.37080424352118513</v>
      </c>
      <c r="AN39" s="4">
        <f t="shared" si="209"/>
        <v>0.37080424352118513</v>
      </c>
      <c r="AP39" s="62">
        <f>MIN($N39,AP36*BC39/BC50)</f>
        <v>11124127.305635555</v>
      </c>
      <c r="AQ39" s="62">
        <f>MIN($N39-SUM($AP39:AP39),AQ36*BD39/BD50)</f>
        <v>11124127.305635555</v>
      </c>
      <c r="AR39" s="62">
        <f>MIN($N39-SUM($AP39:AQ39),AR36*BE39/BE50)</f>
        <v>5441050.6935496032</v>
      </c>
      <c r="AS39" s="62">
        <f>MIN($N39-SUM($AP39:AR39),AS36*BF39/BF50)</f>
        <v>0</v>
      </c>
      <c r="AT39" s="62">
        <f>MIN($N39-SUM($AP39:AS39),AT36*BG39/BG50)</f>
        <v>0</v>
      </c>
      <c r="AU39" s="62"/>
      <c r="AV39" s="62"/>
      <c r="AW39" s="62"/>
      <c r="AX39" s="62"/>
      <c r="AY39" s="62"/>
      <c r="AZ39" s="62"/>
      <c r="BA39" s="62"/>
      <c r="BB39" s="63">
        <f t="shared" si="210"/>
        <v>0</v>
      </c>
      <c r="BC39" s="64">
        <f t="shared" si="211"/>
        <v>0.37080424352118513</v>
      </c>
      <c r="BD39" s="64">
        <f>IF(SUM($AP39:AP39)&lt;$N39,$H39/SUM($H$38:$H$46),0)</f>
        <v>0.37080424352118513</v>
      </c>
      <c r="BE39" s="64">
        <f>IF(SUM($AP39:AQ39)&lt;$N39,$H39/SUM($H$38:$H$46),0)</f>
        <v>0.37080424352118513</v>
      </c>
      <c r="BF39" s="64">
        <f>IF(SUM($AP39:AR39)&lt;$N39,$H39/SUM($H$38:$H$46),0)</f>
        <v>0</v>
      </c>
      <c r="BG39" s="64">
        <f>IF(SUM($AP39:AS39)&lt;$N39,$H39/SUM($H$38:$H$46),0)</f>
        <v>0</v>
      </c>
      <c r="BH39" s="64">
        <f>IF(SUM($AP39:AT39)&lt;$N39,$H39/SUM($H$38:$H$46),0)</f>
        <v>0</v>
      </c>
      <c r="BI39" s="64">
        <f>IF(SUM($AP39:AU39)&lt;$N39,$H39/SUM($H$38:$H$46),0)</f>
        <v>0</v>
      </c>
      <c r="BJ39" s="64">
        <f>IF(SUM($AP39:AV39)&lt;$N39,$H39/SUM($H$38:$H$46),0)</f>
        <v>0</v>
      </c>
      <c r="BK39" s="64">
        <f>IF(SUM($AP39:AW39)&lt;$N39,$H39/SUM($H$38:$H$46),0)</f>
        <v>0</v>
      </c>
      <c r="BL39" s="64">
        <f>IF(SUM($AP39:AX39)&lt;$N39,$H39/SUM($H$38:$H$46),0)</f>
        <v>0</v>
      </c>
      <c r="BM39" s="64">
        <f>IF(SUM($AP39:AY39)&lt;$N39,$H39/SUM($H$38:$H$46),0)</f>
        <v>0</v>
      </c>
      <c r="BN39" s="64">
        <f>IF(SUM($AP39:AZ39)&lt;$N39,$H39/SUM($H$38:$H$46),0)</f>
        <v>0</v>
      </c>
      <c r="BP39" s="78">
        <f>MIN($O39,BP36*CD39/CD50)</f>
        <v>11124127.305635555</v>
      </c>
      <c r="BQ39" s="78">
        <f>MIN($O39-SUM($BP39:BP39),BQ36*CE39/CE50)</f>
        <v>11124127.305635555</v>
      </c>
      <c r="BR39" s="78">
        <f>MIN($O39-SUM($BP39:BQ39),BR36*CF39/CF50)</f>
        <v>9513464.3703593612</v>
      </c>
      <c r="BS39" s="78">
        <f>MIN($O39-SUM($BP39:BR39),BS36*CG39/CG50)</f>
        <v>0</v>
      </c>
      <c r="BT39" s="78">
        <f>MIN($O39-SUM($BP39:BS39),BT36*CH39/CH50)</f>
        <v>0</v>
      </c>
      <c r="BU39" s="78"/>
      <c r="BV39" s="78"/>
      <c r="BW39" s="78"/>
      <c r="BX39" s="78"/>
      <c r="BY39" s="78"/>
      <c r="BZ39" s="78"/>
      <c r="CA39" s="78"/>
      <c r="CB39" s="78"/>
      <c r="CC39" s="79">
        <f t="shared" si="212"/>
        <v>0</v>
      </c>
      <c r="CD39" s="80">
        <f t="shared" si="213"/>
        <v>0.37080424352118513</v>
      </c>
      <c r="CE39" s="80">
        <f>IF(SUM($BP39:BP39)&lt;$O39,$H39/SUM($H$38:$H$46),0)</f>
        <v>0.37080424352118513</v>
      </c>
      <c r="CF39" s="80">
        <f>IF(SUM($BP39:BQ39)&lt;$O39,$H39/SUM($H$38:$H$46),0)</f>
        <v>0.37080424352118513</v>
      </c>
      <c r="CG39" s="80">
        <f>IF(SUM($BP39:BR39)&lt;$O39,$H39/SUM($H$38:$H$46),0)</f>
        <v>0</v>
      </c>
      <c r="CH39" s="80">
        <f>IF(SUM($BP39:BS39)&lt;$O39,$H39/SUM($H$38:$H$46),0)</f>
        <v>0</v>
      </c>
      <c r="CI39" s="80">
        <f>IF(SUM($BP39:BT39)&lt;$O39,$H39/SUM($H$38:$H$46),0)</f>
        <v>0</v>
      </c>
      <c r="CJ39" s="80">
        <f>IF(SUM($BP39:BU39)&lt;$O39,$H39/SUM($H$38:$H$46),0)</f>
        <v>0</v>
      </c>
      <c r="CK39" s="80">
        <f>IF(SUM($BP39:BV39)&lt;$O39,$H39/SUM($H$38:$H$46),0)</f>
        <v>0</v>
      </c>
      <c r="CL39" s="80">
        <f>IF(SUM($BP39:BW39)&lt;$O39,$H39/SUM($H$38:$H$46),0)</f>
        <v>0</v>
      </c>
      <c r="CM39" s="80">
        <f>IF(SUM($BP39:BX39)&lt;$O39,$H39/SUM($H$38:$H$46),0)</f>
        <v>0</v>
      </c>
      <c r="CN39" s="80">
        <f t="shared" si="214"/>
        <v>0.37080424352118513</v>
      </c>
      <c r="CO39" s="80">
        <f t="shared" si="214"/>
        <v>0.37080424352118513</v>
      </c>
      <c r="CP39" s="91"/>
      <c r="CR39" t="s">
        <v>102</v>
      </c>
      <c r="CS39" s="105">
        <f>0.5*2500*P39/Popn!$H$22</f>
        <v>62.059191569701298</v>
      </c>
      <c r="CT39" s="105">
        <f>0.5*2500*Q39/Popn!$H$22</f>
        <v>65.682441971302268</v>
      </c>
      <c r="CU39" s="105">
        <f>0.5*2500*R39/Popn!$H$22</f>
        <v>4.0120907337179297</v>
      </c>
      <c r="CV39" s="105">
        <f>0.5*2500*S39/Popn!$H$22</f>
        <v>0</v>
      </c>
      <c r="CW39" s="105">
        <f>0.5*2500*T39/Popn!$H$22</f>
        <v>0</v>
      </c>
      <c r="CX39" s="105">
        <f>0.5*2500*U39/Popn!$H$22</f>
        <v>0</v>
      </c>
      <c r="DF39" s="38">
        <f t="shared" ref="DF39:DF49" si="216">SUM(CS39:DD39)</f>
        <v>131.75372427472149</v>
      </c>
      <c r="DG39" s="99">
        <f>0.5*2500*AP39/Popn!$H$22</f>
        <v>62.059191569701298</v>
      </c>
      <c r="DH39" s="99">
        <f>0.5*2500*AQ39/Popn!$H$22</f>
        <v>62.059191569701298</v>
      </c>
      <c r="DI39" s="99">
        <f>0.5*2500*AR39/Popn!$H$22</f>
        <v>30.354489665035256</v>
      </c>
      <c r="DJ39" s="99">
        <f>0.5*2500*AS39/Popn!$H$22</f>
        <v>0</v>
      </c>
      <c r="DK39" s="99">
        <f>0.5*2500*AT39/Popn!$H$22</f>
        <v>0</v>
      </c>
      <c r="DL39" s="99">
        <f>0.5*2500*AU39/Popn!$H$22</f>
        <v>0</v>
      </c>
      <c r="DT39" s="100">
        <f t="shared" ref="DT39:DT49" si="217">SUM(DG39:DR39)</f>
        <v>154.47287280443786</v>
      </c>
      <c r="DU39" s="92">
        <f>0.5*2500*BP39/Popn!$H$22</f>
        <v>62.059191569701298</v>
      </c>
      <c r="DV39" s="92">
        <f>0.5*2500*BQ39/Popn!$H$22</f>
        <v>62.059191569701298</v>
      </c>
      <c r="DW39" s="92">
        <f>0.5*2500*BR39/Popn!$H$22</f>
        <v>53.073638194751688</v>
      </c>
      <c r="DX39" s="92">
        <f>0.5*2500*BS39/Popn!$H$22</f>
        <v>0</v>
      </c>
      <c r="DY39" s="92">
        <f>0.5*2500*BT39/Popn!$H$22</f>
        <v>0</v>
      </c>
      <c r="DZ39" s="92">
        <f>0.5*2500*BU39/Popn!$H$22</f>
        <v>0</v>
      </c>
      <c r="EH39" s="95">
        <f t="shared" ref="EH39:EH49" si="218">SUM(DU39:EF39)</f>
        <v>177.19202133415428</v>
      </c>
    </row>
    <row r="40" spans="2:138" ht="15.75" thickBot="1" x14ac:dyDescent="0.3">
      <c r="B40" s="123"/>
      <c r="E40" s="127"/>
      <c r="G40" s="27" t="s">
        <v>21</v>
      </c>
      <c r="H40" s="48">
        <f>'Urban Rural'!J22</f>
        <v>4731715.2634574072</v>
      </c>
      <c r="I40" s="32">
        <f>Popn!Q5</f>
        <v>11602801.340801064</v>
      </c>
      <c r="J40" s="47">
        <f>'Urban Rural'!L22</f>
        <v>0.1468108816837729</v>
      </c>
      <c r="K40" s="47">
        <f>'Urban Rural'!M22</f>
        <v>0.11418624130960116</v>
      </c>
      <c r="L40" s="45">
        <f t="shared" si="215"/>
        <v>0.20390400233857348</v>
      </c>
      <c r="M40" s="33">
        <f t="shared" si="206"/>
        <v>13832766.881824298</v>
      </c>
      <c r="N40" s="33">
        <f t="shared" si="206"/>
        <v>14993047.015904402</v>
      </c>
      <c r="O40" s="33">
        <f t="shared" si="206"/>
        <v>16153327.149984509</v>
      </c>
      <c r="P40" s="51">
        <f>MIN($M40,$P$36*AC40/AC$50)</f>
        <v>1267068.2350328863</v>
      </c>
      <c r="Q40" s="51">
        <f>MIN($M40-SUM($P40:P40),Q36*AD40/AD50)</f>
        <v>1341044.4724816533</v>
      </c>
      <c r="R40" s="51">
        <f>MIN($M40-SUM($P40:Q40),R36*AE40/AE50)</f>
        <v>1335192.3141593076</v>
      </c>
      <c r="S40" s="51">
        <f>MIN($M40-SUM($P40:R40),S36*AF40/AF50)</f>
        <v>2995273.387535288</v>
      </c>
      <c r="T40" s="51">
        <f>MIN($M40-SUM($P40:S40),T36*AG40/AG50)</f>
        <v>6894188.4726151628</v>
      </c>
      <c r="U40" s="51"/>
      <c r="V40" s="51"/>
      <c r="W40" s="51"/>
      <c r="X40" s="51"/>
      <c r="Y40" s="51"/>
      <c r="Z40" s="51"/>
      <c r="AA40" s="51"/>
      <c r="AB40" s="53">
        <f t="shared" si="207"/>
        <v>0</v>
      </c>
      <c r="AC40" s="4">
        <f t="shared" si="208"/>
        <v>4.2235607834429541E-2</v>
      </c>
      <c r="AD40" s="4">
        <f>IF(SUM($P40:P40)&lt;$M40,$H40/SUM($H$38:$H$46),0)</f>
        <v>4.2235607834429541E-2</v>
      </c>
      <c r="AE40" s="4">
        <f>IF(SUM($P40:Q40)&lt;$M40,$H40/SUM($H$38:$H$46),0)</f>
        <v>4.2235607834429541E-2</v>
      </c>
      <c r="AF40" s="4">
        <f>IF(SUM($P40:R40)&lt;$M40,$H40/SUM($H$38:$H$46),0)</f>
        <v>4.2235607834429541E-2</v>
      </c>
      <c r="AG40" s="4">
        <f>IF(SUM($P40:S40)&lt;$M40,$H40/SUM($H$38:$H$46),0)</f>
        <v>4.2235607834429541E-2</v>
      </c>
      <c r="AH40" s="4">
        <f>IF(SUM($P40:T40)&lt;$M40,$H40/SUM($H$38:$H$46),0)</f>
        <v>0</v>
      </c>
      <c r="AI40" s="4">
        <f>IF(SUM($P40:U40)&lt;$M40,$H40/SUM($H$38:$H$46),0)</f>
        <v>0</v>
      </c>
      <c r="AJ40" s="4">
        <f>IF(SUM($P40:V40)&lt;$M40,$H40/SUM($H$38:$H$46),0)</f>
        <v>0</v>
      </c>
      <c r="AK40" s="4">
        <f>IF(SUM($P40:W40)&lt;$M40,$H40/SUM($H$38:$H$46),0)</f>
        <v>0</v>
      </c>
      <c r="AL40" s="4">
        <f>IF(SUM($P40:X40)&lt;$M40,$H40/SUM($H$38:$H$46),0)</f>
        <v>0</v>
      </c>
      <c r="AM40" s="4">
        <f t="shared" si="209"/>
        <v>4.2235607834429541E-2</v>
      </c>
      <c r="AN40" s="4">
        <f t="shared" si="209"/>
        <v>4.2235607834429541E-2</v>
      </c>
      <c r="AP40" s="62">
        <f>MIN($N40,$AP$36*BC40/BC$50)</f>
        <v>1267068.2350328863</v>
      </c>
      <c r="AQ40" s="62">
        <f>MIN($N40-SUM($AP40:AP40),AQ36*BD40/BD50)</f>
        <v>1267068.2350328863</v>
      </c>
      <c r="AR40" s="62">
        <f>MIN($N40-SUM($AP40:AQ40),AR36*BE40/BE50)</f>
        <v>1389376.4783251004</v>
      </c>
      <c r="AS40" s="62">
        <f>MIN($N40-SUM($AP40:AR40),AS36*BF40/BF50)</f>
        <v>2685090.1151411631</v>
      </c>
      <c r="AT40" s="62">
        <f>MIN($N40-SUM($AP40:AS40),AT36*BG40/BG50)</f>
        <v>2680062.6275207093</v>
      </c>
      <c r="AU40" s="62">
        <f>MIN($N40-SUM($AP40:AT40),AU36*BH40/BH50)</f>
        <v>5704381.3248516563</v>
      </c>
      <c r="AV40" s="62"/>
      <c r="AW40" s="62"/>
      <c r="AX40" s="62"/>
      <c r="AY40" s="62"/>
      <c r="AZ40" s="62"/>
      <c r="BA40" s="62"/>
      <c r="BB40" s="63">
        <f t="shared" si="210"/>
        <v>0</v>
      </c>
      <c r="BC40" s="64">
        <f t="shared" si="211"/>
        <v>4.2235607834429541E-2</v>
      </c>
      <c r="BD40" s="64">
        <f>IF(SUM($AP40:AP40)&lt;$N40,$H40/SUM($H$38:$H$46),0)</f>
        <v>4.2235607834429541E-2</v>
      </c>
      <c r="BE40" s="64">
        <f>IF(SUM($AP40:AQ40)&lt;$N40,$H40/SUM($H$38:$H$46),0)</f>
        <v>4.2235607834429541E-2</v>
      </c>
      <c r="BF40" s="64">
        <f>IF(SUM($AP40:AR40)&lt;$N40,$H40/SUM($H$38:$H$46),0)</f>
        <v>4.2235607834429541E-2</v>
      </c>
      <c r="BG40" s="64">
        <f>IF(SUM($AP40:AS40)&lt;$N40,$H40/SUM($H$38:$H$46),0)</f>
        <v>4.2235607834429541E-2</v>
      </c>
      <c r="BH40" s="64">
        <f>IF(SUM($AP40:AT40)&lt;$N40,$H40/SUM($H$38:$H$46),0)</f>
        <v>4.2235607834429541E-2</v>
      </c>
      <c r="BI40" s="64">
        <f>IF(SUM($AP40:AU40)&lt;$N40,$H40/SUM($H$38:$H$46),0)</f>
        <v>0</v>
      </c>
      <c r="BJ40" s="64">
        <f>IF(SUM($AP40:AV40)&lt;$N40,$H40/SUM($H$38:$H$46),0)</f>
        <v>0</v>
      </c>
      <c r="BK40" s="64">
        <f>IF(SUM($AP40:AW40)&lt;$N40,$H40/SUM($H$38:$H$46),0)</f>
        <v>0</v>
      </c>
      <c r="BL40" s="64">
        <f>IF(SUM($AP40:AX40)&lt;$N40,$H40/SUM($H$38:$H$46),0)</f>
        <v>0</v>
      </c>
      <c r="BM40" s="64">
        <f>IF(SUM($AP40:AY40)&lt;$N40,$H40/SUM($H$38:$H$46),0)</f>
        <v>0</v>
      </c>
      <c r="BN40" s="64">
        <f>IF(SUM($AP40:AZ40)&lt;$N40,$H40/SUM($H$38:$H$46),0)</f>
        <v>0</v>
      </c>
      <c r="BP40" s="78">
        <f>MIN($O40,$BP$36*CD40/CD$50)</f>
        <v>1267068.2350328863</v>
      </c>
      <c r="BQ40" s="78">
        <f>MIN($O40-SUM($BP40:BP40),BQ36*CE40/CE50)</f>
        <v>1267068.2350328863</v>
      </c>
      <c r="BR40" s="78">
        <f>MIN($O40-SUM($BP40:BQ40),BR36*CF40/CF50)</f>
        <v>1369584.4050421261</v>
      </c>
      <c r="BS40" s="78">
        <f>MIN($O40-SUM($BP40:BR40),BS36*CG40/CG50)</f>
        <v>2374906.8427470378</v>
      </c>
      <c r="BT40" s="78">
        <f>MIN($O40-SUM($BP40:BS40),BT36*CH40/CH50)</f>
        <v>2581026.9670082051</v>
      </c>
      <c r="BU40" s="78">
        <f>MIN($O40-SUM($BP40:BT40),BU36*CI40/CI50)</f>
        <v>7293672.4651213679</v>
      </c>
      <c r="BV40" s="78"/>
      <c r="BW40" s="78"/>
      <c r="BX40" s="78"/>
      <c r="BY40" s="78"/>
      <c r="BZ40" s="78"/>
      <c r="CA40" s="78"/>
      <c r="CB40" s="78"/>
      <c r="CC40" s="79">
        <f t="shared" si="212"/>
        <v>0</v>
      </c>
      <c r="CD40" s="80">
        <f t="shared" si="213"/>
        <v>4.2235607834429541E-2</v>
      </c>
      <c r="CE40" s="80">
        <f>IF(SUM($BP40:BP40)&lt;$O40,$H40/SUM($H$38:$H$46),0)</f>
        <v>4.2235607834429541E-2</v>
      </c>
      <c r="CF40" s="80">
        <f>IF(SUM($BP40:BQ40)&lt;$O40,$H40/SUM($H$38:$H$46),0)</f>
        <v>4.2235607834429541E-2</v>
      </c>
      <c r="CG40" s="80">
        <f>IF(SUM($BP40:BR40)&lt;$O40,$H40/SUM($H$38:$H$46),0)</f>
        <v>4.2235607834429541E-2</v>
      </c>
      <c r="CH40" s="80">
        <f>IF(SUM($BP40:BS40)&lt;$O40,$H40/SUM($H$38:$H$46),0)</f>
        <v>4.2235607834429541E-2</v>
      </c>
      <c r="CI40" s="80">
        <f>IF(SUM($BP40:BT40)&lt;$O40,$H40/SUM($H$38:$H$46),0)</f>
        <v>4.2235607834429541E-2</v>
      </c>
      <c r="CJ40" s="80">
        <f>IF(SUM($BP40:BU40)&lt;$O40,$H40/SUM($H$38:$H$46),0)</f>
        <v>0</v>
      </c>
      <c r="CK40" s="80">
        <f>IF(SUM($BP40:BV40)&lt;$O40,$H40/SUM($H$38:$H$46),0)</f>
        <v>0</v>
      </c>
      <c r="CL40" s="80">
        <f>IF(SUM($BP40:BW40)&lt;$O40,$H40/SUM($H$38:$H$46),0)</f>
        <v>0</v>
      </c>
      <c r="CM40" s="80">
        <f>IF(SUM($BP40:BX40)&lt;$O40,$H40/SUM($H$38:$H$46),0)</f>
        <v>0</v>
      </c>
      <c r="CN40" s="80">
        <f t="shared" si="214"/>
        <v>4.2235607834429541E-2</v>
      </c>
      <c r="CO40" s="80">
        <f t="shared" si="214"/>
        <v>4.2235607834429541E-2</v>
      </c>
      <c r="CP40" s="91"/>
      <c r="CR40" s="27" t="s">
        <v>103</v>
      </c>
      <c r="CS40" s="105">
        <f>0.5*2500*P40/Popn!$H$22</f>
        <v>7.0687100362428517</v>
      </c>
      <c r="CT40" s="105">
        <f>0.5*2500*Q40/Popn!$H$22</f>
        <v>7.4814080722598399</v>
      </c>
      <c r="CU40" s="105">
        <f>0.5*2500*R40/Popn!$H$22</f>
        <v>7.4487600986755496</v>
      </c>
      <c r="CV40" s="105">
        <f>0.5*2500*S40/Popn!$H$22</f>
        <v>16.710006983335262</v>
      </c>
      <c r="CW40" s="105">
        <f>0.5*2500*T40/Popn!$H$22</f>
        <v>38.461242970754235</v>
      </c>
      <c r="CX40" s="105">
        <f>0.5*2500*U40/Popn!$H$22</f>
        <v>0</v>
      </c>
      <c r="DF40" s="38">
        <f t="shared" si="216"/>
        <v>77.170128161267741</v>
      </c>
      <c r="DG40" s="99">
        <f>0.5*2500*AP40/Popn!$H$22</f>
        <v>7.0687100362428517</v>
      </c>
      <c r="DH40" s="99">
        <f>0.5*2500*AQ40/Popn!$H$22</f>
        <v>7.0687100362428517</v>
      </c>
      <c r="DI40" s="99">
        <f>0.5*2500*AR40/Popn!$H$22</f>
        <v>7.7510422761103177</v>
      </c>
      <c r="DJ40" s="99">
        <f>0.5*2500*AS40/Popn!$H$22</f>
        <v>14.979559048469234</v>
      </c>
      <c r="DK40" s="99">
        <f>0.5*2500*AT40/Popn!$H$22</f>
        <v>14.951511741136281</v>
      </c>
      <c r="DL40" s="99">
        <f>0.5*2500*AU40/Popn!$H$22</f>
        <v>31.823556464177827</v>
      </c>
      <c r="DT40" s="100">
        <f t="shared" si="217"/>
        <v>83.643089602379362</v>
      </c>
      <c r="DU40" s="92">
        <f>0.5*2500*BP40/Popn!$H$22</f>
        <v>7.0687100362428517</v>
      </c>
      <c r="DV40" s="92">
        <f>0.5*2500*BQ40/Popn!$H$22</f>
        <v>7.0687100362428517</v>
      </c>
      <c r="DW40" s="92">
        <f>0.5*2500*BR40/Popn!$H$22</f>
        <v>7.6406264175280976</v>
      </c>
      <c r="DX40" s="92">
        <f>0.5*2500*BS40/Popn!$H$22</f>
        <v>13.249111113603204</v>
      </c>
      <c r="DY40" s="92">
        <f>0.5*2500*BT40/Popn!$H$22</f>
        <v>14.399012398121412</v>
      </c>
      <c r="DZ40" s="92">
        <f>0.5*2500*BU40/Popn!$H$22</f>
        <v>40.689881041752592</v>
      </c>
      <c r="EH40" s="95">
        <f t="shared" si="218"/>
        <v>90.116051043491012</v>
      </c>
    </row>
    <row r="41" spans="2:138" ht="15.75" thickBot="1" x14ac:dyDescent="0.3">
      <c r="B41" s="123"/>
      <c r="E41" s="127"/>
      <c r="G41" s="1" t="s">
        <v>9</v>
      </c>
      <c r="H41" s="33"/>
      <c r="I41" s="32">
        <f>Popn!Q6</f>
        <v>14834500.179531109</v>
      </c>
      <c r="J41" s="1"/>
      <c r="K41" s="1"/>
      <c r="L41" s="45"/>
      <c r="M41" s="49">
        <f>$I41*M$37*2</f>
        <v>17801400.21543733</v>
      </c>
      <c r="N41" s="49">
        <f>$I41*N$37*2</f>
        <v>20768300.251343552</v>
      </c>
      <c r="O41" s="49">
        <f>$I41*O$37*2</f>
        <v>23735200.287249774</v>
      </c>
      <c r="P41" s="51"/>
      <c r="Q41" s="51"/>
      <c r="R41" s="51"/>
      <c r="S41" s="51"/>
      <c r="T41" s="51"/>
      <c r="U41" s="51">
        <f>IF(SUM($P41:T41)&lt;$M41,MIN($I41/($I41+$I47)*U36,$M41-SUM($P41:T41)),0)</f>
        <v>17213299.600047257</v>
      </c>
      <c r="V41" s="51">
        <f>IF(SUM($P41:U41)&lt;$M41,MIN($I41/($I41+$I47)*V36,$M41-SUM($P41:U41)),0)</f>
        <v>588100.61539007351</v>
      </c>
      <c r="W41" s="51">
        <f>IF(SUM($P41:V41)&lt;$M41,MIN($I41/($I41+$I47)*W36,$M41-SUM($P41:V41)),0)</f>
        <v>0</v>
      </c>
      <c r="X41" s="51">
        <f>IF(SUM($P41:W41)&lt;$M41,MIN($I41/($I41+$I47)*X36,$M41-SUM($P41:W41)),0)</f>
        <v>0</v>
      </c>
      <c r="Y41" s="51"/>
      <c r="Z41" s="51"/>
      <c r="AA41" s="51"/>
      <c r="AB41" s="53">
        <f t="shared" si="207"/>
        <v>0</v>
      </c>
      <c r="AC41" s="4">
        <f t="shared" si="208"/>
        <v>0</v>
      </c>
      <c r="AD41" s="4">
        <f>IF(SUM($P41:P41)&lt;$M41,$H41/SUM($H$38:$H$46),0)</f>
        <v>0</v>
      </c>
      <c r="AE41" s="4">
        <f>IF(SUM($P41:Q41)&lt;$M41,$H41/SUM($H$38:$H$46),0)</f>
        <v>0</v>
      </c>
      <c r="AF41" s="4">
        <f>IF(SUM($P41:R41)&lt;$M41,$H41/SUM($H$38:$H$46),0)</f>
        <v>0</v>
      </c>
      <c r="AG41" s="4">
        <f>IF(SUM($P41:S41)&lt;$M41,$H41/SUM($H$38:$H$46),0)</f>
        <v>0</v>
      </c>
      <c r="AH41" s="4">
        <f>IF(SUM($P41:T41)&lt;$M41,$H41/SUM($H$38:$H$46),0)</f>
        <v>0</v>
      </c>
      <c r="AI41" s="4">
        <f>IF(SUM($P41:U41)&lt;$M41,$H41/SUM($H$38:$H$46),0)</f>
        <v>0</v>
      </c>
      <c r="AJ41" s="4">
        <f>IF(SUM($P41:V41)&lt;$M41,$H41/SUM($H$38:$H$46),0)</f>
        <v>0</v>
      </c>
      <c r="AK41" s="4">
        <f>IF(SUM($P41:W41)&lt;$M41,$H41/SUM($H$38:$H$46),0)</f>
        <v>0</v>
      </c>
      <c r="AL41" s="4">
        <f>IF(SUM($P41:X41)&lt;$M41,$H41/SUM($H$38:$H$46),0)</f>
        <v>0</v>
      </c>
      <c r="AM41" s="4">
        <f t="shared" si="209"/>
        <v>0</v>
      </c>
      <c r="AN41" s="4">
        <f t="shared" si="209"/>
        <v>0</v>
      </c>
      <c r="AP41" s="62"/>
      <c r="AQ41" s="62"/>
      <c r="AR41" s="62"/>
      <c r="AS41" s="62"/>
      <c r="AT41" s="62"/>
      <c r="AU41" s="62"/>
      <c r="AV41" s="62">
        <f>IF(SUM($AP41:AU41)&lt;$N41,MIN($I41/($I41+$I47)*AV36,$N41-SUM($AP41:AU41)),0)</f>
        <v>20768300.251343552</v>
      </c>
      <c r="AW41" s="62">
        <f>IF(SUM($AP41:AV41)&lt;$N41,MIN($I41/($I41+$I47)*AW36,$N41-SUM($AP41:AV41)),0)</f>
        <v>0</v>
      </c>
      <c r="AX41" s="62">
        <f>IF(SUM($AP41:AW41)&lt;$N41,MIN($I41/($I41+$I47)*AX36,$N41-SUM($AP41:AW41)),0)</f>
        <v>0</v>
      </c>
      <c r="AY41" s="62"/>
      <c r="AZ41" s="62"/>
      <c r="BA41" s="62"/>
      <c r="BB41" s="63">
        <f t="shared" si="210"/>
        <v>0</v>
      </c>
      <c r="BC41" s="64">
        <f t="shared" si="211"/>
        <v>0</v>
      </c>
      <c r="BD41" s="64">
        <f>IF(SUM($AP41:AP41)&lt;$N41,$H41/SUM($H$38:$H$46),0)</f>
        <v>0</v>
      </c>
      <c r="BE41" s="64">
        <f>IF(SUM($AP41:AQ41)&lt;$N41,$H41/SUM($H$38:$H$46),0)</f>
        <v>0</v>
      </c>
      <c r="BF41" s="64">
        <f>IF(SUM($AP41:AR41)&lt;$N41,$H41/SUM($H$38:$H$46),0)</f>
        <v>0</v>
      </c>
      <c r="BG41" s="64">
        <f>IF(SUM($AP41:AS41)&lt;$N41,$H41/SUM($H$38:$H$46),0)</f>
        <v>0</v>
      </c>
      <c r="BH41" s="64">
        <f>IF(SUM($AP41:AT41)&lt;$N41,$H41/SUM($H$38:$H$46),0)</f>
        <v>0</v>
      </c>
      <c r="BI41" s="64">
        <f>IF(SUM($AP41:AU41)&lt;$N41,$H41/SUM($H$38:$H$46),0)</f>
        <v>0</v>
      </c>
      <c r="BJ41" s="64">
        <f>IF(SUM($AP41:AV41)&lt;$N41,$H41/SUM($H$38:$H$46),0)</f>
        <v>0</v>
      </c>
      <c r="BK41" s="64">
        <f>IF(SUM($AP41:AW41)&lt;$N41,$H41/SUM($H$38:$H$46),0)</f>
        <v>0</v>
      </c>
      <c r="BL41" s="64">
        <f>IF(SUM($AP41:AX41)&lt;$N41,$H41/SUM($H$38:$H$46),0)</f>
        <v>0</v>
      </c>
      <c r="BM41" s="64">
        <f>IF(SUM($AP41:AY41)&lt;$N41,$H41/SUM($H$38:$H$46),0)</f>
        <v>0</v>
      </c>
      <c r="BN41" s="64">
        <f>IF(SUM($AP41:AZ41)&lt;$N41,$H41/SUM($H$38:$H$46),0)</f>
        <v>0</v>
      </c>
      <c r="BP41" s="78"/>
      <c r="BQ41" s="78"/>
      <c r="BR41" s="78"/>
      <c r="BS41" s="78"/>
      <c r="BT41" s="78"/>
      <c r="BU41" s="78">
        <f>IF(SUM($BP41:BT41)&lt;$O41,MIN($I41/($I41+$I47)*BU36,$O41-SUM($BP41:BT41)),0)</f>
        <v>15907047.973383194</v>
      </c>
      <c r="BV41" s="78">
        <f>IF(SUM($BP41:BU41)&lt;$O41,MIN($I41/($I41+$I47)*BV36,$O41-SUM($BP41:BU41)),0)</f>
        <v>1051460.7448557224</v>
      </c>
      <c r="BW41" s="78">
        <f>IF(SUM($BP41:BV41)&lt;$O41,MIN($I41/($I41+$I47)*BW36,$O41-SUM($BP41:BV41)),0)</f>
        <v>6776691.5690108575</v>
      </c>
      <c r="BX41" s="78">
        <f>IF(SUM($BP41:BW41)&lt;$O41,MIN($I41/($I41+$I47)*BX36,$O41-SUM($BP41:BW41)),0)</f>
        <v>0</v>
      </c>
      <c r="BY41" s="78"/>
      <c r="BZ41" s="78"/>
      <c r="CA41" s="78"/>
      <c r="CB41" s="78"/>
      <c r="CC41" s="79">
        <f t="shared" si="212"/>
        <v>0</v>
      </c>
      <c r="CD41" s="80">
        <f t="shared" si="213"/>
        <v>0</v>
      </c>
      <c r="CE41" s="80">
        <f>IF(SUM($BP41:BP41)&lt;$O41,$H41/SUM($H$38:$H$46),0)</f>
        <v>0</v>
      </c>
      <c r="CF41" s="80">
        <f>IF(SUM($BP41:BQ41)&lt;$O41,$H41/SUM($H$38:$H$46),0)</f>
        <v>0</v>
      </c>
      <c r="CG41" s="80">
        <f>IF(SUM($BP41:BR41)&lt;$O41,$H41/SUM($H$38:$H$46),0)</f>
        <v>0</v>
      </c>
      <c r="CH41" s="80">
        <f>IF(SUM($BP41:BS41)&lt;$O41,$H41/SUM($H$38:$H$46),0)</f>
        <v>0</v>
      </c>
      <c r="CI41" s="80">
        <f>IF(SUM($BP41:BT41)&lt;$O41,$H41/SUM($H$38:$H$46),0)</f>
        <v>0</v>
      </c>
      <c r="CJ41" s="80">
        <f>IF(SUM($BP41:BU41)&lt;$O41,$H41/SUM($H$38:$H$46),0)</f>
        <v>0</v>
      </c>
      <c r="CK41" s="80">
        <f>IF(SUM($BP41:BV41)&lt;$O41,$H41/SUM($H$38:$H$46),0)</f>
        <v>0</v>
      </c>
      <c r="CL41" s="80">
        <f>IF(SUM($BP41:BW41)&lt;$O41,$H41/SUM($H$38:$H$46),0)</f>
        <v>0</v>
      </c>
      <c r="CM41" s="80">
        <f>IF(SUM($BP41:BX41)&lt;$O41,$H41/SUM($H$38:$H$46),0)</f>
        <v>0</v>
      </c>
      <c r="CN41" s="80">
        <f t="shared" si="214"/>
        <v>0</v>
      </c>
      <c r="CO41" s="80">
        <f t="shared" si="214"/>
        <v>0</v>
      </c>
      <c r="CP41" s="91"/>
      <c r="CR41" s="1" t="s">
        <v>104</v>
      </c>
      <c r="CS41" s="106"/>
      <c r="CT41" s="106"/>
      <c r="CU41" s="106"/>
      <c r="CV41" s="106"/>
      <c r="CW41" s="106"/>
      <c r="CX41" s="106"/>
      <c r="DF41" s="38">
        <f t="shared" si="216"/>
        <v>0</v>
      </c>
      <c r="DG41" s="116">
        <f>0.5*2500*AP41/Popn!$H$22</f>
        <v>0</v>
      </c>
      <c r="DH41" s="116">
        <f>0.5*2500*AQ41/Popn!$H$22</f>
        <v>0</v>
      </c>
      <c r="DI41" s="116">
        <f>0.5*2500*AR41/Popn!$H$22</f>
        <v>0</v>
      </c>
      <c r="DJ41" s="116">
        <f>0.5*2500*AS41/Popn!$H$22</f>
        <v>0</v>
      </c>
      <c r="DK41" s="116">
        <f>0.5*2500*AT41/Popn!$H$22</f>
        <v>0</v>
      </c>
      <c r="DL41" s="116">
        <f>0.5*2500*AU41/Popn!$H$22</f>
        <v>0</v>
      </c>
      <c r="DT41" s="100">
        <f t="shared" si="217"/>
        <v>0</v>
      </c>
      <c r="DU41" s="118"/>
      <c r="DV41" s="118"/>
      <c r="DW41" s="118"/>
      <c r="DX41" s="118"/>
      <c r="DY41" s="118"/>
      <c r="DZ41" s="118"/>
      <c r="EH41" s="95">
        <f t="shared" si="218"/>
        <v>0</v>
      </c>
    </row>
    <row r="42" spans="2:138" ht="15.75" thickBot="1" x14ac:dyDescent="0.3">
      <c r="B42" s="123"/>
      <c r="E42" s="127"/>
      <c r="G42" s="1" t="s">
        <v>24</v>
      </c>
      <c r="H42" s="49"/>
      <c r="I42" s="34">
        <f>I38</f>
        <v>4447016.3001431488</v>
      </c>
      <c r="J42" s="1"/>
      <c r="K42" s="1"/>
      <c r="L42" s="45"/>
      <c r="M42" s="49">
        <f>$I42*M$5*$M$2</f>
        <v>2846090.4320916156</v>
      </c>
      <c r="N42" s="49">
        <f>$I42*N$5*$M$2</f>
        <v>3023971.0840973412</v>
      </c>
      <c r="O42" s="49">
        <f>$I42*O$5*$M$2</f>
        <v>3201851.7361030672</v>
      </c>
      <c r="P42" s="51"/>
      <c r="Q42" s="51"/>
      <c r="R42" s="51"/>
      <c r="S42" s="51"/>
      <c r="T42" s="51"/>
      <c r="U42" s="51"/>
      <c r="V42" s="51">
        <f>IF(SUM($P42:U42)&lt;$M42,MIN($I42/($I40+$I47)*V36,$M42-SUM($P42:U42)),0)</f>
        <v>2846090.4320916156</v>
      </c>
      <c r="W42" s="51">
        <f>IF(SUM($P42:V42)&lt;$M42,MIN($I42/($I40+$I47)*W36,$M42-SUM($P42:V42)),0)</f>
        <v>0</v>
      </c>
      <c r="X42" s="51">
        <f>IF(SUM($P42:W42)&lt;$M42,MIN($I42/($I40+$I47)*X36,$M42-SUM($P42:W42)),0)</f>
        <v>0</v>
      </c>
      <c r="Y42" s="51"/>
      <c r="Z42" s="51"/>
      <c r="AA42" s="51"/>
      <c r="AB42" s="53">
        <f t="shared" si="207"/>
        <v>0</v>
      </c>
      <c r="AC42" s="4">
        <f t="shared" si="208"/>
        <v>0</v>
      </c>
      <c r="AD42" s="4">
        <f>IF(SUM($P42:P42)&lt;$M42,$H42/SUM($H$38:$H$46),0)</f>
        <v>0</v>
      </c>
      <c r="AE42" s="4">
        <f>IF(SUM($P42:Q42)&lt;$M42,$H42/SUM($H$38:$H$46),0)</f>
        <v>0</v>
      </c>
      <c r="AF42" s="4">
        <f>IF(SUM($P42:R42)&lt;$M42,$H42/SUM($H$38:$H$46),0)</f>
        <v>0</v>
      </c>
      <c r="AG42" s="4">
        <f>IF(SUM($P42:S42)&lt;$M42,$H42/SUM($H$38:$H$46),0)</f>
        <v>0</v>
      </c>
      <c r="AH42" s="4">
        <f>IF(SUM($P42:T42)&lt;$M42,$H42/SUM($H$38:$H$46),0)</f>
        <v>0</v>
      </c>
      <c r="AI42" s="4">
        <f>IF(SUM($P42:U42)&lt;$M42,$H42/SUM($H$38:$H$46),0)</f>
        <v>0</v>
      </c>
      <c r="AJ42" s="4">
        <f>IF(SUM($P42:V42)&lt;$M42,$H42/SUM($H$38:$H$46),0)</f>
        <v>0</v>
      </c>
      <c r="AK42" s="4">
        <f>IF(SUM($P42:W42)&lt;$M42,$H42/SUM($H$38:$H$46),0)</f>
        <v>0</v>
      </c>
      <c r="AL42" s="4">
        <f>IF(SUM($P42:X42)&lt;$M42,$H42/SUM($H$38:$H$46),0)</f>
        <v>0</v>
      </c>
      <c r="AM42" s="4">
        <f t="shared" si="209"/>
        <v>0</v>
      </c>
      <c r="AN42" s="4">
        <f t="shared" si="209"/>
        <v>0</v>
      </c>
      <c r="AP42" s="62"/>
      <c r="AQ42" s="62"/>
      <c r="AR42" s="62"/>
      <c r="AS42" s="62"/>
      <c r="AT42" s="62"/>
      <c r="AU42" s="62"/>
      <c r="AV42" s="62"/>
      <c r="AW42" s="62">
        <f>IF(SUM($AP42:AV42)&lt;$N42,MIN($I42/($I40+$I47)*AW36,$N42-SUM($AP42:AV42)),0)</f>
        <v>3023971.0840973412</v>
      </c>
      <c r="AX42" s="62">
        <f>IF(SUM($AP42:AW42)&lt;$N42,MIN($I42/($I40+$I47)*AX36,$N42-SUM($AP42:AW42)),0)</f>
        <v>0</v>
      </c>
      <c r="AY42" s="62"/>
      <c r="AZ42" s="62"/>
      <c r="BA42" s="62"/>
      <c r="BB42" s="63">
        <f t="shared" si="210"/>
        <v>0</v>
      </c>
      <c r="BC42" s="64">
        <f t="shared" si="211"/>
        <v>0</v>
      </c>
      <c r="BD42" s="64">
        <f>IF(SUM($AP42:AP42)&lt;$N42,$H42/SUM($H$38:$H$46),0)</f>
        <v>0</v>
      </c>
      <c r="BE42" s="64">
        <f>IF(SUM($AP42:AQ42)&lt;$N42,$H42/SUM($H$38:$H$46),0)</f>
        <v>0</v>
      </c>
      <c r="BF42" s="64">
        <f>IF(SUM($AP42:AR42)&lt;$N42,$H42/SUM($H$38:$H$46),0)</f>
        <v>0</v>
      </c>
      <c r="BG42" s="64">
        <f>IF(SUM($AP42:AS42)&lt;$N42,$H42/SUM($H$38:$H$46),0)</f>
        <v>0</v>
      </c>
      <c r="BH42" s="64">
        <f>IF(SUM($AP42:AT42)&lt;$N42,$H42/SUM($H$38:$H$46),0)</f>
        <v>0</v>
      </c>
      <c r="BI42" s="64">
        <f>IF(SUM($AP42:AU42)&lt;$N42,$H42/SUM($H$38:$H$46),0)</f>
        <v>0</v>
      </c>
      <c r="BJ42" s="64">
        <f>IF(SUM($AP42:AV42)&lt;$N42,$H42/SUM($H$38:$H$46),0)</f>
        <v>0</v>
      </c>
      <c r="BK42" s="64">
        <f>IF(SUM($AP42:AW42)&lt;$N42,$H42/SUM($H$38:$H$46),0)</f>
        <v>0</v>
      </c>
      <c r="BL42" s="64">
        <f>IF(SUM($AP42:AX42)&lt;$N42,$H42/SUM($H$38:$H$46),0)</f>
        <v>0</v>
      </c>
      <c r="BM42" s="64">
        <f>IF(SUM($AP42:AY42)&lt;$N42,$H42/SUM($H$38:$H$46),0)</f>
        <v>0</v>
      </c>
      <c r="BN42" s="64">
        <f>IF(SUM($AP42:AZ42)&lt;$N42,$H42/SUM($H$38:$H$46),0)</f>
        <v>0</v>
      </c>
      <c r="BP42" s="78"/>
      <c r="BQ42" s="78"/>
      <c r="BR42" s="78"/>
      <c r="BS42" s="78"/>
      <c r="BT42" s="78"/>
      <c r="BU42" s="78"/>
      <c r="BV42" s="78">
        <f>IF(SUM($BP42:BU42)&lt;$O42,MIN($I42/($I40+$I47)*BV36,$O42-SUM($BP42:BU42)),0)</f>
        <v>342836.0856324936</v>
      </c>
      <c r="BW42" s="78">
        <f>IF(SUM($BP42:BV42)&lt;$O42,MIN($I42/($I40+$I47)*BW36,$O42-SUM($BP42:BV42)),0)</f>
        <v>2859015.6504705735</v>
      </c>
      <c r="BX42" s="78">
        <f>IF(SUM($BP42:BW42)&lt;$O42,MIN($I42/($I40+$I47)*BX36,$O42-SUM($BP42:BW42)),0)</f>
        <v>0</v>
      </c>
      <c r="BY42" s="78"/>
      <c r="BZ42" s="78"/>
      <c r="CA42" s="78"/>
      <c r="CB42" s="78"/>
      <c r="CC42" s="79">
        <f>SUM(BP42:CB42)-O42</f>
        <v>0</v>
      </c>
      <c r="CD42" s="80">
        <f t="shared" si="213"/>
        <v>0</v>
      </c>
      <c r="CE42" s="80">
        <f>IF(SUM($BP42:BP42)&lt;$O42,$H42/SUM($H$38:$H$46),0)</f>
        <v>0</v>
      </c>
      <c r="CF42" s="80">
        <f>IF(SUM($BP42:BQ42)&lt;$O42,$H42/SUM($H$38:$H$46),0)</f>
        <v>0</v>
      </c>
      <c r="CG42" s="80">
        <f>IF(SUM($BP42:BR42)&lt;$O42,$H42/SUM($H$38:$H$46),0)</f>
        <v>0</v>
      </c>
      <c r="CH42" s="80">
        <f>IF(SUM($BP42:BS42)&lt;$O42,$H42/SUM($H$38:$H$46),0)</f>
        <v>0</v>
      </c>
      <c r="CI42" s="80">
        <f>IF(SUM($BP42:BT42)&lt;$O42,$H42/SUM($H$38:$H$46),0)</f>
        <v>0</v>
      </c>
      <c r="CJ42" s="80">
        <f>IF(SUM($BP42:BU42)&lt;$O42,$H42/SUM($H$38:$H$46),0)</f>
        <v>0</v>
      </c>
      <c r="CK42" s="80">
        <f>IF(SUM($BP42:BV42)&lt;$O42,$H42/SUM($H$38:$H$46),0)</f>
        <v>0</v>
      </c>
      <c r="CL42" s="80">
        <f>IF(SUM($BP42:BW42)&lt;$O42,$H42/SUM($H$38:$H$46),0)</f>
        <v>0</v>
      </c>
      <c r="CM42" s="80">
        <f>IF(SUM($BP42:BX42)&lt;$O42,$H42/SUM($H$38:$H$46),0)</f>
        <v>0</v>
      </c>
      <c r="CN42" s="80">
        <f t="shared" si="214"/>
        <v>0</v>
      </c>
      <c r="CO42" s="80">
        <f t="shared" si="214"/>
        <v>0</v>
      </c>
      <c r="CP42" s="91"/>
      <c r="CR42" s="1" t="s">
        <v>105</v>
      </c>
      <c r="CS42" s="106"/>
      <c r="CT42" s="106"/>
      <c r="CU42" s="106"/>
      <c r="CV42" s="106"/>
      <c r="CW42" s="106"/>
      <c r="CX42" s="106"/>
      <c r="DF42" s="38">
        <f t="shared" si="216"/>
        <v>0</v>
      </c>
      <c r="DG42" s="116">
        <f>2500*AP42/Popn!$H$22</f>
        <v>0</v>
      </c>
      <c r="DH42" s="116">
        <f>2500*AQ42/Popn!$H$22</f>
        <v>0</v>
      </c>
      <c r="DI42" s="116">
        <f>2500*AR42/Popn!$H$22</f>
        <v>0</v>
      </c>
      <c r="DJ42" s="116">
        <f>2500*AS42/Popn!$H$22</f>
        <v>0</v>
      </c>
      <c r="DK42" s="116">
        <f>2500*AT42/Popn!$H$22</f>
        <v>0</v>
      </c>
      <c r="DL42" s="116">
        <f>2500*AU42/Popn!$H$22</f>
        <v>0</v>
      </c>
      <c r="DT42" s="100">
        <f t="shared" si="217"/>
        <v>0</v>
      </c>
      <c r="DU42" s="118"/>
      <c r="DV42" s="118"/>
      <c r="DW42" s="118"/>
      <c r="DX42" s="118"/>
      <c r="DY42" s="118"/>
      <c r="DZ42" s="118"/>
      <c r="EH42" s="95">
        <f t="shared" si="218"/>
        <v>0</v>
      </c>
    </row>
    <row r="43" spans="2:138" ht="15.75" thickBot="1" x14ac:dyDescent="0.3">
      <c r="B43" s="123"/>
      <c r="E43" s="127"/>
      <c r="G43" t="s">
        <v>55</v>
      </c>
      <c r="H43" s="33"/>
      <c r="I43" s="32">
        <f>I39</f>
        <v>40724136.768097505</v>
      </c>
      <c r="L43" s="45"/>
      <c r="M43" s="33">
        <f>$I39*M$4*$M$2</f>
        <v>18993833.698927861</v>
      </c>
      <c r="N43" s="33">
        <f>$I39*N$4*$M$2</f>
        <v>22390202.627815396</v>
      </c>
      <c r="O43" s="33">
        <f>$I39*O$4*$M$2</f>
        <v>25786571.556702938</v>
      </c>
      <c r="P43" s="51"/>
      <c r="Q43" s="51"/>
      <c r="R43" s="51"/>
      <c r="S43" s="51"/>
      <c r="T43" s="51"/>
      <c r="U43" s="51"/>
      <c r="V43" s="51"/>
      <c r="W43" s="51">
        <f>IF(SUM($P43:V43)&lt;$M43,MIN($I43/($I43+$I49)*W36,$M43-SUM($P43:V43)),0)</f>
        <v>18765808.952518307</v>
      </c>
      <c r="X43" s="51">
        <f>IF(SUM($P43:W43)&lt;$M43,MIN($I43/($I43+$I49)*X36,$M43-SUM($P43:W43)),0)</f>
        <v>228024.74640955403</v>
      </c>
      <c r="Y43" s="51"/>
      <c r="Z43" s="51"/>
      <c r="AA43" s="51"/>
      <c r="AB43" s="53">
        <f t="shared" si="207"/>
        <v>0</v>
      </c>
      <c r="AC43" s="4">
        <f t="shared" si="208"/>
        <v>0</v>
      </c>
      <c r="AD43" s="4">
        <f>IF(SUM($P43:P43)&lt;$M43,$H43/SUM($H$38:$H$46),0)</f>
        <v>0</v>
      </c>
      <c r="AE43" s="4">
        <f>IF(SUM($P43:Q43)&lt;$M43,$H43/SUM($H$38:$H$46),0)</f>
        <v>0</v>
      </c>
      <c r="AF43" s="4">
        <f>IF(SUM($P43:R43)&lt;$M43,$H43/SUM($H$38:$H$46),0)</f>
        <v>0</v>
      </c>
      <c r="AG43" s="4">
        <f>IF(SUM($P43:S43)&lt;$M43,$H43/SUM($H$38:$H$46),0)</f>
        <v>0</v>
      </c>
      <c r="AH43" s="4">
        <f>IF(SUM($P43:T43)&lt;$M43,$H43/SUM($H$38:$H$46),0)</f>
        <v>0</v>
      </c>
      <c r="AI43" s="4">
        <f>IF(SUM($P43:U43)&lt;$M43,$H43/SUM($H$38:$H$46),0)</f>
        <v>0</v>
      </c>
      <c r="AJ43" s="4">
        <f>IF(SUM($P43:V43)&lt;$M43,$H43/SUM($H$38:$H$46),0)</f>
        <v>0</v>
      </c>
      <c r="AK43" s="4">
        <f>IF(SUM($P43:W43)&lt;$M43,$H43/SUM($H$38:$H$46),0)</f>
        <v>0</v>
      </c>
      <c r="AL43" s="4">
        <f>IF(SUM($P43:X43)&lt;$M43,$H43/SUM($H$38:$H$46),0)</f>
        <v>0</v>
      </c>
      <c r="AM43" s="4">
        <f t="shared" si="209"/>
        <v>0</v>
      </c>
      <c r="AN43" s="4">
        <f t="shared" si="209"/>
        <v>0</v>
      </c>
      <c r="AP43" s="62"/>
      <c r="AQ43" s="62"/>
      <c r="AR43" s="62"/>
      <c r="AS43" s="62"/>
      <c r="AT43" s="62"/>
      <c r="AU43" s="62"/>
      <c r="AV43" s="62"/>
      <c r="AW43" s="62">
        <f>IF(SUM($AP43:AV43)&lt;$N43,MIN($I43/($I43+$I49)*AW36,$N43-SUM($AP43:AV43)),0)</f>
        <v>12967603.907799542</v>
      </c>
      <c r="AX43" s="62">
        <f>IF(SUM($AP43:AW43)&lt;$N43,MIN($I43/($I43+$I49)*AX36,$N43-SUM($AP43:AW43)),0)</f>
        <v>8076028.9159026574</v>
      </c>
      <c r="AY43" s="62">
        <f>IF(SUM($AP43:AX43)&lt;$N43,MIN($I43/($I43+$I49)*AY36,$N43-SUM($AP43:AX43)),0)</f>
        <v>1346569.8041131943</v>
      </c>
      <c r="AZ43" s="62"/>
      <c r="BA43" s="62"/>
      <c r="BB43" s="63">
        <f t="shared" si="210"/>
        <v>0</v>
      </c>
      <c r="BC43" s="64">
        <f t="shared" si="211"/>
        <v>0</v>
      </c>
      <c r="BD43" s="64">
        <f>IF(SUM($AP43:AP43)&lt;$N43,$H43/SUM($H$38:$H$46),0)</f>
        <v>0</v>
      </c>
      <c r="BE43" s="64">
        <f>IF(SUM($AP43:AQ43)&lt;$N43,$H43/SUM($H$38:$H$46),0)</f>
        <v>0</v>
      </c>
      <c r="BF43" s="64">
        <f>IF(SUM($AP43:AR43)&lt;$N43,$H43/SUM($H$38:$H$46),0)</f>
        <v>0</v>
      </c>
      <c r="BG43" s="64">
        <f>IF(SUM($AP43:AS43)&lt;$N43,$H43/SUM($H$38:$H$46),0)</f>
        <v>0</v>
      </c>
      <c r="BH43" s="64">
        <f>IF(SUM($AP43:AT43)&lt;$N43,$H43/SUM($H$38:$H$46),0)</f>
        <v>0</v>
      </c>
      <c r="BI43" s="64">
        <f>IF(SUM($AP43:AU43)&lt;$N43,$H43/SUM($H$38:$H$46),0)</f>
        <v>0</v>
      </c>
      <c r="BJ43" s="64">
        <f>IF(SUM($AP43:AV43)&lt;$N43,$H43/SUM($H$38:$H$46),0)</f>
        <v>0</v>
      </c>
      <c r="BK43" s="64">
        <f>IF(SUM($AP43:AW43)&lt;$N43,$H43/SUM($H$38:$H$46),0)</f>
        <v>0</v>
      </c>
      <c r="BL43" s="64">
        <f>IF(SUM($AP43:AX43)&lt;$N43,$H43/SUM($H$38:$H$46),0)</f>
        <v>0</v>
      </c>
      <c r="BM43" s="64">
        <f>IF(SUM($AP43:AY43)&lt;$N43,$H43/SUM($H$38:$H$46),0)</f>
        <v>0</v>
      </c>
      <c r="BN43" s="64">
        <f>IF(SUM($AP43:AZ43)&lt;$N43,$H43/SUM($H$38:$H$46),0)</f>
        <v>0</v>
      </c>
      <c r="BP43" s="78"/>
      <c r="BQ43" s="78"/>
      <c r="BR43" s="78"/>
      <c r="BS43" s="78"/>
      <c r="BT43" s="78"/>
      <c r="BU43" s="78"/>
      <c r="BV43" s="78"/>
      <c r="BW43" s="78">
        <f>IF(SUM($BP43:BV43)&lt;$O43,MIN($I43/($I43+$I49)*BW36,$O43-SUM($BP43:BV43)),0)</f>
        <v>10757163.914367504</v>
      </c>
      <c r="BX43" s="78">
        <f>IF(SUM($BP43:BW43)&lt;$O43,MIN($I43/($I43+$I49)*BX36,$O43-SUM($BP43:BW43)),0)</f>
        <v>1464292.7805185686</v>
      </c>
      <c r="BY43" s="78">
        <f>IF(SUM($BP43:BX43)&lt;$O43,MIN($I43/($I43+$I49)*BY36,$O43-SUM($BP43:BX43)),0)</f>
        <v>11099999.999999998</v>
      </c>
      <c r="BZ43" s="78">
        <f>IF(SUM($BP43:BY43)&lt;$O43,MIN($I43/($I43+$I49)*BZ36,$O43-SUM($BP43:BY43)),0)</f>
        <v>2465114.8618168645</v>
      </c>
      <c r="CA43" s="78"/>
      <c r="CB43" s="78"/>
      <c r="CC43" s="79">
        <f t="shared" si="212"/>
        <v>0</v>
      </c>
      <c r="CD43" s="80">
        <f t="shared" si="213"/>
        <v>0</v>
      </c>
      <c r="CE43" s="80">
        <f>IF(SUM($BP43:BP43)&lt;$O43,$H43/SUM($H$38:$H$46),0)</f>
        <v>0</v>
      </c>
      <c r="CF43" s="80">
        <f>IF(SUM($BP43:BQ43)&lt;$O43,$H43/SUM($H$38:$H$46),0)</f>
        <v>0</v>
      </c>
      <c r="CG43" s="80">
        <f>IF(SUM($BP43:BR43)&lt;$O43,$H43/SUM($H$38:$H$46),0)</f>
        <v>0</v>
      </c>
      <c r="CH43" s="80">
        <f>IF(SUM($BP43:BS43)&lt;$O43,$H43/SUM($H$38:$H$46),0)</f>
        <v>0</v>
      </c>
      <c r="CI43" s="80">
        <f>IF(SUM($BP43:BT43)&lt;$O43,$H43/SUM($H$38:$H$46),0)</f>
        <v>0</v>
      </c>
      <c r="CJ43" s="80">
        <f>IF(SUM($BP43:BU43)&lt;$O43,$H43/SUM($H$38:$H$46),0)</f>
        <v>0</v>
      </c>
      <c r="CK43" s="80">
        <f>IF(SUM($BP43:BV43)&lt;$O43,$H43/SUM($H$38:$H$46),0)</f>
        <v>0</v>
      </c>
      <c r="CL43" s="80">
        <f>IF(SUM($BP43:BW43)&lt;$O43,$H43/SUM($H$38:$H$46),0)</f>
        <v>0</v>
      </c>
      <c r="CM43" s="80">
        <f>IF(SUM($BP43:BX43)&lt;$O43,$H43/SUM($H$38:$H$46),0)</f>
        <v>0</v>
      </c>
      <c r="CN43" s="80">
        <f t="shared" si="214"/>
        <v>0</v>
      </c>
      <c r="CO43" s="80">
        <f t="shared" si="214"/>
        <v>0</v>
      </c>
      <c r="CP43" s="91"/>
      <c r="CR43" t="s">
        <v>106</v>
      </c>
      <c r="CS43" s="106"/>
      <c r="CT43" s="106"/>
      <c r="CU43" s="106"/>
      <c r="CV43" s="106"/>
      <c r="CW43" s="106"/>
      <c r="CX43" s="106"/>
      <c r="DF43" s="38">
        <f t="shared" si="216"/>
        <v>0</v>
      </c>
      <c r="DG43" s="116">
        <f>2500*AP43/Popn!$H$22</f>
        <v>0</v>
      </c>
      <c r="DH43" s="116">
        <f>2500*AQ43/Popn!$H$22</f>
        <v>0</v>
      </c>
      <c r="DI43" s="116">
        <f>2500*AR43/Popn!$H$22</f>
        <v>0</v>
      </c>
      <c r="DJ43" s="116">
        <f>2500*AS43/Popn!$H$22</f>
        <v>0</v>
      </c>
      <c r="DK43" s="116"/>
      <c r="DL43" s="116">
        <f>2500*AU43/Popn!$H$22</f>
        <v>0</v>
      </c>
      <c r="DT43" s="100">
        <f t="shared" si="217"/>
        <v>0</v>
      </c>
      <c r="DU43" s="118"/>
      <c r="DV43" s="118"/>
      <c r="DW43" s="118"/>
      <c r="DX43" s="118"/>
      <c r="DY43" s="118"/>
      <c r="DZ43" s="118"/>
      <c r="EH43" s="95">
        <f t="shared" si="218"/>
        <v>0</v>
      </c>
    </row>
    <row r="44" spans="2:138" ht="15.75" thickBot="1" x14ac:dyDescent="0.3">
      <c r="B44" s="123"/>
      <c r="E44" s="127"/>
      <c r="F44" t="s">
        <v>6</v>
      </c>
      <c r="G44" t="s">
        <v>22</v>
      </c>
      <c r="H44" s="48">
        <f>'Urban Rural'!J26</f>
        <v>6601393.3762986325</v>
      </c>
      <c r="I44" s="32">
        <f>Popn!P3</f>
        <v>7571946.6732167117</v>
      </c>
      <c r="J44" s="47">
        <f>'Urban Rural'!L26</f>
        <v>0.3138560951404486</v>
      </c>
      <c r="K44" s="47">
        <f>'Urban Rural'!M26</f>
        <v>0.24411029622034894</v>
      </c>
      <c r="L44" s="45">
        <f>J44+K44/2</f>
        <v>0.43591124325062308</v>
      </c>
      <c r="M44" s="33">
        <f t="shared" ref="M44:O46" si="219">(M$5*2-$J44*2-$K44)*$I44</f>
        <v>5513721.3008481069</v>
      </c>
      <c r="N44" s="33">
        <f t="shared" si="219"/>
        <v>6270915.9681697767</v>
      </c>
      <c r="O44" s="33">
        <f t="shared" si="219"/>
        <v>7028110.6354914485</v>
      </c>
      <c r="P44" s="51">
        <f>MIN($M44,P36*AC44/AC50)</f>
        <v>1767734.4025034837</v>
      </c>
      <c r="Q44" s="51">
        <f>MIN($M44-SUM($P44:P44),Q36*AD44/AD50)</f>
        <v>1870941.4250538973</v>
      </c>
      <c r="R44" s="51">
        <f>MIN($M44-SUM($P44:Q44),R36*AE44/AE50)</f>
        <v>1862776.8595559399</v>
      </c>
      <c r="S44" s="51">
        <f>MIN($M44-SUM($P44:R44),S36*AF44/AF50)</f>
        <v>12268.613734785467</v>
      </c>
      <c r="T44" s="51">
        <f>MIN($M44-SUM($P44:S44),T36*AG44/AG50)</f>
        <v>0</v>
      </c>
      <c r="U44" s="51"/>
      <c r="V44" s="51"/>
      <c r="W44" s="51"/>
      <c r="X44" s="51"/>
      <c r="Y44" s="51"/>
      <c r="Z44" s="51"/>
      <c r="AA44" s="51"/>
      <c r="AB44" s="53">
        <f t="shared" si="207"/>
        <v>0</v>
      </c>
      <c r="AC44" s="4">
        <f t="shared" si="208"/>
        <v>5.8924480083449457E-2</v>
      </c>
      <c r="AD44" s="4">
        <f>IF(SUM($P44:P44)&lt;$M44,$H44/SUM($H$38:$H$46),0)</f>
        <v>5.8924480083449457E-2</v>
      </c>
      <c r="AE44" s="4">
        <f>IF(SUM($P44:Q44)&lt;$M44,$H44/SUM($H$38:$H$46),0)</f>
        <v>5.8924480083449457E-2</v>
      </c>
      <c r="AF44" s="4">
        <f>IF(SUM($P44:R44)&lt;$M44,$H44/SUM($H$38:$H$46),0)</f>
        <v>5.8924480083449457E-2</v>
      </c>
      <c r="AG44" s="4">
        <f>IF(SUM($P44:S44)&lt;$M44,$H44/SUM($H$38:$H$46),0)</f>
        <v>0</v>
      </c>
      <c r="AH44" s="4">
        <f>IF(SUM($P44:T44)&lt;$M44,$H44/SUM($H$38:$H$46),0)</f>
        <v>0</v>
      </c>
      <c r="AI44" s="4">
        <f>IF(SUM($P44:U44)&lt;$M44,$H44/SUM($H$38:$H$46),0)</f>
        <v>0</v>
      </c>
      <c r="AJ44" s="4">
        <f>IF(SUM($P44:V44)&lt;$M44,$H44/SUM($H$38:$H$46),0)</f>
        <v>0</v>
      </c>
      <c r="AK44" s="4">
        <f>IF(SUM($P44:W44)&lt;$M44,$H44/SUM($H$38:$H$46),0)</f>
        <v>0</v>
      </c>
      <c r="AL44" s="4">
        <f>IF(SUM($P44:X44)&lt;$M44,$H44/SUM($H$38:$H$46),0)</f>
        <v>0</v>
      </c>
      <c r="AM44" s="4">
        <f t="shared" si="209"/>
        <v>5.8924480083449457E-2</v>
      </c>
      <c r="AN44" s="4">
        <f t="shared" si="209"/>
        <v>5.8924480083449457E-2</v>
      </c>
      <c r="AP44" s="62">
        <f>MIN($N44,AP36*BC44/BC50)</f>
        <v>1767734.4025034837</v>
      </c>
      <c r="AQ44" s="62">
        <f>MIN($N44-SUM($AP44:AP44),AQ36*BD44/BD50)</f>
        <v>1767734.4025034837</v>
      </c>
      <c r="AR44" s="62">
        <f>MIN($N44-SUM($AP44:AQ44),AR36*BE44/BE50)</f>
        <v>1938371.2185797712</v>
      </c>
      <c r="AS44" s="62">
        <f>MIN($N44-SUM($AP44:AR44),AS36*BF44/BF50)</f>
        <v>797075.94458303787</v>
      </c>
      <c r="AT44" s="62">
        <f>MIN($N44-SUM($AP44:AS44),AT36*BG44/BG50)</f>
        <v>0</v>
      </c>
      <c r="AU44" s="62"/>
      <c r="AV44" s="62"/>
      <c r="AW44" s="62"/>
      <c r="AX44" s="62"/>
      <c r="AY44" s="62"/>
      <c r="AZ44" s="62"/>
      <c r="BA44" s="62"/>
      <c r="BB44" s="63">
        <f t="shared" si="210"/>
        <v>0</v>
      </c>
      <c r="BC44" s="64">
        <f t="shared" si="211"/>
        <v>5.8924480083449457E-2</v>
      </c>
      <c r="BD44" s="64">
        <f>IF(SUM($AP44:AP44)&lt;$N44,$H44/SUM($H$38:$H$46),0)</f>
        <v>5.8924480083449457E-2</v>
      </c>
      <c r="BE44" s="64">
        <f>IF(SUM($AP44:AQ44)&lt;$N44,$H44/SUM($H$38:$H$46),0)</f>
        <v>5.8924480083449457E-2</v>
      </c>
      <c r="BF44" s="64">
        <f>IF(SUM($AP44:AR44)&lt;$N44,$H44/SUM($H$38:$H$46),0)</f>
        <v>5.8924480083449457E-2</v>
      </c>
      <c r="BG44" s="64">
        <f>IF(SUM($AP44:AS44)&lt;$N44,$H44/SUM($H$38:$H$46),0)</f>
        <v>0</v>
      </c>
      <c r="BH44" s="64">
        <f>IF(SUM($AP44:AT44)&lt;$N44,$H44/SUM($H$38:$H$46),0)</f>
        <v>0</v>
      </c>
      <c r="BI44" s="64">
        <f>IF(SUM($AP44:AU44)&lt;$N44,$H44/SUM($H$38:$H$46),0)</f>
        <v>0</v>
      </c>
      <c r="BJ44" s="64">
        <f>IF(SUM($AP44:AV44)&lt;$N44,$H44/SUM($H$38:$H$46),0)</f>
        <v>0</v>
      </c>
      <c r="BK44" s="64">
        <f>IF(SUM($AP44:AW44)&lt;$N44,$H44/SUM($H$38:$H$46),0)</f>
        <v>0</v>
      </c>
      <c r="BL44" s="64">
        <f>IF(SUM($AP44:AX44)&lt;$N44,$H44/SUM($H$38:$H$46),0)</f>
        <v>0</v>
      </c>
      <c r="BM44" s="64">
        <f>IF(SUM($AP44:AY44)&lt;$N44,$H44/SUM($H$38:$H$46),0)</f>
        <v>0</v>
      </c>
      <c r="BN44" s="64">
        <f>IF(SUM($AP44:AZ44)&lt;$N44,$H44/SUM($H$38:$H$46),0)</f>
        <v>0</v>
      </c>
      <c r="BP44" s="78">
        <f>MIN($O44,BP36*CD44/CD50)</f>
        <v>1767734.4025034837</v>
      </c>
      <c r="BQ44" s="78">
        <f>MIN($O44-SUM($BP44:BP44),BQ36*CE44/CE50)</f>
        <v>1767734.4025034837</v>
      </c>
      <c r="BR44" s="78">
        <f>MIN($O44-SUM($BP44:BQ44),BR36*CF44/CF50)</f>
        <v>1910758.5550531887</v>
      </c>
      <c r="BS44" s="78">
        <f>MIN($O44-SUM($BP44:BR44),BS36*CG44/CG50)</f>
        <v>1581883.2754312921</v>
      </c>
      <c r="BT44" s="78">
        <f>MIN($O44-SUM($BP44:BS44),BT36*CH44/CH50)</f>
        <v>0</v>
      </c>
      <c r="BU44" s="78"/>
      <c r="BV44" s="78"/>
      <c r="BW44" s="78"/>
      <c r="BX44" s="78"/>
      <c r="BY44" s="78"/>
      <c r="BZ44" s="78"/>
      <c r="CA44" s="78"/>
      <c r="CB44" s="78"/>
      <c r="CC44" s="79">
        <f t="shared" si="212"/>
        <v>0</v>
      </c>
      <c r="CD44" s="80">
        <f t="shared" si="213"/>
        <v>5.8924480083449457E-2</v>
      </c>
      <c r="CE44" s="80">
        <f>IF(SUM($BP44:BP44)&lt;$O44,$H44/SUM($H$38:$H$46),0)</f>
        <v>5.8924480083449457E-2</v>
      </c>
      <c r="CF44" s="80">
        <f>IF(SUM($BP44:BQ44)&lt;$O44,$H44/SUM($H$38:$H$46),0)</f>
        <v>5.8924480083449457E-2</v>
      </c>
      <c r="CG44" s="80">
        <f>IF(SUM($BP44:BR44)&lt;$O44,$H44/SUM($H$38:$H$46),0)</f>
        <v>5.8924480083449457E-2</v>
      </c>
      <c r="CH44" s="80">
        <f>IF(SUM($BP44:BS44)&lt;$O44,$H44/SUM($H$38:$H$46),0)</f>
        <v>0</v>
      </c>
      <c r="CI44" s="80">
        <f>IF(SUM($BP44:BT44)&lt;$O44,$H44/SUM($H$38:$H$46),0)</f>
        <v>0</v>
      </c>
      <c r="CJ44" s="80">
        <f>IF(SUM($BP44:BU44)&lt;$O44,$H44/SUM($H$38:$H$46),0)</f>
        <v>0</v>
      </c>
      <c r="CK44" s="80">
        <f>IF(SUM($BP44:BV44)&lt;$O44,$H44/SUM($H$38:$H$46),0)</f>
        <v>0</v>
      </c>
      <c r="CL44" s="80">
        <f>IF(SUM($BP44:BW44)&lt;$O44,$H44/SUM($H$38:$H$46),0)</f>
        <v>0</v>
      </c>
      <c r="CM44" s="80">
        <f>IF(SUM($BP44:BX44)&lt;$O44,$H44/SUM($H$38:$H$46),0)</f>
        <v>0</v>
      </c>
      <c r="CN44" s="80">
        <f t="shared" si="214"/>
        <v>5.8924480083449457E-2</v>
      </c>
      <c r="CO44" s="80">
        <f t="shared" si="214"/>
        <v>5.8924480083449457E-2</v>
      </c>
      <c r="CP44" s="91"/>
      <c r="CQ44" t="s">
        <v>6</v>
      </c>
      <c r="CR44" t="s">
        <v>101</v>
      </c>
      <c r="CS44" s="105">
        <f>0.5*2500*P44/Popn!$H$22</f>
        <v>9.861822407744139</v>
      </c>
      <c r="CT44" s="105">
        <f>0.5*2500*Q44/Popn!$H$22</f>
        <v>10.437592911606481</v>
      </c>
      <c r="CU44" s="105">
        <f>0.5*2500*R44/Popn!$H$22</f>
        <v>10.392044499546827</v>
      </c>
      <c r="CV44" s="105">
        <f>0.5*2500*S44/Popn!$H$22</f>
        <v>6.8444043217304754E-2</v>
      </c>
      <c r="CW44" s="105">
        <f>0.5*2500*T44/Popn!$H$22</f>
        <v>0</v>
      </c>
      <c r="CX44" s="105">
        <f>0.5*2500*U44/Popn!$H$22</f>
        <v>0</v>
      </c>
      <c r="DF44" s="38">
        <f t="shared" si="216"/>
        <v>30.759903862114754</v>
      </c>
      <c r="DG44" s="99">
        <f>0.5*2500*AP44/Popn!$H$22</f>
        <v>9.861822407744139</v>
      </c>
      <c r="DH44" s="99">
        <f>0.5*2500*AQ44/Popn!$H$22</f>
        <v>9.861822407744139</v>
      </c>
      <c r="DI44" s="99">
        <f>0.5*2500*AR44/Popn!$H$22</f>
        <v>10.813769699138176</v>
      </c>
      <c r="DJ44" s="99">
        <f>0.5*2500*AS44/Popn!$H$22</f>
        <v>4.4467208421302065</v>
      </c>
      <c r="DK44" s="99">
        <f>0.5*2500*AT44/Popn!$H$22</f>
        <v>0</v>
      </c>
      <c r="DL44" s="99">
        <f>0.5*2500*AU44/Popn!$H$22</f>
        <v>0</v>
      </c>
      <c r="DT44" s="100">
        <f t="shared" si="217"/>
        <v>34.98413535675666</v>
      </c>
      <c r="DU44" s="92">
        <f>0.5*2500*BP44/Popn!$H$22</f>
        <v>9.861822407744139</v>
      </c>
      <c r="DV44" s="92">
        <f>0.5*2500*BQ44/Popn!$H$22</f>
        <v>9.861822407744139</v>
      </c>
      <c r="DW44" s="92">
        <f>0.5*2500*BR44/Popn!$H$22</f>
        <v>10.659724394867183</v>
      </c>
      <c r="DX44" s="92">
        <f>0.5*2500*BS44/Popn!$H$22</f>
        <v>8.8249976410431188</v>
      </c>
      <c r="DY44" s="92">
        <f>0.5*2500*BT44/Popn!$H$22</f>
        <v>0</v>
      </c>
      <c r="DZ44" s="92">
        <f>0.5*2500*BU44/Popn!$H$22</f>
        <v>0</v>
      </c>
      <c r="EH44" s="95">
        <f t="shared" si="218"/>
        <v>39.20836685139858</v>
      </c>
    </row>
    <row r="45" spans="2:138" ht="15.75" thickBot="1" x14ac:dyDescent="0.3">
      <c r="B45" s="123"/>
      <c r="E45" s="127"/>
      <c r="G45" t="s">
        <v>23</v>
      </c>
      <c r="H45" s="48">
        <f>'Urban Rural'!J27</f>
        <v>47975939.44994241</v>
      </c>
      <c r="I45" s="32">
        <f>Popn!P4</f>
        <v>69341097.740274146</v>
      </c>
      <c r="J45" s="47">
        <f>'Urban Rural'!L27</f>
        <v>0.24907794604970418</v>
      </c>
      <c r="K45" s="47">
        <f>'Urban Rural'!M27</f>
        <v>0.19372729137199213</v>
      </c>
      <c r="L45" s="45">
        <f t="shared" ref="L45:L46" si="220">J45+K45/2</f>
        <v>0.34594159173570027</v>
      </c>
      <c r="M45" s="33">
        <f t="shared" si="219"/>
        <v>62969816.934496239</v>
      </c>
      <c r="N45" s="33">
        <f t="shared" si="219"/>
        <v>69903926.708523631</v>
      </c>
      <c r="O45" s="33">
        <f t="shared" si="219"/>
        <v>76838036.482551053</v>
      </c>
      <c r="P45" s="51">
        <f>MIN($M45,P36*AC45/AC50)</f>
        <v>12847093.609446295</v>
      </c>
      <c r="Q45" s="51">
        <f>MIN($M45-SUM($P45:P45),Q$36*AD45/AD$50)</f>
        <v>13597155.540684173</v>
      </c>
      <c r="R45" s="51">
        <f>MIN($M45-SUM($P45:Q45),R$36*AE45/AE$50)</f>
        <v>13537819.173702704</v>
      </c>
      <c r="S45" s="51">
        <f>MIN($M45-SUM($P45:R45),S$36*AF45/AF$50)</f>
        <v>22987748.610663071</v>
      </c>
      <c r="T45" s="51">
        <f>MIN($M45-SUM($P45:S45),T$36*AG45/AG$50)</f>
        <v>0</v>
      </c>
      <c r="U45" s="51"/>
      <c r="V45" s="51"/>
      <c r="W45" s="51"/>
      <c r="X45" s="51"/>
      <c r="Y45" s="51"/>
      <c r="Z45" s="51"/>
      <c r="AA45" s="51"/>
      <c r="AB45" s="53">
        <f t="shared" si="207"/>
        <v>0</v>
      </c>
      <c r="AC45" s="4">
        <f t="shared" si="208"/>
        <v>0.42823645364820984</v>
      </c>
      <c r="AD45" s="4">
        <f>IF(SUM($P45:P45)&lt;$M45,$H45/SUM($H$38:$H$46),0)</f>
        <v>0.42823645364820984</v>
      </c>
      <c r="AE45" s="4">
        <f>IF(SUM($P45:Q45)&lt;$M45,$H45/SUM($H$38:$H$46),0)</f>
        <v>0.42823645364820984</v>
      </c>
      <c r="AF45" s="4">
        <f>IF(SUM($P45:R45)&lt;$M45,$H45/SUM($H$38:$H$46),0)</f>
        <v>0.42823645364820984</v>
      </c>
      <c r="AG45" s="4">
        <f>IF(SUM($P45:S45)&lt;$M45,$H45/SUM($H$38:$H$46),0)</f>
        <v>0</v>
      </c>
      <c r="AH45" s="4">
        <f>IF(SUM($P45:T45)&lt;$M45,$H45/SUM($H$38:$H$46),0)</f>
        <v>0</v>
      </c>
      <c r="AI45" s="4">
        <f>IF(SUM($P45:U45)&lt;$M45,$H45/SUM($H$38:$H$46),0)</f>
        <v>0</v>
      </c>
      <c r="AJ45" s="4">
        <f>IF(SUM($P45:V45)&lt;$M45,$H45/SUM($H$38:$H$46),0)</f>
        <v>0</v>
      </c>
      <c r="AK45" s="4">
        <f>IF(SUM($P45:W45)&lt;$M45,$H45/SUM($H$38:$H$46),0)</f>
        <v>0</v>
      </c>
      <c r="AL45" s="4">
        <f>IF(SUM($P45:X45)&lt;$M45,$H45/SUM($H$38:$H$46),0)</f>
        <v>0</v>
      </c>
      <c r="AM45" s="4">
        <f t="shared" si="209"/>
        <v>0.42823645364820984</v>
      </c>
      <c r="AN45" s="4">
        <f t="shared" si="209"/>
        <v>0.42823645364820984</v>
      </c>
      <c r="AP45" s="62">
        <f>MIN($N45,AP36*BC45/BC50)</f>
        <v>12847093.609446295</v>
      </c>
      <c r="AQ45" s="62">
        <f>MIN($N45-SUM($AP45:AP45),AQ$36*BD45/BD$50)</f>
        <v>12847093.609446295</v>
      </c>
      <c r="AR45" s="62">
        <f>MIN($N45-SUM($AP45:AQ45),AR$36*BE45/BE$50)</f>
        <v>14087204.763161093</v>
      </c>
      <c r="AS45" s="62">
        <f>MIN($N45-SUM($AP45:AR45),AS$36*BF45/BF$50)</f>
        <v>27224740.629791051</v>
      </c>
      <c r="AT45" s="62">
        <f>MIN($N45-SUM($AP45:AS45),AT$36*BG45/BG$50)</f>
        <v>2897794.0966788977</v>
      </c>
      <c r="AU45" s="62"/>
      <c r="AV45" s="62"/>
      <c r="AW45" s="62"/>
      <c r="AX45" s="62"/>
      <c r="AY45" s="62"/>
      <c r="AZ45" s="62"/>
      <c r="BA45" s="62"/>
      <c r="BB45" s="63">
        <f t="shared" si="210"/>
        <v>0</v>
      </c>
      <c r="BC45" s="64">
        <f t="shared" si="211"/>
        <v>0.42823645364820984</v>
      </c>
      <c r="BD45" s="64">
        <f>IF(SUM($AP45:AP45)&lt;$N45,$H45/SUM($H$38:$H$46),0)</f>
        <v>0.42823645364820984</v>
      </c>
      <c r="BE45" s="64">
        <f>IF(SUM($AP45:AQ45)&lt;$N45,$H45/SUM($H$38:$H$46),0)</f>
        <v>0.42823645364820984</v>
      </c>
      <c r="BF45" s="64">
        <f>IF(SUM($AP45:AR45)&lt;$N45,$H45/SUM($H$38:$H$46),0)</f>
        <v>0.42823645364820984</v>
      </c>
      <c r="BG45" s="64">
        <f>IF(SUM($AP45:AS45)&lt;$N45,$H45/SUM($H$38:$H$46),0)</f>
        <v>0.42823645364820984</v>
      </c>
      <c r="BH45" s="64">
        <f>IF(SUM($AP45:AT45)&lt;$N45,$H45/SUM($H$38:$H$46),0)</f>
        <v>0</v>
      </c>
      <c r="BI45" s="64">
        <f>IF(SUM($AP45:AU45)&lt;$N45,$H45/SUM($H$38:$H$46),0)</f>
        <v>0</v>
      </c>
      <c r="BJ45" s="64">
        <f>IF(SUM($AP45:AV45)&lt;$N45,$H45/SUM($H$38:$H$46),0)</f>
        <v>0</v>
      </c>
      <c r="BK45" s="64">
        <f>IF(SUM($AP45:AW45)&lt;$N45,$H45/SUM($H$38:$H$46),0)</f>
        <v>0</v>
      </c>
      <c r="BL45" s="64">
        <f>IF(SUM($AP45:AX45)&lt;$N45,$H45/SUM($H$38:$H$46),0)</f>
        <v>0</v>
      </c>
      <c r="BM45" s="64">
        <f>IF(SUM($AP45:AY45)&lt;$N45,$H45/SUM($H$38:$H$46),0)</f>
        <v>0</v>
      </c>
      <c r="BN45" s="64">
        <f>IF(SUM($AP45:AZ45)&lt;$N45,$H45/SUM($H$38:$H$46),0)</f>
        <v>0</v>
      </c>
      <c r="BP45" s="78">
        <f>MIN($O45,BP36*CD45/CD50)</f>
        <v>12847093.609446295</v>
      </c>
      <c r="BQ45" s="78">
        <f>MIN($O45-SUM($BP45:BP45),BQ$36*CE45/CE$50)</f>
        <v>12847093.609446295</v>
      </c>
      <c r="BR45" s="78">
        <f>MIN($O45-SUM($BP45:BQ45),BR$36*CF45/CF$50)</f>
        <v>13886528.421381606</v>
      </c>
      <c r="BS45" s="78">
        <f>MIN($O45-SUM($BP45:BR45),BS$36*CG45/CG$50)</f>
        <v>24079721.737869833</v>
      </c>
      <c r="BT45" s="78">
        <f>MIN($O45-SUM($BP45:BS45),BT$36*CH45/CH$50)</f>
        <v>13177599.104407027</v>
      </c>
      <c r="BU45" s="78"/>
      <c r="BV45" s="78"/>
      <c r="BW45" s="78"/>
      <c r="BX45" s="78"/>
      <c r="BY45" s="78"/>
      <c r="BZ45" s="78"/>
      <c r="CA45" s="78"/>
      <c r="CB45" s="78"/>
      <c r="CC45" s="79">
        <f t="shared" si="212"/>
        <v>0</v>
      </c>
      <c r="CD45" s="80">
        <f t="shared" si="213"/>
        <v>0.42823645364820984</v>
      </c>
      <c r="CE45" s="80">
        <f>IF(SUM($BP45:BP45)&lt;$O45,$H45/SUM($H$38:$H$46),0)</f>
        <v>0.42823645364820984</v>
      </c>
      <c r="CF45" s="80">
        <f>IF(SUM($BP45:BQ45)&lt;$O45,$H45/SUM($H$38:$H$46),0)</f>
        <v>0.42823645364820984</v>
      </c>
      <c r="CG45" s="80">
        <f>IF(SUM($BP45:BR45)&lt;$O45,$H45/SUM($H$38:$H$46),0)</f>
        <v>0.42823645364820984</v>
      </c>
      <c r="CH45" s="80">
        <f>IF(SUM($BP45:BS45)&lt;$O45,$H45/SUM($H$38:$H$46),0)</f>
        <v>0.42823645364820984</v>
      </c>
      <c r="CI45" s="80">
        <f>IF(SUM($BP45:BT45)&lt;$O45,$H45/SUM($H$38:$H$46),0)</f>
        <v>0</v>
      </c>
      <c r="CJ45" s="80">
        <f>IF(SUM($BP45:BU45)&lt;$O45,$H45/SUM($H$38:$H$46),0)</f>
        <v>0</v>
      </c>
      <c r="CK45" s="80">
        <f>IF(SUM($BP45:BV45)&lt;$O45,$H45/SUM($H$38:$H$46),0)</f>
        <v>0</v>
      </c>
      <c r="CL45" s="80">
        <f>IF(SUM($BP45:BW45)&lt;$O45,$H45/SUM($H$38:$H$46),0)</f>
        <v>0</v>
      </c>
      <c r="CM45" s="80">
        <f>IF(SUM($BP45:BX45)&lt;$O45,$H45/SUM($H$38:$H$46),0)</f>
        <v>0</v>
      </c>
      <c r="CN45" s="80">
        <f t="shared" si="214"/>
        <v>0.42823645364820984</v>
      </c>
      <c r="CO45" s="80">
        <f t="shared" si="214"/>
        <v>0.42823645364820984</v>
      </c>
      <c r="CP45" s="91"/>
      <c r="CR45" t="s">
        <v>102</v>
      </c>
      <c r="CS45" s="105">
        <f>0.5*2500*P45/Popn!$H$22</f>
        <v>71.671262070023744</v>
      </c>
      <c r="CT45" s="105">
        <f>0.5*2500*Q45/Popn!$H$22</f>
        <v>75.855701514208278</v>
      </c>
      <c r="CU45" s="105">
        <f>0.5*2500*R45/Popn!$H$22</f>
        <v>75.524676269316686</v>
      </c>
      <c r="CV45" s="105">
        <f>0.5*2500*S45/Popn!$H$22</f>
        <v>128.24386629075605</v>
      </c>
      <c r="CW45" s="105">
        <f>0.5*2500*T45/Popn!$H$22</f>
        <v>0</v>
      </c>
      <c r="CX45" s="105">
        <f>0.5*2500*U45/Popn!$H$22</f>
        <v>0</v>
      </c>
      <c r="DF45" s="38">
        <f t="shared" si="216"/>
        <v>351.29550614430474</v>
      </c>
      <c r="DG45" s="99">
        <f>0.5*2500*AP45/Popn!$H$22</f>
        <v>71.671262070023744</v>
      </c>
      <c r="DH45" s="99">
        <f>0.5*2500*AQ45/Popn!$H$22</f>
        <v>71.671262070023744</v>
      </c>
      <c r="DI45" s="99">
        <f>0.5*2500*AR45/Popn!$H$22</f>
        <v>78.5895841587256</v>
      </c>
      <c r="DJ45" s="99">
        <f>0.5*2500*AS45/Popn!$H$22</f>
        <v>151.88116314739571</v>
      </c>
      <c r="DK45" s="99">
        <f>0.5*2500*AT45/Popn!$H$22</f>
        <v>16.166190302788049</v>
      </c>
      <c r="DL45" s="99">
        <f>0.5*2500*AU45/Popn!$H$22</f>
        <v>0</v>
      </c>
      <c r="DT45" s="100">
        <f t="shared" si="217"/>
        <v>389.97946174895679</v>
      </c>
      <c r="DU45" s="92">
        <f>0.5*2500*BP45/Popn!$H$22</f>
        <v>71.671262070023744</v>
      </c>
      <c r="DV45" s="92">
        <f>0.5*2500*BQ45/Popn!$H$22</f>
        <v>71.671262070023744</v>
      </c>
      <c r="DW45" s="92">
        <f>0.5*2500*BR45/Popn!$H$22</f>
        <v>77.470052603949995</v>
      </c>
      <c r="DX45" s="92">
        <f>0.5*2500*BS45/Popn!$H$22</f>
        <v>134.33575715359785</v>
      </c>
      <c r="DY45" s="92">
        <f>0.5*2500*BT45/Popn!$H$22</f>
        <v>73.515083456013812</v>
      </c>
      <c r="DZ45" s="92">
        <f>0.5*2500*BU45/Popn!$H$22</f>
        <v>0</v>
      </c>
      <c r="EH45" s="95">
        <f t="shared" si="218"/>
        <v>428.66341735360913</v>
      </c>
    </row>
    <row r="46" spans="2:138" ht="15.75" thickBot="1" x14ac:dyDescent="0.3">
      <c r="B46" s="123"/>
      <c r="E46" s="127"/>
      <c r="G46" s="27" t="s">
        <v>21</v>
      </c>
      <c r="H46" s="48">
        <f>'Urban Rural'!J28</f>
        <v>5464589.4687026059</v>
      </c>
      <c r="I46" s="32">
        <f>Popn!P5</f>
        <v>19756121.201904517</v>
      </c>
      <c r="J46" s="47">
        <f>'Urban Rural'!L28</f>
        <v>9.9576844494317654E-2</v>
      </c>
      <c r="K46" s="47">
        <f>'Urban Rural'!M28</f>
        <v>7.7448656828913748E-2</v>
      </c>
      <c r="L46" s="45">
        <f t="shared" si="220"/>
        <v>0.13830117290877453</v>
      </c>
      <c r="M46" s="33">
        <f t="shared" si="219"/>
        <v>26145204.454344623</v>
      </c>
      <c r="N46" s="33">
        <f t="shared" si="219"/>
        <v>28120816.574535072</v>
      </c>
      <c r="O46" s="33">
        <f t="shared" si="219"/>
        <v>30096428.694725525</v>
      </c>
      <c r="P46" s="51">
        <f>MIN($M46,P36*AC46/AC50)</f>
        <v>1463318.7645000049</v>
      </c>
      <c r="Q46" s="51">
        <f>MIN($M46-SUM($P46:P46),Q36*AD46/AD50)</f>
        <v>1548752.8503628545</v>
      </c>
      <c r="R46" s="51">
        <f>MIN($M46-SUM($P46:Q46),R36*AE46/AE50)</f>
        <v>1541994.2774232598</v>
      </c>
      <c r="S46" s="51">
        <f>MIN($M46-SUM($P46:R46),S36*AF46/AF50)</f>
        <v>3459197.8802736872</v>
      </c>
      <c r="T46" s="51">
        <f>MIN($M46-SUM($P46:S46),T36*AG46/AG50)</f>
        <v>18131940.681784816</v>
      </c>
      <c r="U46" s="51"/>
      <c r="V46" s="51"/>
      <c r="W46" s="51"/>
      <c r="X46" s="51"/>
      <c r="Y46" s="51"/>
      <c r="Z46" s="51"/>
      <c r="AA46" s="51"/>
      <c r="AB46" s="53">
        <f t="shared" si="207"/>
        <v>0</v>
      </c>
      <c r="AC46" s="4">
        <f t="shared" si="208"/>
        <v>4.8777292150000165E-2</v>
      </c>
      <c r="AD46" s="4">
        <f>IF(SUM($P46:P46)&lt;$M46,$H46/SUM($H$38:$H$46),0)</f>
        <v>4.8777292150000165E-2</v>
      </c>
      <c r="AE46" s="4">
        <f>IF(SUM($P46:Q46)&lt;$M46,$H46/SUM($H$38:$H$46),0)</f>
        <v>4.8777292150000165E-2</v>
      </c>
      <c r="AF46" s="4">
        <f>IF(SUM($P46:R46)&lt;$M46,$H46/SUM($H$38:$H$46),0)</f>
        <v>4.8777292150000165E-2</v>
      </c>
      <c r="AG46" s="4">
        <f>IF(SUM($P46:S46)&lt;$M46,$H46/SUM($H$38:$H$46),0)</f>
        <v>4.8777292150000165E-2</v>
      </c>
      <c r="AH46" s="4">
        <f>IF(SUM($P46:T46)&lt;$M46,$H46/SUM($H$38:$H$46),0)</f>
        <v>0</v>
      </c>
      <c r="AI46" s="4">
        <f>IF(SUM($P46:U46)&lt;$M46,$H46/SUM($H$38:$H$46),0)</f>
        <v>0</v>
      </c>
      <c r="AJ46" s="4">
        <f>IF(SUM($P46:V46)&lt;$M46,$H46/SUM($H$38:$H$46),0)</f>
        <v>0</v>
      </c>
      <c r="AK46" s="4">
        <f>IF(SUM($P46:W46)&lt;$M46,$H46/SUM($H$38:$H$46),0)</f>
        <v>0</v>
      </c>
      <c r="AL46" s="4">
        <f>IF(SUM($P46:X46)&lt;$M46,$H46/SUM($H$38:$H$46),0)</f>
        <v>0</v>
      </c>
      <c r="AM46" s="4">
        <f t="shared" si="209"/>
        <v>4.8777292150000165E-2</v>
      </c>
      <c r="AN46" s="4">
        <f t="shared" si="209"/>
        <v>4.8777292150000165E-2</v>
      </c>
      <c r="AP46" s="62">
        <f>MIN($N46,AP36*BC46/BC50)</f>
        <v>1463318.7645000049</v>
      </c>
      <c r="AQ46" s="62">
        <f>MIN($N46-SUM($AP46:AP46),AQ36*BD46/BD50)</f>
        <v>1463318.7645000049</v>
      </c>
      <c r="AR46" s="62">
        <f>MIN($N46-SUM($AP46:AQ46),AR36*BE46/BE50)</f>
        <v>1604570.7843313471</v>
      </c>
      <c r="AS46" s="62">
        <f>MIN($N46-SUM($AP46:AR46),AS36*BF46/BF50)</f>
        <v>3100971.7087237723</v>
      </c>
      <c r="AT46" s="62">
        <f>MIN($N46-SUM($AP46:AS46),AT36*BG46/BG50)</f>
        <v>3095165.5360411219</v>
      </c>
      <c r="AU46" s="62">
        <f>MIN($N46-SUM($AP46:AT46),AU36*BH46/BH50)</f>
        <v>17393471.016438819</v>
      </c>
      <c r="AV46" s="62"/>
      <c r="AW46" s="62"/>
      <c r="AX46" s="62"/>
      <c r="AY46" s="62"/>
      <c r="AZ46" s="62"/>
      <c r="BA46" s="62"/>
      <c r="BB46" s="63">
        <f t="shared" si="210"/>
        <v>0</v>
      </c>
      <c r="BC46" s="64">
        <f t="shared" si="211"/>
        <v>4.8777292150000165E-2</v>
      </c>
      <c r="BD46" s="64">
        <f>IF(SUM($AP46:AP46)&lt;$N46,$H46/SUM($H$38:$H$46),0)</f>
        <v>4.8777292150000165E-2</v>
      </c>
      <c r="BE46" s="64">
        <f>IF(SUM($AP46:AQ46)&lt;$N46,$H46/SUM($H$38:$H$46),0)</f>
        <v>4.8777292150000165E-2</v>
      </c>
      <c r="BF46" s="64">
        <f>IF(SUM($AP46:AR46)&lt;$N46,$H46/SUM($H$38:$H$46),0)</f>
        <v>4.8777292150000165E-2</v>
      </c>
      <c r="BG46" s="64">
        <f>IF(SUM($AP46:AS46)&lt;$N46,$H46/SUM($H$38:$H$46),0)</f>
        <v>4.8777292150000165E-2</v>
      </c>
      <c r="BH46" s="64">
        <f>IF(SUM($AP46:AT46)&lt;$N46,$H46/SUM($H$38:$H$46),0)</f>
        <v>4.8777292150000165E-2</v>
      </c>
      <c r="BI46" s="64">
        <f>IF(SUM($AP46:AU46)&lt;$N46,$H46/SUM($H$38:$H$46),0)</f>
        <v>0</v>
      </c>
      <c r="BJ46" s="64">
        <f>IF(SUM($AP46:AV46)&lt;$N46,$H46/SUM($H$38:$H$46),0)</f>
        <v>0</v>
      </c>
      <c r="BK46" s="64">
        <f>IF(SUM($AP46:AW46)&lt;$N46,$H46/SUM($H$38:$H$46),0)</f>
        <v>0</v>
      </c>
      <c r="BL46" s="64">
        <f>IF(SUM($AP46:AX46)&lt;$N46,$H46/SUM($H$38:$H$46),0)</f>
        <v>0</v>
      </c>
      <c r="BM46" s="64">
        <f>IF(SUM($AP46:AY46)&lt;$N46,$H46/SUM($H$38:$H$46),0)</f>
        <v>0</v>
      </c>
      <c r="BN46" s="64">
        <f>IF(SUM($AP46:AZ46)&lt;$N46,$H46/SUM($H$38:$H$46),0)</f>
        <v>0</v>
      </c>
      <c r="BP46" s="78">
        <f>MIN($O46,BP36*CD46/CD50)</f>
        <v>1463318.7645000049</v>
      </c>
      <c r="BQ46" s="78">
        <f>MIN($O46-SUM($BP46:BP46),BQ36*CE46/CE50)</f>
        <v>1463318.7645000049</v>
      </c>
      <c r="BR46" s="78">
        <f>MIN($O46-SUM($BP46:BQ46),BR36*CF46/CF50)</f>
        <v>1581713.2053765845</v>
      </c>
      <c r="BS46" s="78">
        <f>MIN($O46-SUM($BP46:BR46),BS36*CG46/CG50)</f>
        <v>2742745.5371738565</v>
      </c>
      <c r="BT46" s="78">
        <f>MIN($O46-SUM($BP46:BS46),BT36*CH46/CH50)</f>
        <v>2980790.6852037967</v>
      </c>
      <c r="BU46" s="78">
        <f>MIN($O46-SUM($BP46:BT46),BU36*CI46/CI50)</f>
        <v>19864541.737971276</v>
      </c>
      <c r="BV46" s="78"/>
      <c r="BW46" s="78"/>
      <c r="BX46" s="78"/>
      <c r="BY46" s="78"/>
      <c r="BZ46" s="78"/>
      <c r="CA46" s="78"/>
      <c r="CB46" s="78"/>
      <c r="CC46" s="79">
        <f t="shared" si="212"/>
        <v>0</v>
      </c>
      <c r="CD46" s="80">
        <f t="shared" si="213"/>
        <v>4.8777292150000165E-2</v>
      </c>
      <c r="CE46" s="80">
        <f>IF(SUM($BP46:BP46)&lt;$O46,$H46/SUM($H$38:$H$46),0)</f>
        <v>4.8777292150000165E-2</v>
      </c>
      <c r="CF46" s="80">
        <f>IF(SUM($BP46:BQ46)&lt;$O46,$H46/SUM($H$38:$H$46),0)</f>
        <v>4.8777292150000165E-2</v>
      </c>
      <c r="CG46" s="80">
        <f>IF(SUM($BP46:BR46)&lt;$O46,$H46/SUM($H$38:$H$46),0)</f>
        <v>4.8777292150000165E-2</v>
      </c>
      <c r="CH46" s="80">
        <f>IF(SUM($BP46:BS46)&lt;$O46,$H46/SUM($H$38:$H$46),0)</f>
        <v>4.8777292150000165E-2</v>
      </c>
      <c r="CI46" s="80">
        <f>IF(SUM($BP46:BT46)&lt;$O46,$H46/SUM($H$38:$H$46),0)</f>
        <v>4.8777292150000165E-2</v>
      </c>
      <c r="CJ46" s="80">
        <f>IF(SUM($BP46:BU46)&lt;$O46,$H46/SUM($H$38:$H$46),0)</f>
        <v>0</v>
      </c>
      <c r="CK46" s="80">
        <f>IF(SUM($BP46:BV46)&lt;$O46,$H46/SUM($H$38:$H$46),0)</f>
        <v>0</v>
      </c>
      <c r="CL46" s="80">
        <f>IF(SUM($BP46:BW46)&lt;$O46,$H46/SUM($H$38:$H$46),0)</f>
        <v>0</v>
      </c>
      <c r="CM46" s="80">
        <f>IF(SUM($BP46:BX46)&lt;$O46,$H46/SUM($H$38:$H$46),0)</f>
        <v>0</v>
      </c>
      <c r="CN46" s="80">
        <f t="shared" si="214"/>
        <v>4.8777292150000165E-2</v>
      </c>
      <c r="CO46" s="80">
        <f t="shared" si="214"/>
        <v>4.8777292150000165E-2</v>
      </c>
      <c r="CP46" s="91"/>
      <c r="CR46" s="27" t="s">
        <v>103</v>
      </c>
      <c r="CS46" s="105">
        <f>0.5*2500*P46/Popn!$H$22</f>
        <v>8.1635509050348869</v>
      </c>
      <c r="CT46" s="105">
        <f>0.5*2500*Q46/Popn!$H$22</f>
        <v>8.640169893246112</v>
      </c>
      <c r="CU46" s="105">
        <f>0.5*2500*R46/Popn!$H$22</f>
        <v>8.6024652211156862</v>
      </c>
      <c r="CV46" s="105">
        <f>0.5*2500*S46/Popn!$H$22</f>
        <v>19.298145196581274</v>
      </c>
      <c r="CW46" s="105">
        <f>0.5*2500*T46/Popn!$H$22</f>
        <v>101.15432423461061</v>
      </c>
      <c r="CX46" s="105">
        <f>0.5*2500*U46/Popn!$H$22</f>
        <v>0</v>
      </c>
      <c r="DF46" s="38">
        <f t="shared" si="216"/>
        <v>145.85865545058857</v>
      </c>
      <c r="DG46" s="99">
        <f>0.5*2500*AP46/Popn!$H$22</f>
        <v>8.1635509050348869</v>
      </c>
      <c r="DH46" s="99">
        <f>0.5*2500*AQ46/Popn!$H$22</f>
        <v>8.1635509050348869</v>
      </c>
      <c r="DI46" s="99">
        <f>0.5*2500*AR46/Popn!$H$22</f>
        <v>8.951566532461193</v>
      </c>
      <c r="DJ46" s="99">
        <f>0.5*2500*AS46/Popn!$H$22</f>
        <v>17.299675923918929</v>
      </c>
      <c r="DK46" s="99">
        <f>0.5*2500*AT46/Popn!$H$22</f>
        <v>17.267284494649974</v>
      </c>
      <c r="DL46" s="99">
        <f>0.5*2500*AU46/Popn!$H$22</f>
        <v>97.034555629759851</v>
      </c>
      <c r="DT46" s="100">
        <f t="shared" si="217"/>
        <v>156.88018439085971</v>
      </c>
      <c r="DU46" s="92">
        <f>0.5*2500*BP46/Popn!$H$22</f>
        <v>8.1635509050348869</v>
      </c>
      <c r="DV46" s="92">
        <f>0.5*2500*BQ46/Popn!$H$22</f>
        <v>8.1635509050348869</v>
      </c>
      <c r="DW46" s="92">
        <f>0.5*2500*BR46/Popn!$H$22</f>
        <v>8.8240488555954713</v>
      </c>
      <c r="DX46" s="92">
        <f>0.5*2500*BS46/Popn!$H$22</f>
        <v>15.301206651256576</v>
      </c>
      <c r="DY46" s="92">
        <f>0.5*2500*BT46/Popn!$H$22</f>
        <v>16.629211000536536</v>
      </c>
      <c r="DZ46" s="92">
        <f>0.5*2500*BU46/Popn!$H$22</f>
        <v>110.82014501367254</v>
      </c>
      <c r="EH46" s="95">
        <f t="shared" si="218"/>
        <v>167.90171333113091</v>
      </c>
    </row>
    <row r="47" spans="2:138" ht="15.75" thickBot="1" x14ac:dyDescent="0.3">
      <c r="B47" s="123"/>
      <c r="E47" s="127"/>
      <c r="G47" s="1" t="s">
        <v>9</v>
      </c>
      <c r="H47" s="1"/>
      <c r="I47" s="32">
        <f>Popn!P6</f>
        <v>25258743.548931349</v>
      </c>
      <c r="J47" s="1"/>
      <c r="K47" s="1"/>
      <c r="L47" s="45"/>
      <c r="M47" s="49">
        <f>$I47*M$37*2</f>
        <v>30310492.258717619</v>
      </c>
      <c r="N47" s="49">
        <f>$I47*N$37*2</f>
        <v>35362240.968503885</v>
      </c>
      <c r="O47" s="49">
        <f>$I47*O$37*2</f>
        <v>40413989.678290159</v>
      </c>
      <c r="P47" s="51"/>
      <c r="Q47" s="51"/>
      <c r="R47" s="51"/>
      <c r="S47" s="51"/>
      <c r="T47" s="51"/>
      <c r="U47" s="51">
        <f>IF(SUM($P47:T47)&lt;$M47,MIN($I47/($I41+$I47)*U36,$M47-SUM($P47:T47)),0)</f>
        <v>29309131.751431812</v>
      </c>
      <c r="V47" s="51">
        <f>IF(SUM($P47:U47)&lt;$M47,MIN($I47/($I41+$I47)*V36,$M47-SUM($P47:U47)),0)</f>
        <v>1001360.5072858073</v>
      </c>
      <c r="W47" s="51">
        <f>IF(SUM($P47:V47)&lt;$M47,MIN($I47/($I41+$I47)*W36,$M47-SUM($P47:V47)),0)</f>
        <v>0</v>
      </c>
      <c r="X47" s="51">
        <f>IF(SUM($P47:W47)&lt;$M47,MIN($I47/($I41+$I47)*X36,$M47-SUM($P47:W47)),0)</f>
        <v>0</v>
      </c>
      <c r="Y47" s="51"/>
      <c r="Z47" s="51"/>
      <c r="AA47" s="51"/>
      <c r="AB47" s="53">
        <f t="shared" si="207"/>
        <v>0</v>
      </c>
      <c r="AC47" s="4">
        <f t="shared" si="208"/>
        <v>0</v>
      </c>
      <c r="AD47" s="4">
        <f>IF(SUM($P47:P47)&lt;$M47,$H47/SUM($H$38:$H$46),0)</f>
        <v>0</v>
      </c>
      <c r="AE47" s="4">
        <f>IF(SUM($P47:Q47)&lt;$M47,$H47/SUM($H$38:$H$46),0)</f>
        <v>0</v>
      </c>
      <c r="AF47" s="4">
        <f>IF(SUM($P47:R47)&lt;$M47,$H47/SUM($H$38:$H$46),0)</f>
        <v>0</v>
      </c>
      <c r="AG47" s="4">
        <f>IF(SUM($P47:S47)&lt;$M47,$H47/SUM($H$38:$H$46),0)</f>
        <v>0</v>
      </c>
      <c r="AH47" s="4">
        <f>IF(SUM($P47:T47)&lt;$M47,$H47/SUM($H$38:$H$46),0)</f>
        <v>0</v>
      </c>
      <c r="AI47" s="4">
        <f>IF(SUM($P47:U47)&lt;$M47,$H47/SUM($H$38:$H$46),0)</f>
        <v>0</v>
      </c>
      <c r="AJ47" s="4">
        <f>IF(SUM($P47:V47)&lt;$M47,$H47/SUM($H$38:$H$46),0)</f>
        <v>0</v>
      </c>
      <c r="AK47" s="4">
        <f>IF(SUM($P47:W47)&lt;$M47,$H47/SUM($H$38:$H$46),0)</f>
        <v>0</v>
      </c>
      <c r="AL47" s="4">
        <f>IF(SUM($P47:X47)&lt;$M47,$H47/SUM($H$38:$H$46),0)</f>
        <v>0</v>
      </c>
      <c r="AM47" s="4">
        <f t="shared" si="209"/>
        <v>0</v>
      </c>
      <c r="AN47" s="4">
        <f t="shared" si="209"/>
        <v>0</v>
      </c>
      <c r="AP47" s="62"/>
      <c r="AQ47" s="62"/>
      <c r="AR47" s="62"/>
      <c r="AS47" s="62"/>
      <c r="AT47" s="62"/>
      <c r="AU47" s="62"/>
      <c r="AV47" s="62">
        <f>IF(SUM($AP47:AU47)&lt;$N47,MIN($I47/($I41+$I47)*AV36,$N47-SUM($AP47:AU47)),0)</f>
        <v>35362240.968503885</v>
      </c>
      <c r="AW47" s="62">
        <f>IF(SUM($AP47:AV47)&lt;$N47,MIN($I47/($I41+$I47)*AW36,$N47-SUM($AP47:AV47)),0)</f>
        <v>0</v>
      </c>
      <c r="AX47" s="62">
        <f>IF(SUM($AP47:AW47)&lt;$N47,MIN($I47/($I41+$I47)*AX36,$N47-SUM($AP47:AW47)),0)</f>
        <v>0</v>
      </c>
      <c r="AY47" s="62"/>
      <c r="AZ47" s="62"/>
      <c r="BA47" s="62"/>
      <c r="BB47" s="63">
        <f t="shared" si="210"/>
        <v>0</v>
      </c>
      <c r="BC47" s="64">
        <f t="shared" si="211"/>
        <v>0</v>
      </c>
      <c r="BD47" s="64">
        <f>IF(SUM($AP47:AP47)&lt;$N47,$H47/SUM($H$38:$H$46),0)</f>
        <v>0</v>
      </c>
      <c r="BE47" s="64">
        <f>IF(SUM($AP47:AQ47)&lt;$N47,$H47/SUM($H$38:$H$46),0)</f>
        <v>0</v>
      </c>
      <c r="BF47" s="64">
        <f>IF(SUM($AP47:AR47)&lt;$N47,$H47/SUM($H$38:$H$46),0)</f>
        <v>0</v>
      </c>
      <c r="BG47" s="64">
        <f>IF(SUM($AP47:AS47)&lt;$N47,$H47/SUM($H$38:$H$46),0)</f>
        <v>0</v>
      </c>
      <c r="BH47" s="64">
        <f>IF(SUM($AP47:AT47)&lt;$N47,$H47/SUM($H$38:$H$46),0)</f>
        <v>0</v>
      </c>
      <c r="BI47" s="64">
        <f>IF(SUM($AP47:AU47)&lt;$N47,$H47/SUM($H$38:$H$46),0)</f>
        <v>0</v>
      </c>
      <c r="BJ47" s="64">
        <f>IF(SUM($AP47:AV47)&lt;$N47,$H47/SUM($H$38:$H$46),0)</f>
        <v>0</v>
      </c>
      <c r="BK47" s="64">
        <f>IF(SUM($AP47:AW47)&lt;$N47,$H47/SUM($H$38:$H$46),0)</f>
        <v>0</v>
      </c>
      <c r="BL47" s="64">
        <f>IF(SUM($AP47:AX47)&lt;$N47,$H47/SUM($H$38:$H$46),0)</f>
        <v>0</v>
      </c>
      <c r="BM47" s="64">
        <f>IF(SUM($AP47:AY47)&lt;$N47,$H47/SUM($H$38:$H$46),0)</f>
        <v>0</v>
      </c>
      <c r="BN47" s="64">
        <f>IF(SUM($AP47:AZ47)&lt;$N47,$H47/SUM($H$38:$H$46),0)</f>
        <v>0</v>
      </c>
      <c r="BP47" s="78"/>
      <c r="BQ47" s="78"/>
      <c r="BR47" s="78"/>
      <c r="BS47" s="78"/>
      <c r="BT47" s="78"/>
      <c r="BU47" s="78">
        <f>IF(SUM($BP47:BT47)&lt;$O47,MIN($I47/($I41+$I47)*BU36,$O47-SUM($BP47:BT47)),0)</f>
        <v>27084973.576301113</v>
      </c>
      <c r="BV47" s="78">
        <f>IF(SUM($BP47:BU47)&lt;$O47,MIN($I47/($I41+$I47)*BV36,$O47-SUM($BP47:BU47)),0)</f>
        <v>1790325.0520516355</v>
      </c>
      <c r="BW47" s="78">
        <f>IF(SUM($BP47:BV47)&lt;$O47,MIN($I47/($I41+$I47)*BW36,$O47-SUM($BP47:BV47)),0)</f>
        <v>11538691.049937412</v>
      </c>
      <c r="BX47" s="78">
        <f>IF(SUM($BP47:BW47)&lt;$O47,MIN($I47/($I41+$I47)*BX36,$O47-SUM($BP47:BW47)),0)</f>
        <v>0</v>
      </c>
      <c r="BY47" s="78"/>
      <c r="BZ47" s="78"/>
      <c r="CA47" s="78"/>
      <c r="CB47" s="78"/>
      <c r="CC47" s="79">
        <f t="shared" si="212"/>
        <v>0</v>
      </c>
      <c r="CD47" s="80">
        <f t="shared" si="213"/>
        <v>0</v>
      </c>
      <c r="CE47" s="80">
        <f>IF(SUM($BP47:BP47)&lt;$O47,$H47/SUM($H$38:$H$46),0)</f>
        <v>0</v>
      </c>
      <c r="CF47" s="80">
        <f>IF(SUM($BP47:BQ47)&lt;$O47,$H47/SUM($H$38:$H$46),0)</f>
        <v>0</v>
      </c>
      <c r="CG47" s="80">
        <f>IF(SUM($BP47:BR47)&lt;$O47,$H47/SUM($H$38:$H$46),0)</f>
        <v>0</v>
      </c>
      <c r="CH47" s="80">
        <f>IF(SUM($BP47:BS47)&lt;$O47,$H47/SUM($H$38:$H$46),0)</f>
        <v>0</v>
      </c>
      <c r="CI47" s="80">
        <f>IF(SUM($BP47:BT47)&lt;$O47,$H47/SUM($H$38:$H$46),0)</f>
        <v>0</v>
      </c>
      <c r="CJ47" s="80">
        <f>IF(SUM($BP47:BU47)&lt;$O47,$H47/SUM($H$38:$H$46),0)</f>
        <v>0</v>
      </c>
      <c r="CK47" s="80">
        <f>IF(SUM($BP47:BV47)&lt;$O47,$H47/SUM($H$38:$H$46),0)</f>
        <v>0</v>
      </c>
      <c r="CL47" s="80">
        <f>IF(SUM($BP47:BW47)&lt;$O47,$H47/SUM($H$38:$H$46),0)</f>
        <v>0</v>
      </c>
      <c r="CM47" s="80">
        <f>IF(SUM($BP47:BX47)&lt;$O47,$H47/SUM($H$38:$H$46),0)</f>
        <v>0</v>
      </c>
      <c r="CN47" s="80">
        <f t="shared" si="214"/>
        <v>0</v>
      </c>
      <c r="CO47" s="80">
        <f t="shared" si="214"/>
        <v>0</v>
      </c>
      <c r="CP47" s="91"/>
      <c r="CR47" s="1" t="s">
        <v>104</v>
      </c>
      <c r="CS47" s="106">
        <f>0.5*2500*P47/Popn!$H$22</f>
        <v>0</v>
      </c>
      <c r="CT47" s="106">
        <f>0.5*2500*Q47/Popn!$H$22</f>
        <v>0</v>
      </c>
      <c r="CU47" s="106">
        <f>0.5*2500*R47/Popn!$H$22</f>
        <v>0</v>
      </c>
      <c r="CV47" s="106">
        <f>0.5*2500*S47/Popn!$H$22</f>
        <v>0</v>
      </c>
      <c r="CW47" s="106">
        <f>0.5*2500*T47/Popn!$H$22</f>
        <v>0</v>
      </c>
      <c r="CX47" s="106"/>
      <c r="DF47" s="38">
        <f t="shared" si="216"/>
        <v>0</v>
      </c>
      <c r="DG47" s="116">
        <f>0.5*2500*AP47/Popn!$H$22</f>
        <v>0</v>
      </c>
      <c r="DH47" s="116">
        <f>0.5*2500*AQ47/Popn!$H$22</f>
        <v>0</v>
      </c>
      <c r="DI47" s="116">
        <f>0.5*2500*AR47/Popn!$H$22</f>
        <v>0</v>
      </c>
      <c r="DJ47" s="116">
        <f>0.5*2500*AS47/Popn!$H$22</f>
        <v>0</v>
      </c>
      <c r="DK47" s="116">
        <f>0.5*2500*AT47/Popn!$H$22</f>
        <v>0</v>
      </c>
      <c r="DL47" s="116">
        <f>0.5*2500*AU47/Popn!$H$22</f>
        <v>0</v>
      </c>
      <c r="DT47" s="100">
        <f t="shared" si="217"/>
        <v>0</v>
      </c>
      <c r="DU47" s="118"/>
      <c r="DV47" s="118"/>
      <c r="DW47" s="118"/>
      <c r="DX47" s="118"/>
      <c r="DY47" s="118"/>
      <c r="DZ47" s="118"/>
      <c r="EH47" s="95">
        <f t="shared" si="218"/>
        <v>0</v>
      </c>
    </row>
    <row r="48" spans="2:138" ht="15.75" thickBot="1" x14ac:dyDescent="0.3">
      <c r="B48" s="123"/>
      <c r="E48" s="127"/>
      <c r="G48" s="1" t="s">
        <v>24</v>
      </c>
      <c r="H48" s="1"/>
      <c r="I48" s="34">
        <f>I44</f>
        <v>7571946.6732167117</v>
      </c>
      <c r="J48" s="1"/>
      <c r="K48" s="1"/>
      <c r="L48" s="45"/>
      <c r="M48" s="49">
        <f>$I48*M$5*$M$2</f>
        <v>4846045.8708586963</v>
      </c>
      <c r="N48" s="49">
        <f>$I48*N$5*$M$2</f>
        <v>5148923.7377873641</v>
      </c>
      <c r="O48" s="49">
        <f>$I48*O$5*$M$2</f>
        <v>5451801.6047160327</v>
      </c>
      <c r="P48" s="51"/>
      <c r="Q48" s="51"/>
      <c r="R48" s="51"/>
      <c r="S48" s="51"/>
      <c r="T48" s="51"/>
      <c r="U48" s="51"/>
      <c r="V48" s="51">
        <f>IF(SUM($P48:U48)&lt;$M48,MIN($I48/($I40+$I47)*V36,$M48-SUM($P48:U48)),0)</f>
        <v>4846045.8708586963</v>
      </c>
      <c r="W48" s="51">
        <f>IF(SUM($P48:V48)&lt;$M48,MIN($I48/($I40+$I47)*W36,$M48-SUM($P48:V48)),0)</f>
        <v>0</v>
      </c>
      <c r="X48" s="51">
        <f>IF(SUM($P48:W48)&lt;$M48,MIN($I48/($I40+$I47)*X36,$M48-SUM($P48:W48)),0)</f>
        <v>0</v>
      </c>
      <c r="Y48" s="51"/>
      <c r="Z48" s="51"/>
      <c r="AA48" s="51"/>
      <c r="AB48" s="53">
        <f t="shared" si="207"/>
        <v>0</v>
      </c>
      <c r="AC48" s="4">
        <f t="shared" si="208"/>
        <v>0</v>
      </c>
      <c r="AD48" s="4">
        <f>IF(SUM($P48:P48)&lt;$M48,$H48/SUM($H$38:$H$46),0)</f>
        <v>0</v>
      </c>
      <c r="AE48" s="4">
        <f>IF(SUM($P48:Q48)&lt;$M48,$H48/SUM($H$38:$H$46),0)</f>
        <v>0</v>
      </c>
      <c r="AF48" s="4">
        <f>IF(SUM($P48:R48)&lt;$M48,$H48/SUM($H$38:$H$46),0)</f>
        <v>0</v>
      </c>
      <c r="AG48" s="4">
        <f>IF(SUM($P48:S48)&lt;$M48,$H48/SUM($H$38:$H$46),0)</f>
        <v>0</v>
      </c>
      <c r="AH48" s="4">
        <f>IF(SUM($P48:T48)&lt;$M48,$H48/SUM($H$38:$H$46),0)</f>
        <v>0</v>
      </c>
      <c r="AI48" s="4">
        <f>IF(SUM($P48:U48)&lt;$M48,$H48/SUM($H$38:$H$46),0)</f>
        <v>0</v>
      </c>
      <c r="AJ48" s="4">
        <f>IF(SUM($P48:V48)&lt;$M48,$H48/SUM($H$38:$H$46),0)</f>
        <v>0</v>
      </c>
      <c r="AK48" s="4">
        <f>IF(SUM($P48:W48)&lt;$M48,$H48/SUM($H$38:$H$46),0)</f>
        <v>0</v>
      </c>
      <c r="AL48" s="4">
        <f>IF(SUM($P48:X48)&lt;$M48,$H48/SUM($H$38:$H$46),0)</f>
        <v>0</v>
      </c>
      <c r="AM48" s="4">
        <f t="shared" si="209"/>
        <v>0</v>
      </c>
      <c r="AN48" s="4">
        <f t="shared" si="209"/>
        <v>0</v>
      </c>
      <c r="AP48" s="62"/>
      <c r="AQ48" s="62"/>
      <c r="AR48" s="62"/>
      <c r="AS48" s="62"/>
      <c r="AT48" s="62"/>
      <c r="AU48" s="62"/>
      <c r="AV48" s="62"/>
      <c r="AW48" s="62">
        <f>IF(SUM($AP48:AV48)&lt;$N48,MIN($I48/($I40+$I47)*AW36,$N48-SUM($AP48:AV48)),0)</f>
        <v>5148923.7377873641</v>
      </c>
      <c r="AX48" s="62">
        <f>IF(SUM($AP48:AW48)&lt;$N48,MIN($I48/($I40+$I47)*AX36,$N48-SUM($AP48:AW48)),0)</f>
        <v>0</v>
      </c>
      <c r="AY48" s="62"/>
      <c r="AZ48" s="62"/>
      <c r="BA48" s="62"/>
      <c r="BB48" s="63">
        <f t="shared" si="210"/>
        <v>0</v>
      </c>
      <c r="BC48" s="64">
        <f t="shared" si="211"/>
        <v>0</v>
      </c>
      <c r="BD48" s="64">
        <f>IF(SUM($AP48:AP48)&lt;$N48,$H48/SUM($H$38:$H$46),0)</f>
        <v>0</v>
      </c>
      <c r="BE48" s="64">
        <f>IF(SUM($AP48:AQ48)&lt;$N48,$H48/SUM($H$38:$H$46),0)</f>
        <v>0</v>
      </c>
      <c r="BF48" s="64">
        <f>IF(SUM($AP48:AR48)&lt;$N48,$H48/SUM($H$38:$H$46),0)</f>
        <v>0</v>
      </c>
      <c r="BG48" s="64">
        <f>IF(SUM($AP48:AS48)&lt;$N48,$H48/SUM($H$38:$H$46),0)</f>
        <v>0</v>
      </c>
      <c r="BH48" s="64">
        <f>IF(SUM($AP48:AT48)&lt;$N48,$H48/SUM($H$38:$H$46),0)</f>
        <v>0</v>
      </c>
      <c r="BI48" s="64">
        <f>IF(SUM($AP48:AU48)&lt;$N48,$H48/SUM($H$38:$H$46),0)</f>
        <v>0</v>
      </c>
      <c r="BJ48" s="64">
        <f>IF(SUM($AP48:AV48)&lt;$N48,$H48/SUM($H$38:$H$46),0)</f>
        <v>0</v>
      </c>
      <c r="BK48" s="64">
        <f>IF(SUM($AP48:AW48)&lt;$N48,$H48/SUM($H$38:$H$46),0)</f>
        <v>0</v>
      </c>
      <c r="BL48" s="64">
        <f>IF(SUM($AP48:AX48)&lt;$N48,$H48/SUM($H$38:$H$46),0)</f>
        <v>0</v>
      </c>
      <c r="BM48" s="64">
        <f>IF(SUM($AP48:AY48)&lt;$N48,$H48/SUM($H$38:$H$46),0)</f>
        <v>0</v>
      </c>
      <c r="BN48" s="64">
        <f>IF(SUM($AP48:AZ48)&lt;$N48,$H48/SUM($H$38:$H$46),0)</f>
        <v>0</v>
      </c>
      <c r="BP48" s="78"/>
      <c r="BQ48" s="78"/>
      <c r="BR48" s="78"/>
      <c r="BS48" s="78"/>
      <c r="BT48" s="78"/>
      <c r="BU48" s="78"/>
      <c r="BV48" s="78">
        <f>IF(SUM($BP48:BU48)&lt;$O48,MIN($I48/($I40+$I47)*BV36,$O48-SUM($BP48:BU48)),0)</f>
        <v>583747.92959046201</v>
      </c>
      <c r="BW48" s="78">
        <f>IF(SUM($BP48:BV48)&lt;$O48,MIN($I48/($I40+$I47)*BW36,$O48-SUM($BP48:BV48)),0)</f>
        <v>4868053.675125571</v>
      </c>
      <c r="BX48" s="78">
        <f>IF(SUM($BP48:BW48)&lt;$O48,MIN($I48/($I40+$I47)*BX36,$O48-SUM($BP48:BW48)),0)</f>
        <v>0</v>
      </c>
      <c r="BY48" s="78"/>
      <c r="BZ48" s="78"/>
      <c r="CA48" s="78"/>
      <c r="CB48" s="78"/>
      <c r="CC48" s="79">
        <f t="shared" si="212"/>
        <v>0</v>
      </c>
      <c r="CD48" s="80">
        <f t="shared" si="213"/>
        <v>0</v>
      </c>
      <c r="CE48" s="80">
        <f>IF(SUM($BP48:BP48)&lt;$O48,$H48/SUM($H$38:$H$46),0)</f>
        <v>0</v>
      </c>
      <c r="CF48" s="80">
        <f>IF(SUM($BP48:BQ48)&lt;$O48,$H48/SUM($H$38:$H$46),0)</f>
        <v>0</v>
      </c>
      <c r="CG48" s="80">
        <f>IF(SUM($BP48:BR48)&lt;$O48,$H48/SUM($H$38:$H$46),0)</f>
        <v>0</v>
      </c>
      <c r="CH48" s="80">
        <f>IF(SUM($BP48:BS48)&lt;$O48,$H48/SUM($H$38:$H$46),0)</f>
        <v>0</v>
      </c>
      <c r="CI48" s="80">
        <f>IF(SUM($BP48:BT48)&lt;$O48,$H48/SUM($H$38:$H$46),0)</f>
        <v>0</v>
      </c>
      <c r="CJ48" s="80">
        <f>IF(SUM($BP48:BU48)&lt;$O48,$H48/SUM($H$38:$H$46),0)</f>
        <v>0</v>
      </c>
      <c r="CK48" s="80">
        <f>IF(SUM($BP48:BV48)&lt;$O48,$H48/SUM($H$38:$H$46),0)</f>
        <v>0</v>
      </c>
      <c r="CL48" s="80">
        <f>IF(SUM($BP48:BW48)&lt;$O48,$H48/SUM($H$38:$H$46),0)</f>
        <v>0</v>
      </c>
      <c r="CM48" s="80">
        <f>IF(SUM($BP48:BX48)&lt;$O48,$H48/SUM($H$38:$H$46),0)</f>
        <v>0</v>
      </c>
      <c r="CN48" s="80">
        <f t="shared" si="214"/>
        <v>0</v>
      </c>
      <c r="CO48" s="80">
        <f t="shared" si="214"/>
        <v>0</v>
      </c>
      <c r="CP48" s="91"/>
      <c r="CR48" s="1" t="s">
        <v>105</v>
      </c>
      <c r="CS48" s="106">
        <f>2500*P48/Popn!$H$22</f>
        <v>0</v>
      </c>
      <c r="CT48" s="117">
        <f>2500*Q48/Popn!$H$22</f>
        <v>0</v>
      </c>
      <c r="CU48" s="117">
        <f>2500*R48/Popn!$H$22</f>
        <v>0</v>
      </c>
      <c r="CV48" s="117">
        <f>2500*S48/Popn!$H$22</f>
        <v>0</v>
      </c>
      <c r="CW48" s="117">
        <f>2500*T48/Popn!$H$22</f>
        <v>0</v>
      </c>
      <c r="CX48" s="117">
        <f>2500*U48/Popn!$H$22</f>
        <v>0</v>
      </c>
      <c r="DF48" s="38">
        <f t="shared" si="216"/>
        <v>0</v>
      </c>
      <c r="DG48" s="116">
        <f>2500*AP48/Popn!$H$22</f>
        <v>0</v>
      </c>
      <c r="DH48" s="116">
        <f>2500*AQ48/Popn!$H$22</f>
        <v>0</v>
      </c>
      <c r="DI48" s="116">
        <f>2500*AR48/Popn!$H$22</f>
        <v>0</v>
      </c>
      <c r="DJ48" s="116">
        <f>2500*AS48/Popn!$H$22</f>
        <v>0</v>
      </c>
      <c r="DK48" s="116">
        <f>2500*AT48/Popn!$H$22</f>
        <v>0</v>
      </c>
      <c r="DL48" s="116">
        <f>2500*AU48/Popn!$H$22</f>
        <v>0</v>
      </c>
      <c r="DT48" s="100">
        <f t="shared" si="217"/>
        <v>0</v>
      </c>
      <c r="DU48" s="118"/>
      <c r="DV48" s="118"/>
      <c r="DW48" s="118"/>
      <c r="DX48" s="118"/>
      <c r="DY48" s="118"/>
      <c r="DZ48" s="118"/>
      <c r="EH48" s="95">
        <f t="shared" si="218"/>
        <v>0</v>
      </c>
    </row>
    <row r="49" spans="2:138" x14ac:dyDescent="0.25">
      <c r="B49" s="123"/>
      <c r="E49" s="128"/>
      <c r="G49" t="s">
        <v>55</v>
      </c>
      <c r="H49" s="1"/>
      <c r="I49" s="32">
        <f>I45</f>
        <v>69341097.740274146</v>
      </c>
      <c r="J49" s="1"/>
      <c r="K49" s="1"/>
      <c r="L49" s="45"/>
      <c r="M49" s="33">
        <f>$I45*M$4*$M$2</f>
        <v>32340851.97385015</v>
      </c>
      <c r="N49" s="33">
        <f>$I45*N$4*$M$2</f>
        <v>38123858.528442435</v>
      </c>
      <c r="O49" s="33">
        <f>$I45*O$4*$M$2</f>
        <v>43906865.083034739</v>
      </c>
      <c r="P49" s="51"/>
      <c r="Q49" s="51"/>
      <c r="R49" s="51"/>
      <c r="S49" s="51"/>
      <c r="T49" s="51"/>
      <c r="U49" s="51"/>
      <c r="V49" s="51"/>
      <c r="W49" s="51">
        <f>IF(SUM($P49:V49)&lt;$M49,MIN($I49/($I43+$I49)*W36,$M49-SUM($P49:V49)),0)</f>
        <v>31952593.621855501</v>
      </c>
      <c r="X49" s="51">
        <f>IF(SUM($P49:W49)&lt;$M49,MIN($I49/($I43+$I49)*X36,$M49-SUM($P49:W49)),0)</f>
        <v>388258.35199464858</v>
      </c>
      <c r="Y49" s="51"/>
      <c r="Z49" s="51"/>
      <c r="AA49" s="51"/>
      <c r="AB49" s="53">
        <f t="shared" si="207"/>
        <v>0</v>
      </c>
      <c r="AC49" s="4">
        <f t="shared" si="208"/>
        <v>0</v>
      </c>
      <c r="AD49" s="4">
        <f>IF(SUM($P49:P49)&lt;$M49,$H49/SUM($H$38:$H$46),0)</f>
        <v>0</v>
      </c>
      <c r="AE49" s="4">
        <f>IF(SUM($P49:Q49)&lt;$M49,$H49/SUM($H$38:$H$46),0)</f>
        <v>0</v>
      </c>
      <c r="AF49" s="4">
        <f>IF(SUM($P49:R49)&lt;$M49,$H49/SUM($H$38:$H$46),0)</f>
        <v>0</v>
      </c>
      <c r="AG49" s="4">
        <f>IF(SUM($P49:S49)&lt;$M49,$H49/SUM($H$38:$H$46),0)</f>
        <v>0</v>
      </c>
      <c r="AH49" s="4">
        <f>IF(SUM($P49:T49)&lt;$M49,$H49/SUM($H$38:$H$46),0)</f>
        <v>0</v>
      </c>
      <c r="AI49" s="4">
        <f>IF(SUM($P49:U49)&lt;$M49,$H49/SUM($H$38:$H$46),0)</f>
        <v>0</v>
      </c>
      <c r="AJ49" s="4">
        <f>IF(SUM($P49:V49)&lt;$M49,$H49/SUM($H$38:$H$46),0)</f>
        <v>0</v>
      </c>
      <c r="AK49" s="4">
        <f>IF(SUM($P49:W49)&lt;$M49,$H49/SUM($H$38:$H$46),0)</f>
        <v>0</v>
      </c>
      <c r="AL49" s="4">
        <f>IF(SUM($P49:X49)&lt;$M49,$H49/SUM($H$38:$H$46),0)</f>
        <v>0</v>
      </c>
      <c r="AM49" s="4">
        <f t="shared" si="209"/>
        <v>0</v>
      </c>
      <c r="AN49" s="4">
        <f t="shared" si="209"/>
        <v>0</v>
      </c>
      <c r="AP49" s="62"/>
      <c r="AQ49" s="62"/>
      <c r="AR49" s="62"/>
      <c r="AS49" s="62"/>
      <c r="AT49" s="62"/>
      <c r="AU49" s="62"/>
      <c r="AV49" s="62"/>
      <c r="AW49" s="62">
        <f>IF(SUM($AP49:AV49)&lt;$N49,MIN($I49/($I43+$I49)*AW36,$N49-SUM($AP49:AV49)),0)</f>
        <v>22079974.221388415</v>
      </c>
      <c r="AX49" s="62">
        <f>IF(SUM($AP49:AW49)&lt;$N49,MIN($I49/($I43+$I49)*AX36,$N49-SUM($AP49:AW49)),0)</f>
        <v>13751076.262212634</v>
      </c>
      <c r="AY49" s="62">
        <f>IF(SUM($AP49:AX49)&lt;$N49,MIN($I49/($I43+$I49)*AY36,$N49-SUM($AP49:AX49)),0)</f>
        <v>2292808.0448413864</v>
      </c>
      <c r="AZ49" s="62"/>
      <c r="BA49" s="62"/>
      <c r="BB49" s="63">
        <f t="shared" si="210"/>
        <v>0</v>
      </c>
      <c r="BC49" s="64">
        <f t="shared" si="211"/>
        <v>0</v>
      </c>
      <c r="BD49" s="64">
        <f>IF(SUM($AP49:AP49)&lt;$N49,$H49/SUM($H$38:$H$46),0)</f>
        <v>0</v>
      </c>
      <c r="BE49" s="64">
        <f>IF(SUM($AP49:AQ49)&lt;$N49,$H49/SUM($H$38:$H$46),0)</f>
        <v>0</v>
      </c>
      <c r="BF49" s="64">
        <f>IF(SUM($AP49:AR49)&lt;$N49,$H49/SUM($H$38:$H$46),0)</f>
        <v>0</v>
      </c>
      <c r="BG49" s="64">
        <f>IF(SUM($AP49:AS49)&lt;$N49,$H49/SUM($H$38:$H$46),0)</f>
        <v>0</v>
      </c>
      <c r="BH49" s="64">
        <f>IF(SUM($AP49:AT49)&lt;$N49,$H49/SUM($H$38:$H$46),0)</f>
        <v>0</v>
      </c>
      <c r="BI49" s="64">
        <f>IF(SUM($AP49:AU49)&lt;$N49,$H49/SUM($H$38:$H$46),0)</f>
        <v>0</v>
      </c>
      <c r="BJ49" s="64">
        <f>IF(SUM($AP49:AV49)&lt;$N49,$H49/SUM($H$38:$H$46),0)</f>
        <v>0</v>
      </c>
      <c r="BK49" s="64">
        <f>IF(SUM($AP49:AW49)&lt;$N49,$H49/SUM($H$38:$H$46),0)</f>
        <v>0</v>
      </c>
      <c r="BL49" s="64">
        <f>IF(SUM($AP49:AX49)&lt;$N49,$H49/SUM($H$38:$H$46),0)</f>
        <v>0</v>
      </c>
      <c r="BM49" s="64">
        <f>IF(SUM($AP49:AY49)&lt;$N49,$H49/SUM($H$38:$H$46),0)</f>
        <v>0</v>
      </c>
      <c r="BN49" s="64">
        <f>IF(SUM($AP49:AZ49)&lt;$N49,$H49/SUM($H$38:$H$46),0)</f>
        <v>0</v>
      </c>
      <c r="BP49" s="78"/>
      <c r="BQ49" s="78"/>
      <c r="BR49" s="78"/>
      <c r="BS49" s="78"/>
      <c r="BT49" s="78"/>
      <c r="BU49" s="78"/>
      <c r="BV49" s="78"/>
      <c r="BW49" s="78">
        <f>IF(SUM($BP49:BV49)&lt;$O49,MIN($I49/($I43+$I49)*BW36,$O49-SUM($BP49:BV49)),0)</f>
        <v>18316252.070409536</v>
      </c>
      <c r="BX49" s="78">
        <f>IF(SUM($BP49:BW49)&lt;$O49,MIN($I49/($I43+$I49)*BX36,$O49-SUM($BP49:BW49)),0)</f>
        <v>2493255.2749370225</v>
      </c>
      <c r="BY49" s="78">
        <f>IF(SUM($BP49:BX49)&lt;$O49,MIN($I49/($I43+$I49)*BY36,$O49-SUM($BP49:BX49)),0)</f>
        <v>18900000</v>
      </c>
      <c r="BZ49" s="78">
        <f>IF(SUM($BP49:BY49)&lt;$O49,MIN($I49/($I43+$I49)*BZ36,$O49-SUM($BP49:BY49)),0)</f>
        <v>4197357.7376881838</v>
      </c>
      <c r="CA49" s="78"/>
      <c r="CB49" s="78"/>
      <c r="CC49" s="79">
        <f t="shared" si="212"/>
        <v>0</v>
      </c>
      <c r="CD49" s="80">
        <f t="shared" si="213"/>
        <v>0</v>
      </c>
      <c r="CE49" s="80">
        <f>IF(SUM($BP49:BP49)&lt;$O49,$H49/SUM($H$38:$H$46),0)</f>
        <v>0</v>
      </c>
      <c r="CF49" s="80">
        <f>IF(SUM($BP49:BQ49)&lt;$O49,$H49/SUM($H$38:$H$46),0)</f>
        <v>0</v>
      </c>
      <c r="CG49" s="80">
        <f>IF(SUM($BP49:BR49)&lt;$O49,$H49/SUM($H$38:$H$46),0)</f>
        <v>0</v>
      </c>
      <c r="CH49" s="80">
        <f>IF(SUM($BP49:BS49)&lt;$O49,$H49/SUM($H$38:$H$46),0)</f>
        <v>0</v>
      </c>
      <c r="CI49" s="80">
        <f>IF(SUM($BP49:BT49)&lt;$O49,$H49/SUM($H$38:$H$46),0)</f>
        <v>0</v>
      </c>
      <c r="CJ49" s="80">
        <f>IF(SUM($BP49:BU49)&lt;$O49,$H49/SUM($H$38:$H$46),0)</f>
        <v>0</v>
      </c>
      <c r="CK49" s="80">
        <f>IF(SUM($BP49:BV49)&lt;$O49,$H49/SUM($H$38:$H$46),0)</f>
        <v>0</v>
      </c>
      <c r="CL49" s="80">
        <f>IF(SUM($BP49:BW49)&lt;$O49,$H49/SUM($H$38:$H$46),0)</f>
        <v>0</v>
      </c>
      <c r="CM49" s="80">
        <f>IF(SUM($BP49:BX49)&lt;$O49,$H49/SUM($H$38:$H$46),0)</f>
        <v>0</v>
      </c>
      <c r="CN49" s="80">
        <f t="shared" si="214"/>
        <v>0</v>
      </c>
      <c r="CO49" s="80">
        <f t="shared" si="214"/>
        <v>0</v>
      </c>
      <c r="CP49" s="91"/>
      <c r="CR49" t="s">
        <v>106</v>
      </c>
      <c r="CS49" s="106">
        <f>2500*P49/Popn!$H$22</f>
        <v>0</v>
      </c>
      <c r="CT49" s="106">
        <f>2500*Q49/Popn!$H$22</f>
        <v>0</v>
      </c>
      <c r="CU49" s="106">
        <f>2500*R49/Popn!$H$22</f>
        <v>0</v>
      </c>
      <c r="CV49" s="106">
        <f>2500*S49/Popn!$H$22</f>
        <v>0</v>
      </c>
      <c r="CW49" s="106">
        <f>2500*T49/Popn!$H$22</f>
        <v>0</v>
      </c>
      <c r="CX49" s="106">
        <f>2500*U49/Popn!$H$22</f>
        <v>0</v>
      </c>
      <c r="DF49" s="38">
        <f t="shared" si="216"/>
        <v>0</v>
      </c>
      <c r="DG49" s="116">
        <f>2500*AP49/Popn!$H$22</f>
        <v>0</v>
      </c>
      <c r="DH49" s="116">
        <f>2500*AQ49/Popn!$H$22</f>
        <v>0</v>
      </c>
      <c r="DI49" s="116">
        <f>2500*AR49/Popn!$H$22</f>
        <v>0</v>
      </c>
      <c r="DJ49" s="116">
        <f>2500*AS49/Popn!$H$22</f>
        <v>0</v>
      </c>
      <c r="DK49" s="116">
        <f>2500*AT49/Popn!$H$22</f>
        <v>0</v>
      </c>
      <c r="DL49" s="116">
        <f>2500*AU49/Popn!$H$22</f>
        <v>0</v>
      </c>
      <c r="DT49" s="100">
        <f t="shared" si="217"/>
        <v>0</v>
      </c>
      <c r="DU49" s="118"/>
      <c r="DV49" s="118"/>
      <c r="DW49" s="118"/>
      <c r="DX49" s="118"/>
      <c r="DY49" s="118"/>
      <c r="DZ49" s="118"/>
      <c r="EH49" s="95">
        <f t="shared" si="218"/>
        <v>0</v>
      </c>
    </row>
    <row r="50" spans="2:138" x14ac:dyDescent="0.25">
      <c r="B50" s="24"/>
      <c r="H50" s="1"/>
      <c r="I50" s="1"/>
      <c r="J50" s="1"/>
      <c r="K50" s="1"/>
      <c r="L50" s="1"/>
      <c r="M50" s="1"/>
      <c r="N50" s="1"/>
      <c r="O50" s="1"/>
      <c r="P50" s="52">
        <f>P36-SUM(P38:P49)</f>
        <v>131490.23388507962</v>
      </c>
      <c r="Q50" s="52">
        <f t="shared" ref="Q50:U50" si="221">Q36-SUM(Q38:Q49)</f>
        <v>0</v>
      </c>
      <c r="R50" s="52">
        <f t="shared" si="221"/>
        <v>11003048.998085879</v>
      </c>
      <c r="S50" s="52">
        <f t="shared" si="221"/>
        <v>11548560.505879045</v>
      </c>
      <c r="T50" s="52">
        <f t="shared" si="221"/>
        <v>16522431.351479065</v>
      </c>
      <c r="U50" s="52">
        <f t="shared" si="221"/>
        <v>0</v>
      </c>
      <c r="V50" s="52">
        <f t="shared" ref="V50" si="222">V36-SUM(V38:V49)</f>
        <v>20718402.574373808</v>
      </c>
      <c r="W50" s="52">
        <f t="shared" ref="W50" si="223">W36-SUM(W38:W49)</f>
        <v>0</v>
      </c>
      <c r="X50" s="52">
        <f t="shared" ref="X50" si="224">X36-SUM(X38:X49)</f>
        <v>29383716.901595797</v>
      </c>
      <c r="Y50" s="52">
        <f t="shared" ref="Y50:Z50" si="225">Y36-SUM(Y38:Y49)</f>
        <v>59383716.901595801</v>
      </c>
      <c r="Z50" s="52">
        <f t="shared" si="225"/>
        <v>89383716.901595801</v>
      </c>
      <c r="AA50" s="52">
        <f t="shared" ref="AA50" si="226">AA36-SUM(AA38:AA49)</f>
        <v>119383716.9015958</v>
      </c>
      <c r="AC50" s="2">
        <f>SUM(AC38:AC49)</f>
        <v>1</v>
      </c>
      <c r="AD50" s="2">
        <f t="shared" ref="AD50:AN50" si="227">SUM(AD38:AD49)</f>
        <v>0.94897807723727412</v>
      </c>
      <c r="AE50" s="2">
        <f t="shared" si="227"/>
        <v>0.94897807723727412</v>
      </c>
      <c r="AF50" s="2">
        <f t="shared" si="227"/>
        <v>0.57817383371608899</v>
      </c>
      <c r="AG50" s="2">
        <f t="shared" si="227"/>
        <v>9.1012899984429713E-2</v>
      </c>
      <c r="AH50" s="2">
        <f t="shared" si="227"/>
        <v>0</v>
      </c>
      <c r="AI50" s="2">
        <f t="shared" si="227"/>
        <v>0</v>
      </c>
      <c r="AJ50" s="2">
        <f t="shared" si="227"/>
        <v>0</v>
      </c>
      <c r="AK50" s="2">
        <f t="shared" si="227"/>
        <v>0</v>
      </c>
      <c r="AL50" s="2">
        <f t="shared" si="227"/>
        <v>0</v>
      </c>
      <c r="AM50" s="2">
        <f t="shared" si="227"/>
        <v>1</v>
      </c>
      <c r="AN50" s="2">
        <f t="shared" si="227"/>
        <v>1</v>
      </c>
      <c r="AP50" s="70">
        <f>AP36-SUM(AP38:AP49)</f>
        <v>0</v>
      </c>
      <c r="AQ50" s="70">
        <f t="shared" ref="AQ50" si="228">AQ36-SUM(AQ38:AQ49)</f>
        <v>1217446.2867525406</v>
      </c>
      <c r="AR50" s="70">
        <f t="shared" ref="AR50" si="229">AR36-SUM(AR38:AR49)</f>
        <v>6756872.348805625</v>
      </c>
      <c r="AS50" s="70">
        <f t="shared" ref="AS50" si="230">AS36-SUM(AS38:AS49)</f>
        <v>2948993.9505665973</v>
      </c>
      <c r="AT50" s="70">
        <f t="shared" ref="AT50" si="231">AT36-SUM(AT38:AT49)</f>
        <v>24275971.690325867</v>
      </c>
      <c r="AU50" s="70">
        <f t="shared" ref="AU50" si="232">AU36-SUM(AU38:AU49)</f>
        <v>31178119.349035397</v>
      </c>
      <c r="AV50" s="70">
        <f t="shared" ref="AV50" si="233">AV36-SUM(AV38:AV49)</f>
        <v>5047578.1291879565</v>
      </c>
      <c r="AW50" s="70">
        <f t="shared" ref="AW50" si="234">AW36-SUM(AW38:AW49)</f>
        <v>-8172894.8218847066</v>
      </c>
      <c r="AX50" s="70">
        <f t="shared" ref="AX50" si="235">AX36-SUM(AX38:AX49)</f>
        <v>0</v>
      </c>
      <c r="AY50" s="70">
        <f t="shared" ref="AY50" si="236">AY36-SUM(AY38:AY49)</f>
        <v>26360622.151045419</v>
      </c>
      <c r="AZ50" s="70">
        <f t="shared" ref="AZ50" si="237">AZ36-SUM(AZ38:AZ49)</f>
        <v>56360622.151045419</v>
      </c>
      <c r="BA50" s="70">
        <f t="shared" ref="BA50" si="238">BA36-SUM(BA38:BA49)</f>
        <v>86360622.151045412</v>
      </c>
      <c r="BB50" s="59"/>
      <c r="BC50" s="71">
        <f>SUM(BC38:BC49)</f>
        <v>1</v>
      </c>
      <c r="BD50" s="71">
        <f t="shared" ref="BD50" si="239">SUM(BD38:BD49)</f>
        <v>1</v>
      </c>
      <c r="BE50" s="71">
        <f t="shared" ref="BE50" si="240">SUM(BE38:BE49)</f>
        <v>0.94897807723727412</v>
      </c>
      <c r="BF50" s="71">
        <f t="shared" ref="BF50" si="241">SUM(BF38:BF49)</f>
        <v>0.57817383371608899</v>
      </c>
      <c r="BG50" s="71">
        <f t="shared" ref="BG50" si="242">SUM(BG38:BG49)</f>
        <v>0.51924935363263958</v>
      </c>
      <c r="BH50" s="71">
        <f t="shared" ref="BH50" si="243">SUM(BH38:BH49)</f>
        <v>9.1012899984429713E-2</v>
      </c>
      <c r="BI50" s="71">
        <f t="shared" ref="BI50" si="244">SUM(BI38:BI49)</f>
        <v>0</v>
      </c>
      <c r="BJ50" s="71">
        <f t="shared" ref="BJ50" si="245">SUM(BJ38:BJ49)</f>
        <v>0</v>
      </c>
      <c r="BK50" s="71">
        <f t="shared" ref="BK50" si="246">SUM(BK38:BK49)</f>
        <v>0</v>
      </c>
      <c r="BL50" s="71">
        <f t="shared" ref="BL50" si="247">SUM(BL38:BL49)</f>
        <v>0</v>
      </c>
      <c r="BM50" s="71">
        <f t="shared" ref="BM50" si="248">SUM(BM38:BM49)</f>
        <v>0</v>
      </c>
      <c r="BN50" s="71">
        <f t="shared" ref="BN50" si="249">SUM(BN38:BN49)</f>
        <v>0</v>
      </c>
      <c r="BP50" s="86">
        <f>BP36-SUM(BP38:BP49)</f>
        <v>0</v>
      </c>
      <c r="BQ50" s="86">
        <f t="shared" ref="BQ50" si="250">BQ36-SUM(BQ38:BQ49)</f>
        <v>772744.65673822537</v>
      </c>
      <c r="BR50" s="86">
        <f t="shared" ref="BR50" si="251">BR36-SUM(BR38:BR49)</f>
        <v>2510695.6995253563</v>
      </c>
      <c r="BS50" s="86">
        <f t="shared" ref="BS50" si="252">BS36-SUM(BS38:BS49)</f>
        <v>1731438.3063033372</v>
      </c>
      <c r="BT50" s="86">
        <f t="shared" ref="BT50" si="253">BT36-SUM(BT38:BT49)</f>
        <v>12992021.549684308</v>
      </c>
      <c r="BU50" s="86">
        <f t="shared" ref="BU50" si="254">BU36-SUM(BU38:BU49)</f>
        <v>-27158214.203092642</v>
      </c>
      <c r="BV50" s="86">
        <f t="shared" ref="BV50" si="255">BV36-SUM(BV38:BV49)</f>
        <v>-926584.0152229555</v>
      </c>
      <c r="BW50" s="86">
        <f t="shared" ref="BW50" si="256">BW36-SUM(BW38:BW49)</f>
        <v>-26042451.944544408</v>
      </c>
      <c r="BX50" s="86">
        <f t="shared" ref="BX50" si="257">BX36-SUM(BX38:BX49)</f>
        <v>0</v>
      </c>
      <c r="BY50" s="86">
        <f t="shared" ref="BY50" si="258">BY36-SUM(BY38:BY49)</f>
        <v>0</v>
      </c>
      <c r="BZ50" s="86">
        <f t="shared" ref="BZ50" si="259">BZ36-SUM(BZ38:BZ49)</f>
        <v>23337527.400494952</v>
      </c>
      <c r="CA50" s="86">
        <f t="shared" ref="CA50:CB50" si="260">CA36-SUM(CA38:CA49)</f>
        <v>53337527.400494948</v>
      </c>
      <c r="CB50" s="86">
        <f t="shared" si="260"/>
        <v>83337527.400494948</v>
      </c>
      <c r="CC50" s="77"/>
      <c r="CD50" s="87">
        <f>SUM(CD38:CD49)</f>
        <v>1</v>
      </c>
      <c r="CE50" s="87">
        <f t="shared" ref="CE50" si="261">SUM(CE38:CE49)</f>
        <v>1</v>
      </c>
      <c r="CF50" s="87">
        <f t="shared" ref="CF50" si="262">SUM(CF38:CF49)</f>
        <v>0.94897807723727412</v>
      </c>
      <c r="CG50" s="87">
        <f t="shared" ref="CG50" si="263">SUM(CG38:CG49)</f>
        <v>0.57817383371608899</v>
      </c>
      <c r="CH50" s="87">
        <f t="shared" ref="CH50" si="264">SUM(CH38:CH49)</f>
        <v>0.51924935363263958</v>
      </c>
      <c r="CI50" s="87">
        <f t="shared" ref="CI50" si="265">SUM(CI38:CI49)</f>
        <v>9.1012899984429713E-2</v>
      </c>
      <c r="CJ50" s="87">
        <f t="shared" ref="CJ50" si="266">SUM(CJ38:CJ49)</f>
        <v>0</v>
      </c>
      <c r="CK50" s="87">
        <f t="shared" ref="CK50" si="267">SUM(CK38:CK49)</f>
        <v>0</v>
      </c>
      <c r="CL50" s="87">
        <f t="shared" ref="CL50" si="268">SUM(CL38:CL49)</f>
        <v>0</v>
      </c>
      <c r="CM50" s="87">
        <f t="shared" ref="CM50" si="269">SUM(CM38:CM49)</f>
        <v>0</v>
      </c>
      <c r="CN50" s="87">
        <f t="shared" ref="CN50" si="270">SUM(CN38:CN49)</f>
        <v>1</v>
      </c>
      <c r="CO50" s="87">
        <f t="shared" ref="CO50" si="271">SUM(CO38:CO49)</f>
        <v>1</v>
      </c>
      <c r="CP50" s="87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38">
        <f>SUM(CS38:DD49)</f>
        <v>744.64358195721445</v>
      </c>
      <c r="DG50" s="103"/>
      <c r="DH50" s="103"/>
      <c r="DI50" s="103"/>
      <c r="DJ50" s="103"/>
      <c r="DK50" s="103"/>
      <c r="DL50" s="103"/>
      <c r="DM50" s="103"/>
      <c r="DN50" s="103"/>
      <c r="DO50" s="103"/>
      <c r="DP50" s="103"/>
      <c r="DQ50" s="103"/>
      <c r="DR50" s="103"/>
      <c r="DS50" s="103"/>
      <c r="DT50" s="100">
        <f>SUM(DG38:DR49)</f>
        <v>830.24630582954023</v>
      </c>
      <c r="DU50" s="86"/>
      <c r="DV50" s="86"/>
      <c r="DW50" s="86"/>
      <c r="DX50" s="86"/>
      <c r="DY50" s="86"/>
      <c r="DZ50" s="86"/>
      <c r="EA50" s="86"/>
      <c r="EB50" s="86"/>
      <c r="EC50" s="86"/>
      <c r="ED50" s="86"/>
      <c r="EE50" s="86"/>
      <c r="EF50" s="86"/>
      <c r="EG50" s="86"/>
      <c r="EH50" s="95">
        <f>SUM(DU38:EF49)</f>
        <v>915.84902970186624</v>
      </c>
    </row>
    <row r="51" spans="2:138" x14ac:dyDescent="0.25"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DF51" s="119">
        <f>DF50-SUM(CS23:CW31)</f>
        <v>0</v>
      </c>
      <c r="DT51" s="119">
        <f>DT50-SUM(DG23:DK31)</f>
        <v>0</v>
      </c>
      <c r="EH51" s="119">
        <f>EH50-SUM(DU23:DZ31)</f>
        <v>0</v>
      </c>
    </row>
    <row r="52" spans="2:138" x14ac:dyDescent="0.25">
      <c r="P52" s="16"/>
      <c r="Q52" s="16"/>
      <c r="R52" s="16"/>
    </row>
    <row r="53" spans="2:138" x14ac:dyDescent="0.25">
      <c r="E53" s="16"/>
      <c r="F53" s="19">
        <v>0.63</v>
      </c>
      <c r="G53" s="16"/>
      <c r="H53" s="16"/>
      <c r="I53" s="16" t="s">
        <v>1</v>
      </c>
      <c r="J53" s="16" t="s">
        <v>2</v>
      </c>
      <c r="K53" s="16" t="s">
        <v>3</v>
      </c>
      <c r="P53" s="16"/>
      <c r="Q53" s="16"/>
      <c r="R53" s="16"/>
      <c r="CQ53" s="19">
        <v>0.63</v>
      </c>
      <c r="CR53" s="16"/>
    </row>
    <row r="54" spans="2:138" x14ac:dyDescent="0.25">
      <c r="E54" s="16"/>
      <c r="F54" s="16"/>
      <c r="G54" s="16"/>
      <c r="H54" s="16"/>
      <c r="I54" s="16"/>
      <c r="J54" s="16">
        <v>78</v>
      </c>
      <c r="K54" s="16">
        <v>18</v>
      </c>
      <c r="P54" s="16"/>
      <c r="Q54" s="16"/>
      <c r="R54" s="23"/>
      <c r="CQ54" s="16"/>
      <c r="CR54" s="16"/>
    </row>
    <row r="55" spans="2:138" x14ac:dyDescent="0.25">
      <c r="E55" s="20">
        <v>14834500.179531109</v>
      </c>
      <c r="F55" s="21">
        <v>6.6206871833686995E-2</v>
      </c>
      <c r="G55" s="21">
        <v>7.6649679119068684E-2</v>
      </c>
      <c r="H55" s="21"/>
      <c r="I55" s="21">
        <f>2*F55/$F$67</f>
        <v>5.8270837345065662E-2</v>
      </c>
      <c r="J55" s="20">
        <v>4.4585339779043309</v>
      </c>
      <c r="K55" s="22">
        <v>1.028892456439461</v>
      </c>
      <c r="P55" s="16"/>
      <c r="Q55" s="16"/>
      <c r="R55" s="16"/>
      <c r="CQ55" s="21">
        <v>6.6206871833686995E-2</v>
      </c>
      <c r="CR55" s="21">
        <v>7.6649679119068684E-2</v>
      </c>
    </row>
    <row r="56" spans="2:138" x14ac:dyDescent="0.25">
      <c r="E56" s="20">
        <v>56773954.409041747</v>
      </c>
      <c r="F56" s="21">
        <v>0.25338406266208474</v>
      </c>
      <c r="G56" s="21">
        <v>0.29335032088093133</v>
      </c>
      <c r="H56" s="21"/>
      <c r="I56" s="21">
        <f>2*F56/$F$67</f>
        <v>0.22301161635160768</v>
      </c>
      <c r="J56" s="20">
        <v>17.063507481160379</v>
      </c>
      <c r="K56" s="22">
        <v>3.9377324956523951</v>
      </c>
      <c r="P56" s="16"/>
      <c r="Q56" s="16"/>
      <c r="R56" s="16"/>
      <c r="CQ56" s="21">
        <v>0.25338406266208474</v>
      </c>
      <c r="CR56" s="21">
        <v>0.29335032088093133</v>
      </c>
    </row>
    <row r="57" spans="2:138" x14ac:dyDescent="0.25">
      <c r="E57" s="20">
        <v>25258743.548931349</v>
      </c>
      <c r="F57" s="21">
        <v>0.11273061960871036</v>
      </c>
      <c r="G57" s="21">
        <v>0.13051161579733317</v>
      </c>
      <c r="H57" s="21"/>
      <c r="I57" s="21">
        <f>2*F57/$F$67</f>
        <v>9.9217912236192946E-2</v>
      </c>
      <c r="J57" s="20">
        <v>7.5915578542695386</v>
      </c>
      <c r="K57" s="22">
        <v>1.7518979663698937</v>
      </c>
      <c r="P57" s="16"/>
      <c r="Q57" s="16"/>
      <c r="R57" s="16"/>
      <c r="CQ57" s="21">
        <v>0.11273061960871036</v>
      </c>
      <c r="CR57" s="21">
        <v>0.13051161579733317</v>
      </c>
    </row>
    <row r="58" spans="2:138" x14ac:dyDescent="0.25">
      <c r="E58" s="20">
        <v>96669165.615395397</v>
      </c>
      <c r="F58" s="21">
        <v>0.43143772831652266</v>
      </c>
      <c r="G58" s="21">
        <v>0.49948838420266689</v>
      </c>
      <c r="H58" s="21"/>
      <c r="I58" s="21">
        <f>2*F58/$F$67</f>
        <v>0.37972248189598068</v>
      </c>
      <c r="J58" s="20">
        <v>29.054080305759562</v>
      </c>
      <c r="K58" s="22">
        <v>6.7047877628675918</v>
      </c>
      <c r="P58" s="16"/>
      <c r="Q58" s="16"/>
      <c r="R58" s="16"/>
      <c r="CQ58" s="21">
        <v>0.43143772831652266</v>
      </c>
      <c r="CR58" s="21">
        <v>0.49948838420266689</v>
      </c>
    </row>
    <row r="59" spans="2:138" x14ac:dyDescent="0.25">
      <c r="E59" s="16"/>
      <c r="F59" s="16"/>
      <c r="G59" s="16"/>
      <c r="H59" s="16"/>
      <c r="I59" s="21"/>
      <c r="J59" s="16"/>
      <c r="K59" s="22"/>
      <c r="P59" s="16"/>
      <c r="Q59" s="16"/>
      <c r="R59" s="16"/>
      <c r="CQ59" s="16"/>
      <c r="CR59" s="16"/>
    </row>
    <row r="60" spans="2:138" x14ac:dyDescent="0.25">
      <c r="E60" s="20">
        <v>193536363.75289959</v>
      </c>
      <c r="F60" s="21">
        <f>SUM(F55:F58)</f>
        <v>0.86375928242100475</v>
      </c>
      <c r="G60" s="16"/>
      <c r="H60" s="16"/>
      <c r="I60" s="21"/>
      <c r="J60" s="16"/>
      <c r="K60" s="22"/>
      <c r="P60" s="16"/>
      <c r="Q60" s="16"/>
      <c r="R60" s="16"/>
      <c r="CQ60" s="21">
        <f>SUM(CQ55:CQ58)</f>
        <v>0.86375928242100475</v>
      </c>
      <c r="CR60" s="16"/>
    </row>
    <row r="61" spans="2:138" x14ac:dyDescent="0.25">
      <c r="E61" s="16"/>
      <c r="F61" s="16"/>
      <c r="G61" s="16"/>
      <c r="H61" s="16"/>
      <c r="I61" s="21"/>
      <c r="J61" s="16"/>
      <c r="K61" s="22"/>
      <c r="P61" s="16"/>
      <c r="Q61" s="16"/>
      <c r="R61" s="16"/>
      <c r="CQ61" s="16"/>
      <c r="CR61" s="16"/>
    </row>
    <row r="62" spans="2:138" x14ac:dyDescent="0.25">
      <c r="E62" s="16"/>
      <c r="F62" s="16"/>
      <c r="G62" s="16"/>
      <c r="H62" s="16"/>
      <c r="I62" s="21"/>
      <c r="J62" s="16"/>
      <c r="K62" s="22"/>
      <c r="P62" s="16"/>
      <c r="Q62" s="16"/>
      <c r="R62" s="16"/>
      <c r="CQ62" s="16"/>
      <c r="CR62" s="16"/>
    </row>
    <row r="63" spans="2:138" x14ac:dyDescent="0.25">
      <c r="E63" s="16"/>
      <c r="F63" s="21">
        <v>0.20160037113319151</v>
      </c>
      <c r="G63" s="16"/>
      <c r="H63" s="16"/>
      <c r="I63" s="21">
        <f>F63/$F$67</f>
        <v>8.8717546303326622E-2</v>
      </c>
      <c r="J63" s="20">
        <v>7.7243224260033116</v>
      </c>
      <c r="K63" s="22">
        <v>1.7825359444623028</v>
      </c>
      <c r="P63" s="16"/>
      <c r="Q63" s="16"/>
      <c r="R63" s="16"/>
      <c r="CQ63" s="21">
        <v>0.20160037113319151</v>
      </c>
      <c r="CR63" s="16"/>
    </row>
    <row r="64" spans="2:138" x14ac:dyDescent="0.25">
      <c r="E64" s="16"/>
      <c r="F64" s="21">
        <v>0.34326549679435314</v>
      </c>
      <c r="G64" s="16"/>
      <c r="H64" s="16"/>
      <c r="I64" s="21">
        <f>F64/$F$67</f>
        <v>0.15105960586782641</v>
      </c>
      <c r="J64" s="20">
        <v>12.107997954902885</v>
      </c>
      <c r="K64" s="22">
        <v>2.7941533742083582</v>
      </c>
      <c r="P64" s="16"/>
      <c r="Q64" s="16"/>
      <c r="R64" s="16"/>
      <c r="CQ64" s="21">
        <v>0.34326549679435314</v>
      </c>
      <c r="CR64" s="16"/>
    </row>
    <row r="65" spans="5:96" x14ac:dyDescent="0.25">
      <c r="E65" s="16"/>
      <c r="F65" s="16"/>
      <c r="G65" s="16"/>
      <c r="H65" s="16"/>
      <c r="I65" s="21"/>
      <c r="J65" s="16"/>
      <c r="K65" s="22"/>
      <c r="P65" s="16"/>
      <c r="Q65" s="16"/>
      <c r="R65" s="16"/>
      <c r="CQ65" s="16"/>
      <c r="CR65" s="16"/>
    </row>
    <row r="66" spans="5:96" x14ac:dyDescent="0.25">
      <c r="E66" s="16"/>
      <c r="F66" s="21">
        <f>SUM(F55:F64)</f>
        <v>2.2723844327695542</v>
      </c>
      <c r="G66" s="16"/>
      <c r="H66" s="16"/>
      <c r="I66" s="21">
        <f>SUM(I55:I64)</f>
        <v>1</v>
      </c>
      <c r="J66" s="20">
        <v>78</v>
      </c>
      <c r="K66" s="22">
        <v>18</v>
      </c>
      <c r="P66" s="16"/>
      <c r="Q66" s="16"/>
      <c r="R66" s="16"/>
      <c r="CQ66" s="21">
        <f>SUM(CQ55:CQ64)</f>
        <v>2.2723844327695542</v>
      </c>
      <c r="CR66" s="16"/>
    </row>
    <row r="67" spans="5:96" x14ac:dyDescent="0.25">
      <c r="E67" s="16"/>
      <c r="F67" s="21">
        <f>SUM(F55:F58)*2+SUM(F63:F64)</f>
        <v>2.2723844327695542</v>
      </c>
      <c r="G67" s="16"/>
      <c r="H67" s="16"/>
      <c r="I67" s="16"/>
      <c r="J67" s="16"/>
      <c r="K67" s="16"/>
      <c r="P67" s="16"/>
      <c r="Q67" s="16"/>
      <c r="R67" s="16"/>
      <c r="CQ67" s="21">
        <f>SUM(CQ55:CQ58)*2+SUM(CQ63:CQ64)</f>
        <v>2.2723844327695542</v>
      </c>
      <c r="CR67" s="16"/>
    </row>
    <row r="68" spans="5:96" x14ac:dyDescent="0.25">
      <c r="E68" s="16"/>
      <c r="F68" s="16"/>
      <c r="G68" s="16"/>
      <c r="H68" s="16"/>
      <c r="I68" s="16"/>
      <c r="J68" s="16"/>
      <c r="K68" s="16"/>
      <c r="CQ68" s="16"/>
      <c r="CR68" s="16"/>
    </row>
  </sheetData>
  <mergeCells count="7">
    <mergeCell ref="B23:B28"/>
    <mergeCell ref="B38:B49"/>
    <mergeCell ref="E8:E19"/>
    <mergeCell ref="B8:B13"/>
    <mergeCell ref="B15:B20"/>
    <mergeCell ref="E38:E49"/>
    <mergeCell ref="E23:E34"/>
  </mergeCells>
  <phoneticPr fontId="12" type="noConversion"/>
  <conditionalFormatting sqref="U11:X11 U14:X17 U18:U19 U12:AA13">
    <cfRule type="colorScale" priority="72">
      <colorScale>
        <cfvo type="min"/>
        <cfvo type="max"/>
        <color rgb="FFFCFCFF"/>
        <color rgb="FF63BE7B"/>
      </colorScale>
    </cfRule>
  </conditionalFormatting>
  <conditionalFormatting sqref="U23:X25 U29:X31 AA28 AA34 U26:Z26">
    <cfRule type="colorScale" priority="71">
      <colorScale>
        <cfvo type="min"/>
        <cfvo type="max"/>
        <color rgb="FFFCFCFF"/>
        <color rgb="FF63BE7B"/>
      </colorScale>
    </cfRule>
  </conditionalFormatting>
  <conditionalFormatting sqref="U27:Z28 P23:T34">
    <cfRule type="colorScale" priority="70">
      <colorScale>
        <cfvo type="min"/>
        <cfvo type="max"/>
        <color rgb="FFFCFCFF"/>
        <color rgb="FF63BE7B"/>
      </colorScale>
    </cfRule>
  </conditionalFormatting>
  <conditionalFormatting sqref="AC23:AK34">
    <cfRule type="colorScale" priority="67">
      <colorScale>
        <cfvo type="min"/>
        <cfvo type="max"/>
        <color rgb="FFFCFCFF"/>
        <color rgb="FF63BE7B"/>
      </colorScale>
    </cfRule>
  </conditionalFormatting>
  <conditionalFormatting sqref="AU11:AX11 AU14:AX17 AU12:AU13 AU18:AU19">
    <cfRule type="colorScale" priority="59">
      <colorScale>
        <cfvo type="min"/>
        <cfvo type="max"/>
        <color rgb="FFFCFCFF"/>
        <color rgb="FF63BE7B"/>
      </colorScale>
    </cfRule>
  </conditionalFormatting>
  <conditionalFormatting sqref="AV23:AX25 AV29:AX29 AV31:AX31 AW30:AX30">
    <cfRule type="colorScale" priority="58">
      <colorScale>
        <cfvo type="min"/>
        <cfvo type="max"/>
        <color rgb="FFFCFCFF"/>
        <color rgb="FF63BE7B"/>
      </colorScale>
    </cfRule>
  </conditionalFormatting>
  <conditionalFormatting sqref="AP34:AT34 AP33 AU24:AU25 AP24:AT29 AP23:AU23 AU29 AU31 AP31:AT32 AP30:AV3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Q33:AZ33 AU32:AZ32 AU34:AZ34">
    <cfRule type="colorScale" priority="55">
      <colorScale>
        <cfvo type="min"/>
        <cfvo type="max"/>
        <color rgb="FFFCFCFF"/>
        <color rgb="FF63BE7B"/>
      </colorScale>
    </cfRule>
  </conditionalFormatting>
  <conditionalFormatting sqref="BC23:BK34">
    <cfRule type="colorScale" priority="54">
      <colorScale>
        <cfvo type="min"/>
        <cfvo type="max"/>
        <color rgb="FFFCFCFF"/>
        <color rgb="FF63BE7B"/>
      </colorScale>
    </cfRule>
  </conditionalFormatting>
  <conditionalFormatting sqref="CD23:CL34">
    <cfRule type="colorScale" priority="41">
      <colorScale>
        <cfvo type="min"/>
        <cfvo type="max"/>
        <color rgb="FFFCFCFF"/>
        <color rgb="FF63BE7B"/>
      </colorScale>
    </cfRule>
  </conditionalFormatting>
  <conditionalFormatting sqref="BU11:BX11 BU17:BX17 BV14:BX16 BU12:BV13 BU18:BV19">
    <cfRule type="colorScale" priority="35">
      <colorScale>
        <cfvo type="min"/>
        <cfvo type="max"/>
        <color rgb="FFFCFCFF"/>
        <color rgb="FF63BE7B"/>
      </colorScale>
    </cfRule>
  </conditionalFormatting>
  <conditionalFormatting sqref="BV23:BX25 BW29:BX29 BV30:BX31 BU28 BU34 BU26 BU32">
    <cfRule type="colorScale" priority="34">
      <colorScale>
        <cfvo type="min"/>
        <cfvo type="max"/>
        <color rgb="FFFCFCFF"/>
        <color rgb="FF63BE7B"/>
      </colorScale>
    </cfRule>
  </conditionalFormatting>
  <conditionalFormatting sqref="BP34:BT34 BP33 BP27:BU27 BU24:BU25 BP24:BT26 BP23:BU23 BP28:BT32 BU29:BV29 BU30:BU31">
    <cfRule type="colorScale" priority="33">
      <colorScale>
        <cfvo type="min"/>
        <cfvo type="max"/>
        <color rgb="FFFCFCFF"/>
        <color rgb="FF63BE7B"/>
      </colorScale>
    </cfRule>
  </conditionalFormatting>
  <conditionalFormatting sqref="BQ33:BU33">
    <cfRule type="colorScale" priority="32">
      <colorScale>
        <cfvo type="min"/>
        <cfvo type="max"/>
        <color rgb="FFFCFCFF"/>
        <color rgb="FF63BE7B"/>
      </colorScale>
    </cfRule>
  </conditionalFormatting>
  <conditionalFormatting sqref="P38:AA50">
    <cfRule type="colorScale" priority="95">
      <colorScale>
        <cfvo type="min"/>
        <cfvo type="max"/>
        <color rgb="FFFCFCFF"/>
        <color rgb="FF63BE7B"/>
      </colorScale>
    </cfRule>
  </conditionalFormatting>
  <conditionalFormatting sqref="Y23:AA25 Y29:AA31 AA26:AA27 AA32:AA33">
    <cfRule type="colorScale" priority="96">
      <colorScale>
        <cfvo type="min"/>
        <cfvo type="max"/>
        <color rgb="FFFCFCFF"/>
        <color rgb="FF63BE7B"/>
      </colorScale>
    </cfRule>
  </conditionalFormatting>
  <conditionalFormatting sqref="P8:AA10 P11:T19 Y11:AA11 Y14:AA17">
    <cfRule type="colorScale" priority="97">
      <colorScale>
        <cfvo type="min"/>
        <cfvo type="max"/>
        <color rgb="FFFCFCFF"/>
        <color rgb="FF63BE7B"/>
      </colorScale>
    </cfRule>
  </conditionalFormatting>
  <conditionalFormatting sqref="P20:AA20">
    <cfRule type="colorScale" priority="100">
      <colorScale>
        <cfvo type="min"/>
        <cfvo type="max"/>
        <color rgb="FFFCFCFF"/>
        <color rgb="FF63BE7B"/>
      </colorScale>
    </cfRule>
  </conditionalFormatting>
  <conditionalFormatting sqref="P35:AA35">
    <cfRule type="colorScale" priority="101">
      <colorScale>
        <cfvo type="min"/>
        <cfvo type="max"/>
        <color rgb="FFFCFCFF"/>
        <color rgb="FF63BE7B"/>
      </colorScale>
    </cfRule>
  </conditionalFormatting>
  <conditionalFormatting sqref="AC38:AN49">
    <cfRule type="colorScale" priority="102">
      <colorScale>
        <cfvo type="min"/>
        <cfvo type="max"/>
        <color rgb="FFFCFCFF"/>
        <color rgb="FF63BE7B"/>
      </colorScale>
    </cfRule>
  </conditionalFormatting>
  <conditionalFormatting sqref="AC8:AN19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L23:AN34">
    <cfRule type="colorScale" priority="104">
      <colorScale>
        <cfvo type="min"/>
        <cfvo type="max"/>
        <color rgb="FFFCFCFF"/>
        <color rgb="FF63BE7B"/>
      </colorScale>
    </cfRule>
  </conditionalFormatting>
  <conditionalFormatting sqref="AP38:BA50">
    <cfRule type="colorScale" priority="105">
      <colorScale>
        <cfvo type="min"/>
        <cfvo type="max"/>
        <color rgb="FFFCFCFF"/>
        <color rgb="FF63BE7B"/>
      </colorScale>
    </cfRule>
  </conditionalFormatting>
  <conditionalFormatting sqref="AY23:BA25 AY29:BA31 BA32:BA34 BA26:BA28">
    <cfRule type="colorScale" priority="106">
      <colorScale>
        <cfvo type="min"/>
        <cfvo type="max"/>
        <color rgb="FFFCFCFF"/>
        <color rgb="FF63BE7B"/>
      </colorScale>
    </cfRule>
  </conditionalFormatting>
  <conditionalFormatting sqref="AP8:BA10 AP11:AT19 AY11:BA11 AY14:BA17">
    <cfRule type="colorScale" priority="110">
      <colorScale>
        <cfvo type="min"/>
        <cfvo type="max"/>
        <color rgb="FFFCFCFF"/>
        <color rgb="FF63BE7B"/>
      </colorScale>
    </cfRule>
  </conditionalFormatting>
  <conditionalFormatting sqref="AP20:BA20">
    <cfRule type="colorScale" priority="116">
      <colorScale>
        <cfvo type="min"/>
        <cfvo type="max"/>
        <color rgb="FFFCFCFF"/>
        <color rgb="FF63BE7B"/>
      </colorScale>
    </cfRule>
  </conditionalFormatting>
  <conditionalFormatting sqref="AP35:BA3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C38:BN49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C8:BN19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L23:BN3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P38:CA50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Y23:CA25 BY29:CA31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P8:CA10 BP11:BT19 BY11:CA11 BY14:CA17 BU14:BU16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P20:CA20">
    <cfRule type="colorScale" priority="135">
      <colorScale>
        <cfvo type="min"/>
        <cfvo type="max"/>
        <color rgb="FFFCFCFF"/>
        <color rgb="FF63BE7B"/>
      </colorScale>
    </cfRule>
  </conditionalFormatting>
  <conditionalFormatting sqref="BP35:CA35">
    <cfRule type="colorScale" priority="136">
      <colorScale>
        <cfvo type="min"/>
        <cfvo type="max"/>
        <color rgb="FFFCFCFF"/>
        <color rgb="FF63BE7B"/>
      </colorScale>
    </cfRule>
  </conditionalFormatting>
  <conditionalFormatting sqref="CD38:CP49">
    <cfRule type="colorScale" priority="137">
      <colorScale>
        <cfvo type="min"/>
        <cfvo type="max"/>
        <color rgb="FFFCFCFF"/>
        <color rgb="FF63BE7B"/>
      </colorScale>
    </cfRule>
  </conditionalFormatting>
  <conditionalFormatting sqref="CD8:CP19">
    <cfRule type="colorScale" priority="138">
      <colorScale>
        <cfvo type="min"/>
        <cfvo type="max"/>
        <color rgb="FFFCFCFF"/>
        <color rgb="FF63BE7B"/>
      </colorScale>
    </cfRule>
  </conditionalFormatting>
  <conditionalFormatting sqref="CM23:CP34">
    <cfRule type="colorScale" priority="139">
      <colorScale>
        <cfvo type="min"/>
        <cfvo type="max"/>
        <color rgb="FFFCFCFF"/>
        <color rgb="FF63BE7B"/>
      </colorScale>
    </cfRule>
  </conditionalFormatting>
  <conditionalFormatting sqref="CS35:DE35">
    <cfRule type="colorScale" priority="31">
      <colorScale>
        <cfvo type="min"/>
        <cfvo type="max"/>
        <color rgb="FFFCFCFF"/>
        <color rgb="FF63BE7B"/>
      </colorScale>
    </cfRule>
  </conditionalFormatting>
  <conditionalFormatting sqref="V18:AA19">
    <cfRule type="colorScale" priority="21">
      <colorScale>
        <cfvo type="min"/>
        <cfvo type="max"/>
        <color rgb="FFFCFCFF"/>
        <color rgb="FF63BE7B"/>
      </colorScale>
    </cfRule>
  </conditionalFormatting>
  <conditionalFormatting sqref="U32:Z32">
    <cfRule type="colorScale" priority="20">
      <colorScale>
        <cfvo type="min"/>
        <cfvo type="max"/>
        <color rgb="FFFCFCFF"/>
        <color rgb="FF63BE7B"/>
      </colorScale>
    </cfRule>
  </conditionalFormatting>
  <conditionalFormatting sqref="U33:Z34">
    <cfRule type="colorScale" priority="19">
      <colorScale>
        <cfvo type="min"/>
        <cfvo type="max"/>
        <color rgb="FFFCFCFF"/>
        <color rgb="FF63BE7B"/>
      </colorScale>
    </cfRule>
  </conditionalFormatting>
  <conditionalFormatting sqref="AV12:BA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V18:BA19">
    <cfRule type="colorScale" priority="16">
      <colorScale>
        <cfvo type="min"/>
        <cfvo type="max"/>
        <color rgb="FFFCFCFF"/>
        <color rgb="FF63BE7B"/>
      </colorScale>
    </cfRule>
  </conditionalFormatting>
  <conditionalFormatting sqref="AU26:AZ28">
    <cfRule type="colorScale" priority="15">
      <colorScale>
        <cfvo type="min"/>
        <cfvo type="max"/>
        <color rgb="FFFCFCFF"/>
        <color rgb="FF63BE7B"/>
      </colorScale>
    </cfRule>
  </conditionalFormatting>
  <conditionalFormatting sqref="BW12:CB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CB38:CB50">
    <cfRule type="colorScale" priority="9">
      <colorScale>
        <cfvo type="min"/>
        <cfvo type="max"/>
        <color rgb="FFFCFCFF"/>
        <color rgb="FF63BE7B"/>
      </colorScale>
    </cfRule>
  </conditionalFormatting>
  <conditionalFormatting sqref="CB23:CB34">
    <cfRule type="colorScale" priority="10">
      <colorScale>
        <cfvo type="min"/>
        <cfvo type="max"/>
        <color rgb="FFFCFCFF"/>
        <color rgb="FF63BE7B"/>
      </colorScale>
    </cfRule>
  </conditionalFormatting>
  <conditionalFormatting sqref="CB8:CB11 CB14:CB17">
    <cfRule type="colorScale" priority="11">
      <colorScale>
        <cfvo type="min"/>
        <cfvo type="max"/>
        <color rgb="FFFCFCFF"/>
        <color rgb="FF63BE7B"/>
      </colorScale>
    </cfRule>
  </conditionalFormatting>
  <conditionalFormatting sqref="CB2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B3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W18:CB19">
    <cfRule type="colorScale" priority="8">
      <colorScale>
        <cfvo type="min"/>
        <cfvo type="max"/>
        <color rgb="FFFCFCFF"/>
        <color rgb="FF63BE7B"/>
      </colorScale>
    </cfRule>
  </conditionalFormatting>
  <conditionalFormatting sqref="BV32:CA34">
    <cfRule type="colorScale" priority="7">
      <colorScale>
        <cfvo type="min"/>
        <cfvo type="max"/>
        <color rgb="FFFCFCFF"/>
        <color rgb="FF63BE7B"/>
      </colorScale>
    </cfRule>
  </conditionalFormatting>
  <conditionalFormatting sqref="BV26:CA28">
    <cfRule type="colorScale" priority="6">
      <colorScale>
        <cfvo type="min"/>
        <cfvo type="max"/>
        <color rgb="FFFCFCFF"/>
        <color rgb="FF63BE7B"/>
      </colorScale>
    </cfRule>
  </conditionalFormatting>
  <conditionalFormatting sqref="DG35:DS35">
    <cfRule type="colorScale" priority="5">
      <colorScale>
        <cfvo type="min"/>
        <cfvo type="max"/>
        <color rgb="FFFCFCFF"/>
        <color rgb="FF63BE7B"/>
      </colorScale>
    </cfRule>
  </conditionalFormatting>
  <conditionalFormatting sqref="DU35:EG35">
    <cfRule type="colorScale" priority="4">
      <colorScale>
        <cfvo type="min"/>
        <cfvo type="max"/>
        <color rgb="FFFCFCFF"/>
        <color rgb="FF63BE7B"/>
      </colorScale>
    </cfRule>
  </conditionalFormatting>
  <conditionalFormatting sqref="CS50:DE50">
    <cfRule type="colorScale" priority="3">
      <colorScale>
        <cfvo type="min"/>
        <cfvo type="max"/>
        <color rgb="FFFCFCFF"/>
        <color rgb="FF63BE7B"/>
      </colorScale>
    </cfRule>
  </conditionalFormatting>
  <conditionalFormatting sqref="DG50:DS50">
    <cfRule type="colorScale" priority="2">
      <colorScale>
        <cfvo type="min"/>
        <cfvo type="max"/>
        <color rgb="FFFCFCFF"/>
        <color rgb="FF63BE7B"/>
      </colorScale>
    </cfRule>
  </conditionalFormatting>
  <conditionalFormatting sqref="DU50:EG5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62E2-C9F1-457C-915C-1A5D87D974A1}">
  <dimension ref="A1:X35"/>
  <sheetViews>
    <sheetView tabSelected="1" workbookViewId="0">
      <selection activeCell="K23" sqref="K23"/>
    </sheetView>
  </sheetViews>
  <sheetFormatPr defaultRowHeight="15" x14ac:dyDescent="0.25"/>
  <cols>
    <col min="3" max="3" width="16.85546875" bestFit="1" customWidth="1"/>
    <col min="4" max="4" width="15.85546875" bestFit="1" customWidth="1"/>
    <col min="5" max="5" width="12" customWidth="1"/>
    <col min="10" max="10" width="11.28515625" bestFit="1" customWidth="1"/>
    <col min="16" max="16" width="16.85546875" bestFit="1" customWidth="1"/>
    <col min="17" max="17" width="12.5703125" bestFit="1" customWidth="1"/>
    <col min="19" max="19" width="13.28515625" bestFit="1" customWidth="1"/>
    <col min="20" max="20" width="15.85546875" customWidth="1"/>
    <col min="21" max="22" width="13.28515625" bestFit="1" customWidth="1"/>
  </cols>
  <sheetData>
    <row r="1" spans="1:24" x14ac:dyDescent="0.25">
      <c r="A1" t="s">
        <v>127</v>
      </c>
      <c r="B1" t="s">
        <v>128</v>
      </c>
      <c r="C1" t="s">
        <v>116</v>
      </c>
      <c r="D1" t="s">
        <v>136</v>
      </c>
    </row>
    <row r="2" spans="1:24" x14ac:dyDescent="0.25">
      <c r="A2">
        <v>99</v>
      </c>
      <c r="B2">
        <v>5</v>
      </c>
      <c r="C2" t="s">
        <v>117</v>
      </c>
      <c r="D2">
        <v>0</v>
      </c>
      <c r="V2" t="s">
        <v>99</v>
      </c>
    </row>
    <row r="3" spans="1:24" x14ac:dyDescent="0.25">
      <c r="A3">
        <v>99</v>
      </c>
      <c r="B3">
        <v>5</v>
      </c>
      <c r="C3" t="s">
        <v>118</v>
      </c>
      <c r="D3">
        <v>0</v>
      </c>
      <c r="E3">
        <f>A3/I6</f>
        <v>0.81147540983606559</v>
      </c>
      <c r="I3" t="s">
        <v>99</v>
      </c>
      <c r="J3" t="s">
        <v>137</v>
      </c>
      <c r="K3" t="s">
        <v>133</v>
      </c>
      <c r="O3" t="s">
        <v>109</v>
      </c>
      <c r="P3" t="s">
        <v>27</v>
      </c>
      <c r="Q3" t="s">
        <v>25</v>
      </c>
      <c r="S3" t="s">
        <v>133</v>
      </c>
      <c r="T3" t="s">
        <v>134</v>
      </c>
      <c r="V3" t="s">
        <v>133</v>
      </c>
      <c r="W3" t="s">
        <v>134</v>
      </c>
      <c r="X3" t="s">
        <v>135</v>
      </c>
    </row>
    <row r="4" spans="1:24" x14ac:dyDescent="0.25">
      <c r="A4">
        <v>41</v>
      </c>
      <c r="B4">
        <v>15</v>
      </c>
      <c r="C4" t="s">
        <v>119</v>
      </c>
      <c r="D4">
        <v>0</v>
      </c>
      <c r="E4">
        <f>A4/I6</f>
        <v>0.33606557377049179</v>
      </c>
      <c r="G4" t="s">
        <v>5</v>
      </c>
      <c r="H4" t="s">
        <v>22</v>
      </c>
      <c r="I4">
        <f>A12+A13+A14+A15</f>
        <v>58</v>
      </c>
      <c r="J4">
        <f>X4</f>
        <v>36</v>
      </c>
      <c r="K4" t="str">
        <f>V4</f>
        <v>9</v>
      </c>
      <c r="N4" t="s">
        <v>5</v>
      </c>
      <c r="O4" t="s">
        <v>22</v>
      </c>
      <c r="P4" s="48">
        <f>'Vers 2'!H38</f>
        <v>5716058.6312323399</v>
      </c>
      <c r="Q4" s="50">
        <f>'Vers 2'!I38</f>
        <v>4447016.3001431488</v>
      </c>
      <c r="S4" s="119">
        <f>P4/(1+2*$Q$14/(1-$Q$14))</f>
        <v>816579.80446176289</v>
      </c>
      <c r="T4" s="119">
        <f>(P4-S4)/2</f>
        <v>2449739.4133852883</v>
      </c>
      <c r="V4" t="str">
        <f>FIXED(S4*$Q$15/$Q$16,0)</f>
        <v>9</v>
      </c>
      <c r="W4" t="str">
        <f>FIXED(T4*$Q$15/$Q$16,0)</f>
        <v>27</v>
      </c>
      <c r="X4">
        <f>ROUND((S4+T4)*$Q$15/$Q$16,0)</f>
        <v>36</v>
      </c>
    </row>
    <row r="5" spans="1:24" x14ac:dyDescent="0.25">
      <c r="A5">
        <v>122</v>
      </c>
      <c r="B5">
        <v>15</v>
      </c>
      <c r="C5" t="s">
        <v>120</v>
      </c>
      <c r="D5">
        <f>E5*J6</f>
        <v>30</v>
      </c>
      <c r="E5">
        <v>1</v>
      </c>
      <c r="H5" t="s">
        <v>23</v>
      </c>
      <c r="I5">
        <f>SUM(A6:A11)+SUM(A16:A18)</f>
        <v>463</v>
      </c>
      <c r="J5">
        <f t="shared" ref="J5:J12" si="0">X5</f>
        <v>265</v>
      </c>
      <c r="K5" t="str">
        <f t="shared" ref="K5:K12" si="1">V5</f>
        <v>66</v>
      </c>
      <c r="O5" t="s">
        <v>23</v>
      </c>
      <c r="P5" s="48">
        <f>'Vers 2'!H39</f>
        <v>41541727.200945042</v>
      </c>
      <c r="Q5" s="50">
        <f>'Vers 2'!I39</f>
        <v>40724136.768097505</v>
      </c>
      <c r="S5" s="119">
        <f t="shared" ref="S5:S12" si="2">P5/(1+2*$Q$14/(1-$Q$14))</f>
        <v>5934532.4572778633</v>
      </c>
      <c r="T5" s="119">
        <f t="shared" ref="T5:T12" si="3">(P5-S5)/2</f>
        <v>17803597.371833589</v>
      </c>
      <c r="V5" t="str">
        <f t="shared" ref="V5:V12" si="4">FIXED(S5*$Q$15/$Q$16,0)</f>
        <v>66</v>
      </c>
      <c r="W5" t="str">
        <f t="shared" ref="W5:W12" si="5">FIXED(T5*$Q$15/$Q$16,0)</f>
        <v>199</v>
      </c>
      <c r="X5">
        <f>ROUND((S5+T5)*$Q$15/$Q$16,0)</f>
        <v>265</v>
      </c>
    </row>
    <row r="6" spans="1:24" x14ac:dyDescent="0.25">
      <c r="A6">
        <v>40</v>
      </c>
      <c r="B6">
        <v>15</v>
      </c>
      <c r="C6" t="s">
        <v>121</v>
      </c>
      <c r="D6">
        <f>ROUND(E6*$J$5,0)</f>
        <v>23</v>
      </c>
      <c r="E6">
        <f>A6/$I$5</f>
        <v>8.6393088552915762E-2</v>
      </c>
      <c r="H6" s="27" t="s">
        <v>21</v>
      </c>
      <c r="I6">
        <f>A5</f>
        <v>122</v>
      </c>
      <c r="J6">
        <f t="shared" si="0"/>
        <v>30</v>
      </c>
      <c r="K6" t="str">
        <f t="shared" si="1"/>
        <v>8</v>
      </c>
      <c r="O6" s="27" t="s">
        <v>21</v>
      </c>
      <c r="P6" s="48">
        <f>'Vers 2'!H40</f>
        <v>4731715.2634574072</v>
      </c>
      <c r="Q6" s="50">
        <f>'Vers 2'!I40</f>
        <v>11602801.340801064</v>
      </c>
      <c r="S6" s="119">
        <f t="shared" si="2"/>
        <v>675959.32335105818</v>
      </c>
      <c r="T6" s="119">
        <f t="shared" si="3"/>
        <v>2027877.9700531745</v>
      </c>
      <c r="U6" s="27"/>
      <c r="V6" t="str">
        <f t="shared" si="4"/>
        <v>8</v>
      </c>
      <c r="W6" t="str">
        <f t="shared" si="5"/>
        <v>23</v>
      </c>
      <c r="X6">
        <f>ROUND((S6+T6)*$Q$15/$Q$16,0)</f>
        <v>30</v>
      </c>
    </row>
    <row r="7" spans="1:24" x14ac:dyDescent="0.25">
      <c r="A7">
        <v>152</v>
      </c>
      <c r="B7">
        <v>25</v>
      </c>
      <c r="C7" t="s">
        <v>5</v>
      </c>
      <c r="D7">
        <f>ROUND(E7*$J$5,0)</f>
        <v>87</v>
      </c>
      <c r="E7">
        <f t="shared" ref="E7:E12" si="6">A7/$I$5</f>
        <v>0.3282937365010799</v>
      </c>
      <c r="H7" s="1" t="s">
        <v>9</v>
      </c>
      <c r="I7">
        <f>A3+A4</f>
        <v>140</v>
      </c>
      <c r="J7">
        <f t="shared" si="0"/>
        <v>0</v>
      </c>
      <c r="K7" t="str">
        <f t="shared" si="1"/>
        <v>0</v>
      </c>
      <c r="O7" s="1" t="s">
        <v>9</v>
      </c>
      <c r="P7" s="48">
        <f>'Vers 2'!H41</f>
        <v>0</v>
      </c>
      <c r="Q7" s="50">
        <f>'Vers 2'!I41</f>
        <v>14834500.179531109</v>
      </c>
      <c r="S7" s="119">
        <f t="shared" si="2"/>
        <v>0</v>
      </c>
      <c r="T7" s="119">
        <f t="shared" si="3"/>
        <v>0</v>
      </c>
      <c r="U7" s="1"/>
      <c r="V7" t="str">
        <f t="shared" si="4"/>
        <v>0</v>
      </c>
      <c r="W7" t="str">
        <f t="shared" si="5"/>
        <v>0</v>
      </c>
      <c r="X7">
        <f>ROUND((S7+T7)*$Q$15/$Q$16,0)</f>
        <v>0</v>
      </c>
    </row>
    <row r="8" spans="1:24" x14ac:dyDescent="0.25">
      <c r="A8">
        <v>9</v>
      </c>
      <c r="B8">
        <v>35</v>
      </c>
      <c r="C8" t="s">
        <v>122</v>
      </c>
      <c r="D8">
        <f>ROUND(E8*$J$5,0)</f>
        <v>5</v>
      </c>
      <c r="E8">
        <f t="shared" si="6"/>
        <v>1.9438444924406047E-2</v>
      </c>
      <c r="G8" t="s">
        <v>6</v>
      </c>
      <c r="H8" t="s">
        <v>22</v>
      </c>
      <c r="I8">
        <f>A29+A30+A31+A32</f>
        <v>113</v>
      </c>
      <c r="J8">
        <f t="shared" si="0"/>
        <v>42</v>
      </c>
      <c r="K8" t="str">
        <f t="shared" si="1"/>
        <v>11</v>
      </c>
      <c r="N8" t="s">
        <v>6</v>
      </c>
      <c r="O8" t="s">
        <v>22</v>
      </c>
      <c r="P8" s="48">
        <f>'Vers 2'!H44</f>
        <v>6601393.3762986325</v>
      </c>
      <c r="Q8" s="50">
        <f>'Vers 2'!I44</f>
        <v>7571946.6732167117</v>
      </c>
      <c r="S8" s="119">
        <f t="shared" si="2"/>
        <v>943056.19661409035</v>
      </c>
      <c r="T8" s="119">
        <f t="shared" si="3"/>
        <v>2829168.5898422711</v>
      </c>
      <c r="V8" t="str">
        <f t="shared" si="4"/>
        <v>11</v>
      </c>
      <c r="W8" t="str">
        <f t="shared" si="5"/>
        <v>32</v>
      </c>
      <c r="X8">
        <f>ROUND((S8+T8)*$Q$15/$Q$16,0)</f>
        <v>42</v>
      </c>
    </row>
    <row r="9" spans="1:24" x14ac:dyDescent="0.25">
      <c r="A9">
        <v>99</v>
      </c>
      <c r="B9">
        <v>35</v>
      </c>
      <c r="C9" t="s">
        <v>5</v>
      </c>
      <c r="D9">
        <f>ROUND(E9*$J$5,0)</f>
        <v>57</v>
      </c>
      <c r="E9">
        <f t="shared" si="6"/>
        <v>0.21382289416846653</v>
      </c>
      <c r="H9" t="s">
        <v>23</v>
      </c>
      <c r="I9">
        <f>SUM(A23:A28)+SUM(A33:A35)</f>
        <v>748</v>
      </c>
      <c r="J9">
        <f t="shared" si="0"/>
        <v>306</v>
      </c>
      <c r="K9" t="str">
        <f t="shared" si="1"/>
        <v>76</v>
      </c>
      <c r="O9" t="s">
        <v>23</v>
      </c>
      <c r="P9" s="48">
        <f>'Vers 2'!H45</f>
        <v>47975939.44994241</v>
      </c>
      <c r="Q9" s="50">
        <f>'Vers 2'!I45</f>
        <v>69341097.740274146</v>
      </c>
      <c r="S9" s="119">
        <f t="shared" si="2"/>
        <v>6853705.6357060587</v>
      </c>
      <c r="T9" s="119">
        <f t="shared" si="3"/>
        <v>20561116.907118175</v>
      </c>
      <c r="V9" t="str">
        <f t="shared" si="4"/>
        <v>76</v>
      </c>
      <c r="W9" t="str">
        <f t="shared" si="5"/>
        <v>229</v>
      </c>
      <c r="X9">
        <f>ROUND((S9+T9)*$Q$15/$Q$16,0)</f>
        <v>306</v>
      </c>
    </row>
    <row r="10" spans="1:24" x14ac:dyDescent="0.25">
      <c r="A10">
        <v>73</v>
      </c>
      <c r="B10">
        <v>45</v>
      </c>
      <c r="C10" t="s">
        <v>5</v>
      </c>
      <c r="D10">
        <f>ROUND(E10*$J$5,0)</f>
        <v>42</v>
      </c>
      <c r="E10">
        <f t="shared" si="6"/>
        <v>0.15766738660907129</v>
      </c>
      <c r="H10" s="27" t="s">
        <v>21</v>
      </c>
      <c r="I10">
        <f>A22</f>
        <v>217</v>
      </c>
      <c r="J10">
        <f t="shared" si="0"/>
        <v>35</v>
      </c>
      <c r="K10" t="str">
        <f t="shared" si="1"/>
        <v>9</v>
      </c>
      <c r="O10" s="27" t="s">
        <v>21</v>
      </c>
      <c r="P10" s="48">
        <f>'Vers 2'!H46</f>
        <v>5464589.4687026059</v>
      </c>
      <c r="Q10" s="50">
        <f>'Vers 2'!I46</f>
        <v>19756121.201904517</v>
      </c>
      <c r="S10" s="119">
        <f t="shared" si="2"/>
        <v>780655.63838608656</v>
      </c>
      <c r="T10" s="119">
        <f t="shared" si="3"/>
        <v>2341966.9151582597</v>
      </c>
      <c r="U10" s="27"/>
      <c r="V10" t="str">
        <f t="shared" si="4"/>
        <v>9</v>
      </c>
      <c r="W10" t="str">
        <f t="shared" si="5"/>
        <v>26</v>
      </c>
      <c r="X10">
        <f>ROUND((S10+T10)*$Q$15/$Q$16,0)</f>
        <v>35</v>
      </c>
    </row>
    <row r="11" spans="1:24" x14ac:dyDescent="0.25">
      <c r="A11">
        <v>66</v>
      </c>
      <c r="B11">
        <v>55</v>
      </c>
      <c r="C11" t="s">
        <v>5</v>
      </c>
      <c r="D11">
        <f>ROUND(E11*$J$5,0)</f>
        <v>38</v>
      </c>
      <c r="E11">
        <f t="shared" si="6"/>
        <v>0.14254859611231102</v>
      </c>
      <c r="H11" s="1" t="s">
        <v>9</v>
      </c>
      <c r="I11">
        <f>A20+A21</f>
        <v>306</v>
      </c>
      <c r="J11">
        <f t="shared" si="0"/>
        <v>0</v>
      </c>
      <c r="K11" t="str">
        <f t="shared" si="1"/>
        <v>0</v>
      </c>
      <c r="O11" s="1" t="s">
        <v>9</v>
      </c>
      <c r="P11" s="48">
        <f>'Vers 2'!H47</f>
        <v>0</v>
      </c>
      <c r="Q11" s="50">
        <f>'Vers 2'!I47</f>
        <v>25258743.548931349</v>
      </c>
      <c r="S11" s="119">
        <f t="shared" si="2"/>
        <v>0</v>
      </c>
      <c r="T11" s="119">
        <f t="shared" si="3"/>
        <v>0</v>
      </c>
      <c r="U11" s="1"/>
      <c r="V11" t="str">
        <f t="shared" si="4"/>
        <v>0</v>
      </c>
      <c r="W11" t="str">
        <f t="shared" si="5"/>
        <v>0</v>
      </c>
      <c r="X11">
        <f>ROUND((S11+T11)*$Q$15/$Q$16,0)</f>
        <v>0</v>
      </c>
    </row>
    <row r="12" spans="1:24" x14ac:dyDescent="0.25">
      <c r="A12">
        <v>20</v>
      </c>
      <c r="B12">
        <v>65</v>
      </c>
      <c r="C12" t="s">
        <v>123</v>
      </c>
      <c r="D12">
        <f>ROUND(E12*$J$4,0)</f>
        <v>12</v>
      </c>
      <c r="E12">
        <f>A12/$I$4</f>
        <v>0.34482758620689657</v>
      </c>
      <c r="G12" t="s">
        <v>54</v>
      </c>
      <c r="H12" t="s">
        <v>130</v>
      </c>
      <c r="I12">
        <f>A2+A19</f>
        <v>333</v>
      </c>
      <c r="J12">
        <f t="shared" si="0"/>
        <v>0</v>
      </c>
      <c r="K12" t="str">
        <f t="shared" si="1"/>
        <v>0</v>
      </c>
      <c r="N12" t="s">
        <v>54</v>
      </c>
      <c r="O12" t="s">
        <v>130</v>
      </c>
      <c r="Q12" s="32">
        <f>Popn!H2</f>
        <v>30526483.028257299</v>
      </c>
      <c r="S12" s="119">
        <f t="shared" si="2"/>
        <v>0</v>
      </c>
      <c r="T12" s="119">
        <f t="shared" si="3"/>
        <v>0</v>
      </c>
      <c r="V12" t="str">
        <f t="shared" si="4"/>
        <v>0</v>
      </c>
      <c r="W12" t="str">
        <f t="shared" si="5"/>
        <v>0</v>
      </c>
      <c r="X12">
        <f>ROUND((S12+T12)*$Q$15/$Q$16,0)</f>
        <v>0</v>
      </c>
    </row>
    <row r="13" spans="1:24" x14ac:dyDescent="0.25">
      <c r="A13">
        <v>15</v>
      </c>
      <c r="B13">
        <v>65</v>
      </c>
      <c r="C13" t="s">
        <v>124</v>
      </c>
      <c r="D13">
        <f>ROUND(E13*$J$4,0)</f>
        <v>9</v>
      </c>
      <c r="E13">
        <f t="shared" ref="E13:E15" si="7">A13/$I$4</f>
        <v>0.25862068965517243</v>
      </c>
      <c r="P13" s="48"/>
    </row>
    <row r="14" spans="1:24" x14ac:dyDescent="0.25">
      <c r="A14">
        <v>18</v>
      </c>
      <c r="B14">
        <v>75</v>
      </c>
      <c r="C14" t="s">
        <v>5</v>
      </c>
      <c r="D14">
        <f>ROUND(E14*$J$4,0)</f>
        <v>11</v>
      </c>
      <c r="E14">
        <f t="shared" si="7"/>
        <v>0.31034482758620691</v>
      </c>
      <c r="P14" t="s">
        <v>132</v>
      </c>
      <c r="Q14">
        <v>0.75</v>
      </c>
      <c r="R14">
        <f>T4/(S4+T4)</f>
        <v>0.75</v>
      </c>
    </row>
    <row r="15" spans="1:24" x14ac:dyDescent="0.25">
      <c r="A15">
        <v>5</v>
      </c>
      <c r="B15">
        <v>85</v>
      </c>
      <c r="C15" t="s">
        <v>5</v>
      </c>
      <c r="D15">
        <f>ROUND(E15*$J$4,0)</f>
        <v>3</v>
      </c>
      <c r="E15">
        <f t="shared" si="7"/>
        <v>8.6206896551724144E-2</v>
      </c>
      <c r="P15" t="s">
        <v>131</v>
      </c>
      <c r="Q15">
        <f>SUM(I4:I12)</f>
        <v>2500</v>
      </c>
    </row>
    <row r="16" spans="1:24" x14ac:dyDescent="0.25">
      <c r="A16">
        <v>12</v>
      </c>
      <c r="B16">
        <v>25</v>
      </c>
      <c r="C16" t="s">
        <v>125</v>
      </c>
      <c r="D16">
        <f>ROUND(E16*$J$5,0)</f>
        <v>7</v>
      </c>
      <c r="E16">
        <f>A16/$I$5</f>
        <v>2.591792656587473E-2</v>
      </c>
      <c r="P16" t="s">
        <v>129</v>
      </c>
      <c r="Q16" s="50">
        <f>SUM(Q4:Q12)</f>
        <v>224062846.78115687</v>
      </c>
    </row>
    <row r="17" spans="1:17" x14ac:dyDescent="0.25">
      <c r="A17">
        <v>8</v>
      </c>
      <c r="B17">
        <v>35</v>
      </c>
      <c r="C17" t="s">
        <v>125</v>
      </c>
      <c r="D17">
        <f>ROUND(E17*$J$5,0)</f>
        <v>5</v>
      </c>
      <c r="E17">
        <f t="shared" ref="E16:E18" si="8">A17/$I$5</f>
        <v>1.7278617710583154E-2</v>
      </c>
    </row>
    <row r="18" spans="1:17" x14ac:dyDescent="0.25">
      <c r="A18">
        <v>4</v>
      </c>
      <c r="B18">
        <v>45</v>
      </c>
      <c r="C18" t="s">
        <v>125</v>
      </c>
      <c r="D18">
        <f>ROUND(E18*$J$5,0)</f>
        <v>2</v>
      </c>
      <c r="E18">
        <f t="shared" si="8"/>
        <v>8.6393088552915772E-3</v>
      </c>
      <c r="Q18" s="38"/>
    </row>
    <row r="19" spans="1:17" x14ac:dyDescent="0.25">
      <c r="A19">
        <v>234</v>
      </c>
      <c r="B19">
        <v>5</v>
      </c>
      <c r="C19" t="s">
        <v>117</v>
      </c>
      <c r="D19">
        <v>0</v>
      </c>
    </row>
    <row r="20" spans="1:17" x14ac:dyDescent="0.25">
      <c r="A20">
        <v>234</v>
      </c>
      <c r="B20">
        <v>5</v>
      </c>
      <c r="C20" t="s">
        <v>118</v>
      </c>
      <c r="D20">
        <v>0</v>
      </c>
    </row>
    <row r="21" spans="1:17" x14ac:dyDescent="0.25">
      <c r="A21">
        <v>72</v>
      </c>
      <c r="B21">
        <v>15</v>
      </c>
      <c r="C21" t="s">
        <v>119</v>
      </c>
      <c r="D21">
        <v>0</v>
      </c>
      <c r="I21">
        <f>SUM(D:D)</f>
        <v>713</v>
      </c>
      <c r="J21">
        <f>SUM(X:X)</f>
        <v>714</v>
      </c>
    </row>
    <row r="22" spans="1:17" x14ac:dyDescent="0.25">
      <c r="A22">
        <v>217</v>
      </c>
      <c r="B22">
        <v>15</v>
      </c>
      <c r="C22" t="s">
        <v>120</v>
      </c>
      <c r="D22">
        <f>J10*E22</f>
        <v>35</v>
      </c>
      <c r="E22">
        <v>1</v>
      </c>
    </row>
    <row r="23" spans="1:17" x14ac:dyDescent="0.25">
      <c r="A23">
        <v>72</v>
      </c>
      <c r="B23">
        <v>15</v>
      </c>
      <c r="C23" t="s">
        <v>121</v>
      </c>
      <c r="D23">
        <f>ROUND(E23*$J$9,0)</f>
        <v>29</v>
      </c>
      <c r="E23">
        <f>A23/$I$9</f>
        <v>9.6256684491978606E-2</v>
      </c>
    </row>
    <row r="24" spans="1:17" x14ac:dyDescent="0.25">
      <c r="A24">
        <v>221</v>
      </c>
      <c r="B24">
        <v>25</v>
      </c>
      <c r="C24" t="s">
        <v>6</v>
      </c>
      <c r="D24">
        <f>ROUND(E24*$J$9,0)</f>
        <v>90</v>
      </c>
      <c r="E24">
        <f t="shared" ref="E24:E28" si="9">A24/$I$9</f>
        <v>0.29545454545454547</v>
      </c>
    </row>
    <row r="25" spans="1:17" x14ac:dyDescent="0.25">
      <c r="A25">
        <v>16</v>
      </c>
      <c r="B25">
        <v>35</v>
      </c>
      <c r="C25" t="s">
        <v>122</v>
      </c>
      <c r="D25">
        <f>ROUND(E25*$J$9,0)</f>
        <v>7</v>
      </c>
      <c r="E25">
        <f t="shared" si="9"/>
        <v>2.1390374331550801E-2</v>
      </c>
    </row>
    <row r="26" spans="1:17" x14ac:dyDescent="0.25">
      <c r="A26">
        <v>168</v>
      </c>
      <c r="B26">
        <v>35</v>
      </c>
      <c r="C26" t="s">
        <v>6</v>
      </c>
      <c r="D26">
        <f>ROUND(E26*$J$9,0)</f>
        <v>69</v>
      </c>
      <c r="E26">
        <f t="shared" si="9"/>
        <v>0.22459893048128343</v>
      </c>
    </row>
    <row r="27" spans="1:17" x14ac:dyDescent="0.25">
      <c r="A27">
        <v>116</v>
      </c>
      <c r="B27">
        <v>45</v>
      </c>
      <c r="C27" t="s">
        <v>6</v>
      </c>
      <c r="D27">
        <f>ROUND(E27*$J$9,0)</f>
        <v>47</v>
      </c>
      <c r="E27">
        <f t="shared" si="9"/>
        <v>0.15508021390374332</v>
      </c>
    </row>
    <row r="28" spans="1:17" x14ac:dyDescent="0.25">
      <c r="A28">
        <v>108</v>
      </c>
      <c r="B28">
        <v>55</v>
      </c>
      <c r="C28" t="s">
        <v>6</v>
      </c>
      <c r="D28">
        <f>ROUND(E28*$J$9,0)</f>
        <v>44</v>
      </c>
      <c r="E28">
        <f t="shared" si="9"/>
        <v>0.14438502673796791</v>
      </c>
    </row>
    <row r="29" spans="1:17" x14ac:dyDescent="0.25">
      <c r="A29">
        <v>41</v>
      </c>
      <c r="B29">
        <v>65</v>
      </c>
      <c r="C29" t="s">
        <v>123</v>
      </c>
      <c r="D29">
        <f>ROUND(E29*$J$8,0)</f>
        <v>15</v>
      </c>
      <c r="E29">
        <f>A29/$I$8</f>
        <v>0.36283185840707965</v>
      </c>
    </row>
    <row r="30" spans="1:17" x14ac:dyDescent="0.25">
      <c r="A30">
        <v>28</v>
      </c>
      <c r="B30">
        <v>65</v>
      </c>
      <c r="C30" t="s">
        <v>124</v>
      </c>
      <c r="D30">
        <f>ROUND(E30*$J$8,0)</f>
        <v>10</v>
      </c>
      <c r="E30">
        <f t="shared" ref="E30:E32" si="10">A30/$I$8</f>
        <v>0.24778761061946902</v>
      </c>
    </row>
    <row r="31" spans="1:17" x14ac:dyDescent="0.25">
      <c r="A31">
        <v>34</v>
      </c>
      <c r="B31">
        <v>75</v>
      </c>
      <c r="C31" t="s">
        <v>6</v>
      </c>
      <c r="D31">
        <f>ROUND(E31*$J$8,0)</f>
        <v>13</v>
      </c>
      <c r="E31">
        <f t="shared" si="10"/>
        <v>0.30088495575221241</v>
      </c>
    </row>
    <row r="32" spans="1:17" x14ac:dyDescent="0.25">
      <c r="A32">
        <v>10</v>
      </c>
      <c r="B32">
        <v>85</v>
      </c>
      <c r="C32" t="s">
        <v>6</v>
      </c>
      <c r="D32">
        <f>ROUND(E32*$J$8,0)</f>
        <v>4</v>
      </c>
      <c r="E32">
        <f t="shared" si="10"/>
        <v>8.8495575221238937E-2</v>
      </c>
    </row>
    <row r="33" spans="1:5" x14ac:dyDescent="0.25">
      <c r="A33">
        <v>24</v>
      </c>
      <c r="B33">
        <v>25</v>
      </c>
      <c r="C33" t="s">
        <v>126</v>
      </c>
      <c r="D33">
        <f>ROUND(E33*$J$9,0)</f>
        <v>10</v>
      </c>
      <c r="E33">
        <f t="shared" ref="E33" si="11">A33/$I$9</f>
        <v>3.2085561497326207E-2</v>
      </c>
    </row>
    <row r="34" spans="1:5" x14ac:dyDescent="0.25">
      <c r="A34">
        <v>15</v>
      </c>
      <c r="B34">
        <v>35</v>
      </c>
      <c r="C34" t="s">
        <v>126</v>
      </c>
      <c r="D34">
        <f>ROUND(E34*$J$9,0)</f>
        <v>6</v>
      </c>
      <c r="E34">
        <f t="shared" ref="E34:E35" si="12">A34/$I$9</f>
        <v>2.0053475935828877E-2</v>
      </c>
    </row>
    <row r="35" spans="1:5" x14ac:dyDescent="0.25">
      <c r="A35">
        <v>8</v>
      </c>
      <c r="B35">
        <v>45</v>
      </c>
      <c r="C35" t="s">
        <v>126</v>
      </c>
      <c r="D35">
        <f>ROUND(E35*$J$9,0)</f>
        <v>3</v>
      </c>
      <c r="E35">
        <f t="shared" si="12"/>
        <v>1.06951871657754E-2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C15D-9C54-421C-98EC-46D9A9F5C079}">
  <dimension ref="A1:AZ92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defaultRowHeight="15" x14ac:dyDescent="0.25"/>
  <cols>
    <col min="2" max="2" width="25.28515625" bestFit="1" customWidth="1"/>
  </cols>
  <sheetData>
    <row r="1" spans="1:52" x14ac:dyDescent="0.25">
      <c r="C1" t="s">
        <v>100</v>
      </c>
      <c r="P1" s="120" t="s">
        <v>82</v>
      </c>
      <c r="T1" t="s">
        <v>107</v>
      </c>
      <c r="AG1" s="120" t="s">
        <v>82</v>
      </c>
      <c r="AK1" t="s">
        <v>108</v>
      </c>
      <c r="AX1" s="120" t="s">
        <v>82</v>
      </c>
    </row>
    <row r="2" spans="1:52" x14ac:dyDescent="0.25">
      <c r="A2" t="s">
        <v>110</v>
      </c>
      <c r="P2" s="120"/>
      <c r="AG2" s="120"/>
      <c r="AX2" s="120"/>
    </row>
    <row r="3" spans="1:52" x14ac:dyDescent="0.25">
      <c r="B3" t="s">
        <v>11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 s="120"/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10</v>
      </c>
      <c r="AD3">
        <v>11</v>
      </c>
      <c r="AE3">
        <v>12</v>
      </c>
      <c r="AF3">
        <v>13</v>
      </c>
      <c r="AG3" s="120"/>
      <c r="AK3">
        <v>1</v>
      </c>
      <c r="AL3">
        <v>2</v>
      </c>
      <c r="AM3">
        <v>3</v>
      </c>
      <c r="AN3">
        <v>4</v>
      </c>
      <c r="AO3">
        <v>5</v>
      </c>
      <c r="AP3">
        <v>6</v>
      </c>
      <c r="AQ3">
        <v>7</v>
      </c>
      <c r="AR3">
        <v>8</v>
      </c>
      <c r="AS3">
        <v>9</v>
      </c>
      <c r="AT3">
        <v>10</v>
      </c>
      <c r="AU3">
        <v>11</v>
      </c>
      <c r="AV3">
        <v>12</v>
      </c>
      <c r="AW3">
        <v>13</v>
      </c>
      <c r="AX3" s="120"/>
    </row>
    <row r="4" spans="1:52" x14ac:dyDescent="0.25">
      <c r="A4" t="s">
        <v>5</v>
      </c>
      <c r="B4" t="s">
        <v>101</v>
      </c>
      <c r="C4">
        <f>ROUND(Q4/5,0)</f>
        <v>2</v>
      </c>
      <c r="D4">
        <f>ROUND(Q4/5,0)</f>
        <v>2</v>
      </c>
      <c r="E4">
        <f>ROUND(Q4/5,0)</f>
        <v>2</v>
      </c>
      <c r="F4">
        <f>ROUND(Q4/5,0)</f>
        <v>2</v>
      </c>
      <c r="G4">
        <f>Q4-SUM(C4:F4)</f>
        <v>0</v>
      </c>
      <c r="O4">
        <v>0</v>
      </c>
      <c r="P4" s="120">
        <f>SUM(C4:O4)-Q4</f>
        <v>0</v>
      </c>
      <c r="Q4" t="str">
        <f>FIXED(R4,0)</f>
        <v>8</v>
      </c>
      <c r="R4">
        <v>7.8056640642171704</v>
      </c>
      <c r="T4">
        <f>ROUND(AH4/5,0)</f>
        <v>2</v>
      </c>
      <c r="U4">
        <f>ROUND(AH4/5,0)</f>
        <v>2</v>
      </c>
      <c r="V4">
        <f>ROUND(AH4/5,0)</f>
        <v>2</v>
      </c>
      <c r="W4">
        <f>ROUND(AH4/5,0)</f>
        <v>2</v>
      </c>
      <c r="X4">
        <f>AH4-SUM(T4:W4)</f>
        <v>2</v>
      </c>
      <c r="AF4">
        <v>0</v>
      </c>
      <c r="AG4" s="120">
        <f>SUM(T4:AF4)-AH4</f>
        <v>0</v>
      </c>
      <c r="AH4" t="str">
        <f>FIXED(AI4,0)</f>
        <v>10</v>
      </c>
      <c r="AI4">
        <v>10.286561926149718</v>
      </c>
      <c r="AK4">
        <f>ROUND(AY4/6,0)</f>
        <v>2</v>
      </c>
      <c r="AL4">
        <f>ROUND(AY4/6,0)</f>
        <v>2</v>
      </c>
      <c r="AM4">
        <f>ROUND(AY4/6,0)</f>
        <v>2</v>
      </c>
      <c r="AN4">
        <f>ROUND(AY4/6,0)</f>
        <v>2</v>
      </c>
      <c r="AO4">
        <f>ROUND(AZ4/6,0)</f>
        <v>2</v>
      </c>
      <c r="AP4">
        <f>AY4-SUM(AK4:AO4)</f>
        <v>3</v>
      </c>
      <c r="AX4" s="120">
        <f>SUM(AK4:AW4)-AY4</f>
        <v>0</v>
      </c>
      <c r="AY4" t="str">
        <f>FIXED(AZ4,0)</f>
        <v>13</v>
      </c>
      <c r="AZ4">
        <v>12.767459788082274</v>
      </c>
    </row>
    <row r="5" spans="1:52" x14ac:dyDescent="0.25">
      <c r="B5" t="s">
        <v>102</v>
      </c>
      <c r="C5">
        <f t="shared" ref="C5:C6" si="0">ROUND(Q5/5,0)</f>
        <v>26</v>
      </c>
      <c r="D5">
        <f t="shared" ref="D5:D6" si="1">ROUND(Q5/5,0)</f>
        <v>26</v>
      </c>
      <c r="E5">
        <f t="shared" ref="E5:E6" si="2">ROUND(Q5/5,0)</f>
        <v>26</v>
      </c>
      <c r="F5">
        <f t="shared" ref="F5:F6" si="3">ROUND(Q5/5,0)</f>
        <v>26</v>
      </c>
      <c r="G5">
        <f t="shared" ref="G5:G6" si="4">Q5-SUM(C5:F5)</f>
        <v>28</v>
      </c>
      <c r="O5">
        <v>0</v>
      </c>
      <c r="P5" s="120">
        <f t="shared" ref="P5:P12" si="5">SUM(C5:O5)-Q5</f>
        <v>0</v>
      </c>
      <c r="Q5" t="str">
        <f>FIXED(R5,0)</f>
        <v>132</v>
      </c>
      <c r="R5">
        <v>131.75372427472149</v>
      </c>
      <c r="T5">
        <f t="shared" ref="T5:T6" si="6">ROUND(AH5/5,0)</f>
        <v>31</v>
      </c>
      <c r="U5">
        <f t="shared" ref="U5:U6" si="7">ROUND(AH5/5,0)</f>
        <v>31</v>
      </c>
      <c r="V5">
        <f t="shared" ref="V5:V6" si="8">ROUND(AH5/5,0)</f>
        <v>31</v>
      </c>
      <c r="W5">
        <f t="shared" ref="W5:W6" si="9">ROUND(AH5/5,0)</f>
        <v>31</v>
      </c>
      <c r="X5">
        <f t="shared" ref="X5:X6" si="10">AH5-SUM(T5:W5)</f>
        <v>30</v>
      </c>
      <c r="AF5">
        <v>0</v>
      </c>
      <c r="AG5" s="120">
        <f t="shared" ref="AG5:AG16" si="11">SUM(T5:AF5)-AH5</f>
        <v>0</v>
      </c>
      <c r="AH5" t="str">
        <f t="shared" ref="AH5:AH16" si="12">FIXED(AI5,0)</f>
        <v>154</v>
      </c>
      <c r="AI5">
        <v>154.47287280443786</v>
      </c>
      <c r="AK5">
        <f t="shared" ref="AK5:AK6" si="13">ROUND(AY5/6,0)</f>
        <v>30</v>
      </c>
      <c r="AL5">
        <f t="shared" ref="AL5:AL6" si="14">ROUND(AY5/6,0)</f>
        <v>30</v>
      </c>
      <c r="AM5">
        <f t="shared" ref="AM5:AM6" si="15">ROUND(AY5/6,0)</f>
        <v>30</v>
      </c>
      <c r="AN5">
        <f t="shared" ref="AN5:AN6" si="16">ROUND(AY5/6,0)</f>
        <v>30</v>
      </c>
      <c r="AO5">
        <f t="shared" ref="AO5:AO6" si="17">ROUND(AZ5/6,0)</f>
        <v>30</v>
      </c>
      <c r="AP5">
        <f t="shared" ref="AP5:AP6" si="18">AY5-SUM(AK5:AO5)</f>
        <v>27</v>
      </c>
      <c r="AX5" s="120">
        <f t="shared" ref="AX5:AX12" si="19">SUM(AK5:AW5)-AY5</f>
        <v>0</v>
      </c>
      <c r="AY5" t="str">
        <f t="shared" ref="AY5:AY16" si="20">FIXED(AZ5,0)</f>
        <v>177</v>
      </c>
      <c r="AZ5">
        <v>177.19202133415425</v>
      </c>
    </row>
    <row r="6" spans="1:52" x14ac:dyDescent="0.25">
      <c r="B6" t="s">
        <v>103</v>
      </c>
      <c r="C6">
        <f t="shared" si="0"/>
        <v>15</v>
      </c>
      <c r="D6">
        <f t="shared" si="1"/>
        <v>15</v>
      </c>
      <c r="E6">
        <f t="shared" si="2"/>
        <v>15</v>
      </c>
      <c r="F6">
        <f t="shared" si="3"/>
        <v>15</v>
      </c>
      <c r="G6">
        <f t="shared" si="4"/>
        <v>17</v>
      </c>
      <c r="O6">
        <v>0</v>
      </c>
      <c r="P6" s="120">
        <f t="shared" si="5"/>
        <v>0</v>
      </c>
      <c r="Q6" t="str">
        <f t="shared" ref="Q5:Q16" si="21">FIXED(R6,0)</f>
        <v>77</v>
      </c>
      <c r="R6">
        <v>77.170128161267741</v>
      </c>
      <c r="T6">
        <f t="shared" si="6"/>
        <v>17</v>
      </c>
      <c r="U6">
        <f t="shared" si="7"/>
        <v>17</v>
      </c>
      <c r="V6">
        <f t="shared" si="8"/>
        <v>17</v>
      </c>
      <c r="W6">
        <f t="shared" si="9"/>
        <v>17</v>
      </c>
      <c r="X6">
        <f t="shared" si="10"/>
        <v>16</v>
      </c>
      <c r="AF6">
        <v>0</v>
      </c>
      <c r="AG6" s="120">
        <f t="shared" si="11"/>
        <v>0</v>
      </c>
      <c r="AH6" t="str">
        <f t="shared" si="12"/>
        <v>84</v>
      </c>
      <c r="AI6">
        <v>83.643089602379362</v>
      </c>
      <c r="AK6">
        <f t="shared" si="13"/>
        <v>15</v>
      </c>
      <c r="AL6">
        <f t="shared" si="14"/>
        <v>15</v>
      </c>
      <c r="AM6">
        <f t="shared" si="15"/>
        <v>15</v>
      </c>
      <c r="AN6">
        <f t="shared" si="16"/>
        <v>15</v>
      </c>
      <c r="AO6">
        <f t="shared" si="17"/>
        <v>15</v>
      </c>
      <c r="AP6">
        <f t="shared" si="18"/>
        <v>15</v>
      </c>
      <c r="AX6" s="120">
        <f t="shared" si="19"/>
        <v>0</v>
      </c>
      <c r="AY6" t="str">
        <f t="shared" si="20"/>
        <v>90</v>
      </c>
      <c r="AZ6">
        <v>90.116051043490998</v>
      </c>
    </row>
    <row r="7" spans="1:52" x14ac:dyDescent="0.25">
      <c r="B7" t="s">
        <v>104</v>
      </c>
      <c r="C7">
        <v>0</v>
      </c>
      <c r="D7">
        <v>0</v>
      </c>
      <c r="E7">
        <v>0</v>
      </c>
      <c r="F7">
        <v>0</v>
      </c>
      <c r="G7">
        <v>0</v>
      </c>
      <c r="O7">
        <v>0</v>
      </c>
      <c r="P7" s="120"/>
      <c r="Q7" t="str">
        <f t="shared" si="21"/>
        <v>99</v>
      </c>
      <c r="R7">
        <v>99.310307750530541</v>
      </c>
      <c r="T7">
        <v>0</v>
      </c>
      <c r="U7">
        <v>0</v>
      </c>
      <c r="V7">
        <v>0</v>
      </c>
      <c r="W7">
        <v>0</v>
      </c>
      <c r="X7">
        <v>0</v>
      </c>
      <c r="AF7">
        <v>0</v>
      </c>
      <c r="AG7" s="120"/>
      <c r="AH7" t="str">
        <f t="shared" si="12"/>
        <v>116</v>
      </c>
      <c r="AI7">
        <v>115.86202570895232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X7" s="120"/>
      <c r="AY7" t="str">
        <f t="shared" si="20"/>
        <v>132</v>
      </c>
      <c r="AZ7">
        <v>132.41374366737406</v>
      </c>
    </row>
    <row r="8" spans="1:52" x14ac:dyDescent="0.25">
      <c r="B8" t="s">
        <v>105</v>
      </c>
      <c r="C8">
        <v>0</v>
      </c>
      <c r="D8">
        <v>0</v>
      </c>
      <c r="E8">
        <v>0</v>
      </c>
      <c r="F8">
        <v>0</v>
      </c>
      <c r="G8">
        <v>0</v>
      </c>
      <c r="O8">
        <v>0</v>
      </c>
      <c r="P8" s="120"/>
      <c r="Q8" t="str">
        <f t="shared" si="21"/>
        <v>32</v>
      </c>
      <c r="R8">
        <v>31.755492632736697</v>
      </c>
      <c r="T8">
        <v>0</v>
      </c>
      <c r="U8">
        <v>0</v>
      </c>
      <c r="V8">
        <v>0</v>
      </c>
      <c r="W8">
        <v>0</v>
      </c>
      <c r="X8">
        <v>0</v>
      </c>
      <c r="AF8">
        <v>0</v>
      </c>
      <c r="AG8" s="120"/>
      <c r="AH8" t="str">
        <f t="shared" si="12"/>
        <v>34</v>
      </c>
      <c r="AI8">
        <v>33.740210922282735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X8" s="120"/>
      <c r="AY8" t="str">
        <f t="shared" si="20"/>
        <v>36</v>
      </c>
      <c r="AZ8">
        <v>35.72492921182878</v>
      </c>
    </row>
    <row r="9" spans="1:52" x14ac:dyDescent="0.25">
      <c r="B9" t="s">
        <v>106</v>
      </c>
      <c r="C9">
        <v>0</v>
      </c>
      <c r="D9">
        <v>0</v>
      </c>
      <c r="E9">
        <v>0</v>
      </c>
      <c r="F9">
        <v>0</v>
      </c>
      <c r="G9">
        <v>0</v>
      </c>
      <c r="O9">
        <v>0</v>
      </c>
      <c r="P9" s="120"/>
      <c r="Q9" t="str">
        <f t="shared" si="21"/>
        <v>212</v>
      </c>
      <c r="R9">
        <v>211.92529207529907</v>
      </c>
      <c r="T9">
        <v>0</v>
      </c>
      <c r="U9">
        <v>0</v>
      </c>
      <c r="V9">
        <v>0</v>
      </c>
      <c r="W9">
        <v>0</v>
      </c>
      <c r="X9">
        <v>0</v>
      </c>
      <c r="AF9">
        <v>0</v>
      </c>
      <c r="AG9" s="120"/>
      <c r="AH9" t="str">
        <f t="shared" si="12"/>
        <v>250</v>
      </c>
      <c r="AI9">
        <v>249.8205631753398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X9" s="120"/>
      <c r="AY9" t="str">
        <f t="shared" si="20"/>
        <v>288</v>
      </c>
      <c r="AZ9">
        <v>287.7158342753807</v>
      </c>
    </row>
    <row r="10" spans="1:52" x14ac:dyDescent="0.25">
      <c r="A10" t="s">
        <v>6</v>
      </c>
      <c r="B10" t="s">
        <v>101</v>
      </c>
      <c r="C10">
        <f>ROUND(Q10/5,0)</f>
        <v>6</v>
      </c>
      <c r="D10">
        <f>ROUND(Q10/5,0)</f>
        <v>6</v>
      </c>
      <c r="E10">
        <f>ROUND(Q10/5,0)</f>
        <v>6</v>
      </c>
      <c r="F10">
        <f>ROUND(Q10/5,0)</f>
        <v>6</v>
      </c>
      <c r="G10">
        <f>Q10-SUM(C10:F10)</f>
        <v>7</v>
      </c>
      <c r="O10">
        <v>0</v>
      </c>
      <c r="P10" s="120">
        <f t="shared" si="5"/>
        <v>0</v>
      </c>
      <c r="Q10" t="str">
        <f t="shared" si="21"/>
        <v>31</v>
      </c>
      <c r="R10">
        <v>30.759903862114758</v>
      </c>
      <c r="T10">
        <f>ROUND(AH10/5,0)</f>
        <v>7</v>
      </c>
      <c r="U10">
        <f>ROUND(AH10/5,0)</f>
        <v>7</v>
      </c>
      <c r="V10">
        <f>ROUND(AH10/5,0)</f>
        <v>7</v>
      </c>
      <c r="W10">
        <f>ROUND(AH10/5,0)</f>
        <v>7</v>
      </c>
      <c r="X10">
        <f>AH10-SUM(T10:W10)</f>
        <v>7</v>
      </c>
      <c r="AF10">
        <v>0</v>
      </c>
      <c r="AG10" s="120">
        <f t="shared" si="11"/>
        <v>0</v>
      </c>
      <c r="AH10" t="str">
        <f t="shared" si="12"/>
        <v>35</v>
      </c>
      <c r="AI10">
        <v>34.984135356756667</v>
      </c>
      <c r="AK10">
        <f>ROUND(AY10/6,0)</f>
        <v>7</v>
      </c>
      <c r="AL10">
        <f>ROUND(AY10/6,0)</f>
        <v>7</v>
      </c>
      <c r="AM10">
        <f>ROUND(AY10/6,0)</f>
        <v>7</v>
      </c>
      <c r="AN10">
        <f>ROUND(AY10/6,0)</f>
        <v>7</v>
      </c>
      <c r="AO10">
        <f>ROUND(AZ10/6,0)</f>
        <v>7</v>
      </c>
      <c r="AP10">
        <f>AY10-SUM(AK10:AO10)</f>
        <v>4</v>
      </c>
      <c r="AX10" s="120">
        <f t="shared" si="19"/>
        <v>0</v>
      </c>
      <c r="AY10" t="str">
        <f t="shared" si="20"/>
        <v>39</v>
      </c>
      <c r="AZ10">
        <v>39.208366851398587</v>
      </c>
    </row>
    <row r="11" spans="1:52" x14ac:dyDescent="0.25">
      <c r="B11" t="s">
        <v>102</v>
      </c>
      <c r="C11">
        <f t="shared" ref="C11:C12" si="22">ROUND(Q11/5,0)</f>
        <v>70</v>
      </c>
      <c r="D11">
        <f t="shared" ref="D11:D12" si="23">ROUND(Q11/5,0)</f>
        <v>70</v>
      </c>
      <c r="E11">
        <f t="shared" ref="E11:E12" si="24">ROUND(Q11/5,0)</f>
        <v>70</v>
      </c>
      <c r="F11">
        <f t="shared" ref="F11:F12" si="25">ROUND(Q11/5,0)</f>
        <v>70</v>
      </c>
      <c r="G11">
        <f t="shared" ref="G11:G12" si="26">Q11-SUM(C11:F11)</f>
        <v>71</v>
      </c>
      <c r="O11">
        <v>0</v>
      </c>
      <c r="P11" s="120">
        <f t="shared" si="5"/>
        <v>0</v>
      </c>
      <c r="Q11" t="str">
        <f t="shared" si="21"/>
        <v>351</v>
      </c>
      <c r="R11">
        <v>351.29550614430474</v>
      </c>
      <c r="T11">
        <f t="shared" ref="T11:T12" si="27">ROUND(AH11/5,0)</f>
        <v>78</v>
      </c>
      <c r="U11">
        <f t="shared" ref="U11:U12" si="28">ROUND(AH11/5,0)</f>
        <v>78</v>
      </c>
      <c r="V11">
        <f t="shared" ref="V11:V12" si="29">ROUND(AH11/5,0)</f>
        <v>78</v>
      </c>
      <c r="W11">
        <f t="shared" ref="W11:W12" si="30">ROUND(AH11/5,0)</f>
        <v>78</v>
      </c>
      <c r="X11">
        <f t="shared" ref="X11:X12" si="31">AH11-SUM(T11:W11)</f>
        <v>78</v>
      </c>
      <c r="AF11">
        <v>0</v>
      </c>
      <c r="AG11" s="120">
        <f t="shared" si="11"/>
        <v>0</v>
      </c>
      <c r="AH11" t="str">
        <f t="shared" si="12"/>
        <v>390</v>
      </c>
      <c r="AI11">
        <v>389.97946174895685</v>
      </c>
      <c r="AK11">
        <f t="shared" ref="AK11:AK12" si="32">ROUND(AY11/6,0)</f>
        <v>72</v>
      </c>
      <c r="AL11">
        <f t="shared" ref="AL11:AL12" si="33">ROUND(AY11/6,0)</f>
        <v>72</v>
      </c>
      <c r="AM11">
        <f t="shared" ref="AM11:AM12" si="34">ROUND(AY11/6,0)</f>
        <v>72</v>
      </c>
      <c r="AN11">
        <f t="shared" ref="AN11:AN12" si="35">ROUND(AY11/6,0)</f>
        <v>72</v>
      </c>
      <c r="AO11">
        <f t="shared" ref="AO11:AO12" si="36">ROUND(AZ11/6,0)</f>
        <v>71</v>
      </c>
      <c r="AP11">
        <f t="shared" ref="AP11:AP12" si="37">AY11-SUM(AK11:AO11)</f>
        <v>70</v>
      </c>
      <c r="AX11" s="120">
        <f t="shared" si="19"/>
        <v>0</v>
      </c>
      <c r="AY11" t="str">
        <f t="shared" si="20"/>
        <v>429</v>
      </c>
      <c r="AZ11">
        <v>428.66341735360908</v>
      </c>
    </row>
    <row r="12" spans="1:52" x14ac:dyDescent="0.25">
      <c r="B12" t="s">
        <v>103</v>
      </c>
      <c r="C12">
        <f t="shared" si="22"/>
        <v>29</v>
      </c>
      <c r="D12">
        <f t="shared" si="23"/>
        <v>29</v>
      </c>
      <c r="E12">
        <f t="shared" si="24"/>
        <v>29</v>
      </c>
      <c r="F12">
        <f t="shared" si="25"/>
        <v>29</v>
      </c>
      <c r="G12">
        <f t="shared" si="26"/>
        <v>30</v>
      </c>
      <c r="O12">
        <v>0</v>
      </c>
      <c r="P12" s="120">
        <f t="shared" si="5"/>
        <v>0</v>
      </c>
      <c r="Q12" t="str">
        <f t="shared" si="21"/>
        <v>146</v>
      </c>
      <c r="R12">
        <v>145.85865545058857</v>
      </c>
      <c r="T12">
        <f t="shared" si="27"/>
        <v>31</v>
      </c>
      <c r="U12">
        <f t="shared" si="28"/>
        <v>31</v>
      </c>
      <c r="V12">
        <f t="shared" si="29"/>
        <v>31</v>
      </c>
      <c r="W12">
        <f t="shared" si="30"/>
        <v>31</v>
      </c>
      <c r="X12">
        <f t="shared" si="31"/>
        <v>33</v>
      </c>
      <c r="AF12">
        <v>0</v>
      </c>
      <c r="AG12" s="120">
        <f t="shared" si="11"/>
        <v>0</v>
      </c>
      <c r="AH12" t="str">
        <f t="shared" si="12"/>
        <v>157</v>
      </c>
      <c r="AI12">
        <v>156.88018439085974</v>
      </c>
      <c r="AK12">
        <f t="shared" si="32"/>
        <v>28</v>
      </c>
      <c r="AL12">
        <f t="shared" si="33"/>
        <v>28</v>
      </c>
      <c r="AM12">
        <f t="shared" si="34"/>
        <v>28</v>
      </c>
      <c r="AN12">
        <f t="shared" si="35"/>
        <v>28</v>
      </c>
      <c r="AO12">
        <f t="shared" si="36"/>
        <v>28</v>
      </c>
      <c r="AP12">
        <f t="shared" si="37"/>
        <v>28</v>
      </c>
      <c r="AX12" s="120">
        <f t="shared" si="19"/>
        <v>0</v>
      </c>
      <c r="AY12" t="str">
        <f t="shared" si="20"/>
        <v>168</v>
      </c>
      <c r="AZ12">
        <v>167.90171333113091</v>
      </c>
    </row>
    <row r="13" spans="1:52" x14ac:dyDescent="0.25">
      <c r="B13" t="s">
        <v>104</v>
      </c>
      <c r="C13">
        <v>0</v>
      </c>
      <c r="D13">
        <v>0</v>
      </c>
      <c r="E13">
        <v>0</v>
      </c>
      <c r="F13">
        <v>0</v>
      </c>
      <c r="G13">
        <v>0</v>
      </c>
      <c r="O13">
        <v>0</v>
      </c>
      <c r="P13" s="120"/>
      <c r="Q13" t="str">
        <f t="shared" si="21"/>
        <v>169</v>
      </c>
      <c r="R13">
        <v>169.09592941306553</v>
      </c>
      <c r="T13">
        <v>0</v>
      </c>
      <c r="U13">
        <v>0</v>
      </c>
      <c r="V13">
        <v>0</v>
      </c>
      <c r="W13">
        <v>0</v>
      </c>
      <c r="X13">
        <v>0</v>
      </c>
      <c r="AF13">
        <v>0</v>
      </c>
      <c r="AG13" s="120"/>
      <c r="AH13" t="str">
        <f t="shared" si="12"/>
        <v>197</v>
      </c>
      <c r="AI13">
        <v>197.27858431524311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X13" s="120"/>
      <c r="AY13" t="str">
        <f t="shared" si="20"/>
        <v>225</v>
      </c>
      <c r="AZ13">
        <v>225.46123921742077</v>
      </c>
    </row>
    <row r="14" spans="1:52" x14ac:dyDescent="0.25">
      <c r="B14" t="s">
        <v>105</v>
      </c>
      <c r="C14">
        <v>0</v>
      </c>
      <c r="D14">
        <v>0</v>
      </c>
      <c r="E14">
        <v>0</v>
      </c>
      <c r="F14">
        <v>0</v>
      </c>
      <c r="G14">
        <v>0</v>
      </c>
      <c r="O14">
        <v>0</v>
      </c>
      <c r="P14" s="120"/>
      <c r="Q14" t="str">
        <f t="shared" si="21"/>
        <v>54</v>
      </c>
      <c r="R14">
        <v>54.070163131416543</v>
      </c>
      <c r="T14">
        <v>0</v>
      </c>
      <c r="U14">
        <v>0</v>
      </c>
      <c r="V14">
        <v>0</v>
      </c>
      <c r="W14">
        <v>0</v>
      </c>
      <c r="X14">
        <v>0</v>
      </c>
      <c r="AF14">
        <v>0</v>
      </c>
      <c r="AG14" s="120"/>
      <c r="AH14" t="str">
        <f t="shared" si="12"/>
        <v>57</v>
      </c>
      <c r="AI14">
        <v>57.449548327130067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X14" s="120"/>
      <c r="AY14" t="str">
        <f t="shared" si="20"/>
        <v>61</v>
      </c>
      <c r="AZ14">
        <v>60.828933522843599</v>
      </c>
    </row>
    <row r="15" spans="1:52" x14ac:dyDescent="0.25">
      <c r="B15" t="s">
        <v>106</v>
      </c>
      <c r="C15">
        <v>0</v>
      </c>
      <c r="D15">
        <v>0</v>
      </c>
      <c r="E15">
        <v>0</v>
      </c>
      <c r="F15">
        <v>0</v>
      </c>
      <c r="G15">
        <v>0</v>
      </c>
      <c r="O15">
        <v>0</v>
      </c>
      <c r="P15" s="120"/>
      <c r="Q15" t="str">
        <f t="shared" si="21"/>
        <v>361</v>
      </c>
      <c r="R15">
        <v>360.84576758767145</v>
      </c>
      <c r="T15">
        <v>0</v>
      </c>
      <c r="U15">
        <v>0</v>
      </c>
      <c r="V15">
        <v>0</v>
      </c>
      <c r="W15">
        <v>0</v>
      </c>
      <c r="X15">
        <v>0</v>
      </c>
      <c r="AF15">
        <v>0</v>
      </c>
      <c r="AG15" s="120"/>
      <c r="AH15" t="str">
        <f t="shared" si="12"/>
        <v>425</v>
      </c>
      <c r="AI15">
        <v>425.3701481093625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X15" s="120"/>
      <c r="AY15" t="str">
        <f t="shared" si="20"/>
        <v>490</v>
      </c>
      <c r="AZ15">
        <v>489.89452863105367</v>
      </c>
    </row>
    <row r="16" spans="1:52" x14ac:dyDescent="0.25">
      <c r="P16" s="120"/>
      <c r="Q16" t="str">
        <f t="shared" si="21"/>
        <v>1,672</v>
      </c>
      <c r="R16">
        <v>1671.6465345479337</v>
      </c>
      <c r="AG16" s="120">
        <f t="shared" si="11"/>
        <v>-1910</v>
      </c>
      <c r="AH16" t="str">
        <f t="shared" si="12"/>
        <v>1,910</v>
      </c>
      <c r="AI16">
        <v>1909.7673863878508</v>
      </c>
      <c r="AX16" s="120"/>
      <c r="AY16" t="str">
        <f t="shared" si="20"/>
        <v>2,148</v>
      </c>
      <c r="AZ16">
        <v>2147.888238227767</v>
      </c>
    </row>
    <row r="17" spans="1:52" x14ac:dyDescent="0.25">
      <c r="A17" t="s">
        <v>112</v>
      </c>
      <c r="P17" s="120"/>
      <c r="AG17" s="120"/>
      <c r="AX17" s="120"/>
    </row>
    <row r="18" spans="1:52" x14ac:dyDescent="0.25">
      <c r="B18" t="s">
        <v>11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</v>
      </c>
      <c r="P18" s="120"/>
      <c r="T18">
        <v>1</v>
      </c>
      <c r="U18">
        <v>2</v>
      </c>
      <c r="V18">
        <v>3</v>
      </c>
      <c r="W18">
        <v>4</v>
      </c>
      <c r="X18">
        <v>5</v>
      </c>
      <c r="Y18">
        <v>6</v>
      </c>
      <c r="Z18">
        <v>7</v>
      </c>
      <c r="AA18">
        <v>8</v>
      </c>
      <c r="AB18">
        <v>9</v>
      </c>
      <c r="AC18">
        <v>10</v>
      </c>
      <c r="AD18">
        <v>11</v>
      </c>
      <c r="AE18">
        <v>12</v>
      </c>
      <c r="AF18">
        <v>13</v>
      </c>
      <c r="AG18" s="120"/>
      <c r="AK18">
        <v>1</v>
      </c>
      <c r="AL18">
        <v>2</v>
      </c>
      <c r="AM18">
        <v>3</v>
      </c>
      <c r="AN18">
        <v>4</v>
      </c>
      <c r="AO18">
        <v>4</v>
      </c>
      <c r="AP18">
        <v>6</v>
      </c>
      <c r="AQ18">
        <v>7</v>
      </c>
      <c r="AR18">
        <v>8</v>
      </c>
      <c r="AX18" s="120"/>
    </row>
    <row r="19" spans="1:52" x14ac:dyDescent="0.25">
      <c r="A19" t="s">
        <v>5</v>
      </c>
      <c r="B19" t="s">
        <v>101</v>
      </c>
      <c r="C19">
        <f>ROUND(Q19/5,0)</f>
        <v>2</v>
      </c>
      <c r="D19">
        <f>ROUND(Q19/5,0)</f>
        <v>2</v>
      </c>
      <c r="E19">
        <f>ROUND(Q19/5,0)</f>
        <v>2</v>
      </c>
      <c r="F19">
        <f>ROUND(Q19/5,0)</f>
        <v>2</v>
      </c>
      <c r="G19">
        <f>Q19-SUM(C19:F19)</f>
        <v>0</v>
      </c>
      <c r="H19">
        <v>0</v>
      </c>
      <c r="I19">
        <v>0</v>
      </c>
      <c r="O19">
        <v>0</v>
      </c>
      <c r="P19" s="120">
        <f t="shared" ref="P19:P82" si="38">SUM(C19:O19)-Q19</f>
        <v>0</v>
      </c>
      <c r="Q19" t="str">
        <f>FIXED(R19,0)</f>
        <v>8</v>
      </c>
      <c r="R19">
        <v>7.8056640642171677</v>
      </c>
      <c r="T19">
        <f>ROUND(AH19/5,0)</f>
        <v>2</v>
      </c>
      <c r="U19">
        <f>ROUND(AH19/5,0)</f>
        <v>2</v>
      </c>
      <c r="V19">
        <f>ROUND(AH19/5,0)</f>
        <v>2</v>
      </c>
      <c r="W19">
        <f>ROUND(AH19/5,0)</f>
        <v>2</v>
      </c>
      <c r="X19">
        <f>AH19-SUM(T19:W19)</f>
        <v>2</v>
      </c>
      <c r="Y19">
        <v>0</v>
      </c>
      <c r="Z19">
        <v>0</v>
      </c>
      <c r="AF19">
        <v>0</v>
      </c>
      <c r="AG19" s="120">
        <f t="shared" ref="AG19:AG82" si="39">SUM(T19:AF19)-AH19</f>
        <v>0</v>
      </c>
      <c r="AH19" t="str">
        <f>FIXED(AI19,0)</f>
        <v>10</v>
      </c>
      <c r="AI19">
        <v>10.286561926149718</v>
      </c>
      <c r="AK19">
        <f>ROUND(AY19/6,0)</f>
        <v>2</v>
      </c>
      <c r="AL19">
        <f>ROUND(AY19/6,0)</f>
        <v>2</v>
      </c>
      <c r="AM19">
        <f>ROUND(AY19/6,0)</f>
        <v>2</v>
      </c>
      <c r="AN19">
        <f>ROUND(AY19/6,0)</f>
        <v>2</v>
      </c>
      <c r="AO19">
        <f>ROUND(AZ19/6,0)</f>
        <v>2</v>
      </c>
      <c r="AP19">
        <f>AY19-SUM(AK19:AO19)</f>
        <v>3</v>
      </c>
      <c r="AQ19">
        <v>0</v>
      </c>
      <c r="AR19">
        <v>0</v>
      </c>
      <c r="AX19" s="120">
        <f t="shared" ref="AX19:AX82" si="40">SUM(AK19:AW19)-AY19</f>
        <v>0</v>
      </c>
      <c r="AY19" t="str">
        <f>FIXED(AZ19,0)</f>
        <v>13</v>
      </c>
      <c r="AZ19">
        <v>12.767459788082274</v>
      </c>
    </row>
    <row r="20" spans="1:52" x14ac:dyDescent="0.25">
      <c r="B20" t="s">
        <v>102</v>
      </c>
      <c r="C20">
        <f t="shared" ref="C20:C21" si="41">ROUND(Q20/5,0)</f>
        <v>26</v>
      </c>
      <c r="D20">
        <f t="shared" ref="D20:D21" si="42">ROUND(Q20/5,0)</f>
        <v>26</v>
      </c>
      <c r="E20">
        <f t="shared" ref="E20:E21" si="43">ROUND(Q20/5,0)</f>
        <v>26</v>
      </c>
      <c r="F20">
        <f t="shared" ref="F20:F21" si="44">ROUND(Q20/5,0)</f>
        <v>26</v>
      </c>
      <c r="G20">
        <f t="shared" ref="G20:G21" si="45">Q20-SUM(C20:F20)</f>
        <v>28</v>
      </c>
      <c r="H20">
        <v>0</v>
      </c>
      <c r="I20">
        <v>0</v>
      </c>
      <c r="O20">
        <v>0</v>
      </c>
      <c r="P20" s="120">
        <f t="shared" si="38"/>
        <v>0</v>
      </c>
      <c r="Q20" t="str">
        <f t="shared" ref="Q20:Q31" si="46">FIXED(R20,0)</f>
        <v>132</v>
      </c>
      <c r="R20">
        <v>131.75372427472149</v>
      </c>
      <c r="T20">
        <f t="shared" ref="T20:T21" si="47">ROUND(AH20/5,0)</f>
        <v>31</v>
      </c>
      <c r="U20">
        <f t="shared" ref="U20:U21" si="48">ROUND(AH20/5,0)</f>
        <v>31</v>
      </c>
      <c r="V20">
        <f t="shared" ref="V20:V21" si="49">ROUND(AH20/5,0)</f>
        <v>31</v>
      </c>
      <c r="W20">
        <f t="shared" ref="W20:W21" si="50">ROUND(AH20/5,0)</f>
        <v>31</v>
      </c>
      <c r="X20">
        <f t="shared" ref="X20:X21" si="51">AH20-SUM(T20:W20)</f>
        <v>30</v>
      </c>
      <c r="Y20">
        <v>0</v>
      </c>
      <c r="Z20">
        <v>0</v>
      </c>
      <c r="AF20">
        <v>0</v>
      </c>
      <c r="AG20" s="120">
        <f t="shared" si="39"/>
        <v>0</v>
      </c>
      <c r="AH20" t="str">
        <f t="shared" ref="AH20:AH31" si="52">FIXED(AI20,0)</f>
        <v>154</v>
      </c>
      <c r="AI20">
        <v>154.47287280443786</v>
      </c>
      <c r="AK20">
        <f t="shared" ref="AK20:AK21" si="53">ROUND(AY20/6,0)</f>
        <v>30</v>
      </c>
      <c r="AL20">
        <f t="shared" ref="AL20:AL21" si="54">ROUND(AY20/6,0)</f>
        <v>30</v>
      </c>
      <c r="AM20">
        <f t="shared" ref="AM20:AM21" si="55">ROUND(AY20/6,0)</f>
        <v>30</v>
      </c>
      <c r="AN20">
        <f t="shared" ref="AN20:AN21" si="56">ROUND(AY20/6,0)</f>
        <v>30</v>
      </c>
      <c r="AO20">
        <f t="shared" ref="AO20:AO21" si="57">ROUND(AZ20/6,0)</f>
        <v>30</v>
      </c>
      <c r="AP20">
        <f t="shared" ref="AP20:AP21" si="58">AY20-SUM(AK20:AO20)</f>
        <v>27</v>
      </c>
      <c r="AQ20">
        <v>0</v>
      </c>
      <c r="AR20">
        <v>0</v>
      </c>
      <c r="AX20" s="120">
        <f t="shared" si="40"/>
        <v>0</v>
      </c>
      <c r="AY20" t="str">
        <f t="shared" ref="AY20:AY31" si="59">FIXED(AZ20,0)</f>
        <v>177</v>
      </c>
      <c r="AZ20">
        <v>177.19202133415425</v>
      </c>
    </row>
    <row r="21" spans="1:52" x14ac:dyDescent="0.25">
      <c r="B21" t="s">
        <v>103</v>
      </c>
      <c r="C21">
        <f t="shared" si="41"/>
        <v>15</v>
      </c>
      <c r="D21">
        <f t="shared" si="42"/>
        <v>15</v>
      </c>
      <c r="E21">
        <f t="shared" si="43"/>
        <v>15</v>
      </c>
      <c r="F21">
        <f t="shared" si="44"/>
        <v>15</v>
      </c>
      <c r="G21">
        <f t="shared" si="45"/>
        <v>17</v>
      </c>
      <c r="H21">
        <v>0</v>
      </c>
      <c r="I21">
        <v>0</v>
      </c>
      <c r="O21">
        <v>0</v>
      </c>
      <c r="P21" s="120">
        <f t="shared" si="38"/>
        <v>0</v>
      </c>
      <c r="Q21" t="str">
        <f t="shared" si="46"/>
        <v>77</v>
      </c>
      <c r="R21">
        <v>77.170128161267741</v>
      </c>
      <c r="T21">
        <f t="shared" si="47"/>
        <v>17</v>
      </c>
      <c r="U21">
        <f t="shared" si="48"/>
        <v>17</v>
      </c>
      <c r="V21">
        <f t="shared" si="49"/>
        <v>17</v>
      </c>
      <c r="W21">
        <f t="shared" si="50"/>
        <v>17</v>
      </c>
      <c r="X21">
        <f t="shared" si="51"/>
        <v>16</v>
      </c>
      <c r="Y21">
        <v>0</v>
      </c>
      <c r="Z21">
        <v>0</v>
      </c>
      <c r="AF21">
        <v>0</v>
      </c>
      <c r="AG21" s="120">
        <f t="shared" si="39"/>
        <v>0</v>
      </c>
      <c r="AH21" t="str">
        <f t="shared" si="52"/>
        <v>84</v>
      </c>
      <c r="AI21">
        <v>83.643089602379362</v>
      </c>
      <c r="AK21">
        <f t="shared" si="53"/>
        <v>15</v>
      </c>
      <c r="AL21">
        <f t="shared" si="54"/>
        <v>15</v>
      </c>
      <c r="AM21">
        <f t="shared" si="55"/>
        <v>15</v>
      </c>
      <c r="AN21">
        <f t="shared" si="56"/>
        <v>15</v>
      </c>
      <c r="AO21">
        <f t="shared" si="57"/>
        <v>15</v>
      </c>
      <c r="AP21">
        <f t="shared" si="58"/>
        <v>15</v>
      </c>
      <c r="AQ21">
        <v>0</v>
      </c>
      <c r="AR21">
        <v>0</v>
      </c>
      <c r="AX21" s="120">
        <f t="shared" si="40"/>
        <v>0</v>
      </c>
      <c r="AY21" t="str">
        <f t="shared" si="59"/>
        <v>90</v>
      </c>
      <c r="AZ21">
        <v>90.116051043490998</v>
      </c>
    </row>
    <row r="22" spans="1:52" x14ac:dyDescent="0.25">
      <c r="B22" t="s">
        <v>104</v>
      </c>
      <c r="C22">
        <v>0</v>
      </c>
      <c r="D22">
        <v>0</v>
      </c>
      <c r="E22">
        <v>0</v>
      </c>
      <c r="F22">
        <v>0</v>
      </c>
      <c r="G22">
        <v>0</v>
      </c>
      <c r="H22">
        <v>96</v>
      </c>
      <c r="I22">
        <v>3</v>
      </c>
      <c r="O22">
        <v>0</v>
      </c>
      <c r="P22" s="120">
        <f t="shared" si="38"/>
        <v>0</v>
      </c>
      <c r="Q22" t="str">
        <f t="shared" si="46"/>
        <v>99</v>
      </c>
      <c r="R22">
        <v>99.310307750530541</v>
      </c>
      <c r="T22">
        <v>0</v>
      </c>
      <c r="U22">
        <v>0</v>
      </c>
      <c r="V22">
        <v>0</v>
      </c>
      <c r="W22">
        <v>0</v>
      </c>
      <c r="X22">
        <v>0</v>
      </c>
      <c r="Y22">
        <v>64</v>
      </c>
      <c r="Z22">
        <v>52</v>
      </c>
      <c r="AF22">
        <v>0</v>
      </c>
      <c r="AG22" s="120">
        <f t="shared" si="39"/>
        <v>0</v>
      </c>
      <c r="AH22" t="str">
        <f t="shared" si="52"/>
        <v>116</v>
      </c>
      <c r="AI22">
        <v>115.86202570895232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95</v>
      </c>
      <c r="AR22">
        <v>37</v>
      </c>
      <c r="AX22" s="120">
        <f t="shared" si="40"/>
        <v>0</v>
      </c>
      <c r="AY22" t="str">
        <f t="shared" si="59"/>
        <v>132</v>
      </c>
      <c r="AZ22">
        <v>132.41374366737406</v>
      </c>
    </row>
    <row r="23" spans="1:52" x14ac:dyDescent="0.25">
      <c r="B23" t="s">
        <v>105</v>
      </c>
      <c r="C23">
        <v>0</v>
      </c>
      <c r="D23">
        <v>0</v>
      </c>
      <c r="E23">
        <v>0</v>
      </c>
      <c r="F23">
        <v>0</v>
      </c>
      <c r="G23">
        <v>0</v>
      </c>
      <c r="O23">
        <v>0</v>
      </c>
      <c r="P23" s="120"/>
      <c r="Q23" t="str">
        <f t="shared" si="46"/>
        <v>32</v>
      </c>
      <c r="R23">
        <v>31.755492632736697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F23">
        <v>0</v>
      </c>
      <c r="AG23" s="120"/>
      <c r="AH23" t="str">
        <f t="shared" si="52"/>
        <v>34</v>
      </c>
      <c r="AI23">
        <v>33.740210922282735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X23" s="120"/>
      <c r="AY23" t="str">
        <f t="shared" si="59"/>
        <v>36</v>
      </c>
      <c r="AZ23">
        <v>35.72492921182878</v>
      </c>
    </row>
    <row r="24" spans="1:52" x14ac:dyDescent="0.25">
      <c r="B24" t="s">
        <v>106</v>
      </c>
      <c r="C24">
        <v>0</v>
      </c>
      <c r="D24">
        <v>0</v>
      </c>
      <c r="E24">
        <v>0</v>
      </c>
      <c r="F24">
        <v>0</v>
      </c>
      <c r="G24">
        <v>0</v>
      </c>
      <c r="O24">
        <v>0</v>
      </c>
      <c r="P24" s="120"/>
      <c r="Q24" t="str">
        <f t="shared" si="46"/>
        <v>212</v>
      </c>
      <c r="R24">
        <v>211.92529207529907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F24">
        <v>0</v>
      </c>
      <c r="AG24" s="120"/>
      <c r="AH24" t="str">
        <f t="shared" si="52"/>
        <v>250</v>
      </c>
      <c r="AI24">
        <v>249.8205631753398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X24" s="120"/>
      <c r="AY24" t="str">
        <f t="shared" si="59"/>
        <v>288</v>
      </c>
      <c r="AZ24">
        <v>287.7158342753807</v>
      </c>
    </row>
    <row r="25" spans="1:52" x14ac:dyDescent="0.25">
      <c r="A25" t="s">
        <v>6</v>
      </c>
      <c r="B25" t="s">
        <v>101</v>
      </c>
      <c r="C25">
        <f>ROUND(Q25/5,0)</f>
        <v>6</v>
      </c>
      <c r="D25">
        <f>ROUND(Q25/5,0)</f>
        <v>6</v>
      </c>
      <c r="E25">
        <f>ROUND(Q25/5,0)</f>
        <v>6</v>
      </c>
      <c r="F25">
        <f>ROUND(Q25/5,0)</f>
        <v>6</v>
      </c>
      <c r="G25">
        <f>Q25-SUM(C25:F25)</f>
        <v>7</v>
      </c>
      <c r="H25">
        <v>0</v>
      </c>
      <c r="I25">
        <v>0</v>
      </c>
      <c r="O25">
        <v>0</v>
      </c>
      <c r="P25" s="120">
        <f t="shared" si="38"/>
        <v>0</v>
      </c>
      <c r="Q25" t="str">
        <f t="shared" si="46"/>
        <v>31</v>
      </c>
      <c r="R25">
        <v>30.759903862114758</v>
      </c>
      <c r="T25">
        <f>ROUND(AH25/5,0)</f>
        <v>7</v>
      </c>
      <c r="U25">
        <f>ROUND(AH25/5,0)</f>
        <v>7</v>
      </c>
      <c r="V25">
        <f>ROUND(AH25/5,0)</f>
        <v>7</v>
      </c>
      <c r="W25">
        <f>ROUND(AH25/5,0)</f>
        <v>7</v>
      </c>
      <c r="X25">
        <f>AH25-SUM(T25:W25)</f>
        <v>7</v>
      </c>
      <c r="Y25">
        <v>0</v>
      </c>
      <c r="Z25">
        <v>0</v>
      </c>
      <c r="AF25">
        <v>0</v>
      </c>
      <c r="AG25" s="120">
        <f t="shared" si="39"/>
        <v>0</v>
      </c>
      <c r="AH25" t="str">
        <f t="shared" si="52"/>
        <v>35</v>
      </c>
      <c r="AI25">
        <v>34.984135356756667</v>
      </c>
      <c r="AK25">
        <f>ROUND(AY25/6,0)</f>
        <v>7</v>
      </c>
      <c r="AL25">
        <f>ROUND(AY25/6,0)</f>
        <v>7</v>
      </c>
      <c r="AM25">
        <f>ROUND(AY25/6,0)</f>
        <v>7</v>
      </c>
      <c r="AN25">
        <f>ROUND(AY25/6,0)</f>
        <v>7</v>
      </c>
      <c r="AO25">
        <f>ROUND(AZ25/6,0)</f>
        <v>7</v>
      </c>
      <c r="AP25">
        <f>AY25-SUM(AK25:AO25)</f>
        <v>4</v>
      </c>
      <c r="AQ25">
        <v>0</v>
      </c>
      <c r="AR25">
        <v>0</v>
      </c>
      <c r="AX25" s="120">
        <f t="shared" si="40"/>
        <v>0</v>
      </c>
      <c r="AY25" t="str">
        <f t="shared" si="59"/>
        <v>39</v>
      </c>
      <c r="AZ25">
        <v>39.208366851398587</v>
      </c>
    </row>
    <row r="26" spans="1:52" x14ac:dyDescent="0.25">
      <c r="B26" t="s">
        <v>102</v>
      </c>
      <c r="C26">
        <f t="shared" ref="C26:C27" si="60">ROUND(Q26/5,0)</f>
        <v>70</v>
      </c>
      <c r="D26">
        <f t="shared" ref="D26:D27" si="61">ROUND(Q26/5,0)</f>
        <v>70</v>
      </c>
      <c r="E26">
        <f t="shared" ref="E26:E27" si="62">ROUND(Q26/5,0)</f>
        <v>70</v>
      </c>
      <c r="F26">
        <f t="shared" ref="F26:F27" si="63">ROUND(Q26/5,0)</f>
        <v>70</v>
      </c>
      <c r="G26">
        <f t="shared" ref="G26:G27" si="64">Q26-SUM(C26:F26)</f>
        <v>71</v>
      </c>
      <c r="H26">
        <v>0</v>
      </c>
      <c r="I26">
        <v>0</v>
      </c>
      <c r="O26">
        <v>0</v>
      </c>
      <c r="P26" s="120">
        <f t="shared" si="38"/>
        <v>0</v>
      </c>
      <c r="Q26" t="str">
        <f t="shared" si="46"/>
        <v>351</v>
      </c>
      <c r="R26">
        <v>351.29550614430474</v>
      </c>
      <c r="T26">
        <f t="shared" ref="T26:T27" si="65">ROUND(AH26/5,0)</f>
        <v>78</v>
      </c>
      <c r="U26">
        <f t="shared" ref="U26:U27" si="66">ROUND(AH26/5,0)</f>
        <v>78</v>
      </c>
      <c r="V26">
        <f t="shared" ref="V26:V27" si="67">ROUND(AH26/5,0)</f>
        <v>78</v>
      </c>
      <c r="W26">
        <f t="shared" ref="W26:W27" si="68">ROUND(AH26/5,0)</f>
        <v>78</v>
      </c>
      <c r="X26">
        <f t="shared" ref="X26:X27" si="69">AH26-SUM(T26:W26)</f>
        <v>78</v>
      </c>
      <c r="Y26">
        <v>0</v>
      </c>
      <c r="Z26">
        <v>0</v>
      </c>
      <c r="AF26">
        <v>0</v>
      </c>
      <c r="AG26" s="120">
        <f t="shared" si="39"/>
        <v>0</v>
      </c>
      <c r="AH26" t="str">
        <f t="shared" si="52"/>
        <v>390</v>
      </c>
      <c r="AI26">
        <v>389.97946174895685</v>
      </c>
      <c r="AK26">
        <f t="shared" ref="AK26:AK27" si="70">ROUND(AY26/6,0)</f>
        <v>72</v>
      </c>
      <c r="AL26">
        <f t="shared" ref="AL26:AL27" si="71">ROUND(AY26/6,0)</f>
        <v>72</v>
      </c>
      <c r="AM26">
        <f t="shared" ref="AM26:AM27" si="72">ROUND(AY26/6,0)</f>
        <v>72</v>
      </c>
      <c r="AN26">
        <f t="shared" ref="AN26:AN27" si="73">ROUND(AY26/6,0)</f>
        <v>72</v>
      </c>
      <c r="AO26">
        <f t="shared" ref="AO26:AO27" si="74">ROUND(AZ26/6,0)</f>
        <v>71</v>
      </c>
      <c r="AP26">
        <f t="shared" ref="AP26:AP27" si="75">AY26-SUM(AK26:AO26)</f>
        <v>70</v>
      </c>
      <c r="AQ26">
        <v>0</v>
      </c>
      <c r="AR26">
        <v>0</v>
      </c>
      <c r="AX26" s="120">
        <f t="shared" si="40"/>
        <v>0</v>
      </c>
      <c r="AY26" t="str">
        <f t="shared" si="59"/>
        <v>429</v>
      </c>
      <c r="AZ26">
        <v>428.66341735360908</v>
      </c>
    </row>
    <row r="27" spans="1:52" x14ac:dyDescent="0.25">
      <c r="B27" t="s">
        <v>103</v>
      </c>
      <c r="C27">
        <f t="shared" si="60"/>
        <v>29</v>
      </c>
      <c r="D27">
        <f t="shared" si="61"/>
        <v>29</v>
      </c>
      <c r="E27">
        <f t="shared" si="62"/>
        <v>29</v>
      </c>
      <c r="F27">
        <f t="shared" si="63"/>
        <v>29</v>
      </c>
      <c r="G27">
        <f t="shared" si="64"/>
        <v>30</v>
      </c>
      <c r="H27">
        <v>0</v>
      </c>
      <c r="I27">
        <v>0</v>
      </c>
      <c r="O27">
        <v>0</v>
      </c>
      <c r="P27" s="120">
        <f t="shared" si="38"/>
        <v>0</v>
      </c>
      <c r="Q27" t="str">
        <f t="shared" si="46"/>
        <v>146</v>
      </c>
      <c r="R27">
        <v>145.85865545058857</v>
      </c>
      <c r="T27">
        <f t="shared" si="65"/>
        <v>31</v>
      </c>
      <c r="U27">
        <f t="shared" si="66"/>
        <v>31</v>
      </c>
      <c r="V27">
        <f t="shared" si="67"/>
        <v>31</v>
      </c>
      <c r="W27">
        <f t="shared" si="68"/>
        <v>31</v>
      </c>
      <c r="X27">
        <f t="shared" si="69"/>
        <v>33</v>
      </c>
      <c r="Y27">
        <v>0</v>
      </c>
      <c r="Z27">
        <v>0</v>
      </c>
      <c r="AF27">
        <v>0</v>
      </c>
      <c r="AG27" s="120">
        <f t="shared" si="39"/>
        <v>0</v>
      </c>
      <c r="AH27" t="str">
        <f t="shared" si="52"/>
        <v>157</v>
      </c>
      <c r="AI27">
        <v>156.88018439085974</v>
      </c>
      <c r="AK27">
        <f t="shared" si="70"/>
        <v>28</v>
      </c>
      <c r="AL27">
        <f t="shared" si="71"/>
        <v>28</v>
      </c>
      <c r="AM27">
        <f t="shared" si="72"/>
        <v>28</v>
      </c>
      <c r="AN27">
        <f t="shared" si="73"/>
        <v>28</v>
      </c>
      <c r="AO27">
        <f t="shared" si="74"/>
        <v>28</v>
      </c>
      <c r="AP27">
        <f t="shared" si="75"/>
        <v>28</v>
      </c>
      <c r="AQ27">
        <v>0</v>
      </c>
      <c r="AR27">
        <v>0</v>
      </c>
      <c r="AX27" s="120">
        <f t="shared" si="40"/>
        <v>0</v>
      </c>
      <c r="AY27" t="str">
        <f t="shared" si="59"/>
        <v>168</v>
      </c>
      <c r="AZ27">
        <v>167.90171333113091</v>
      </c>
    </row>
    <row r="28" spans="1:52" x14ac:dyDescent="0.25">
      <c r="B28" t="s">
        <v>104</v>
      </c>
      <c r="C28">
        <v>0</v>
      </c>
      <c r="D28">
        <v>0</v>
      </c>
      <c r="E28">
        <v>0</v>
      </c>
      <c r="F28">
        <v>0</v>
      </c>
      <c r="G28">
        <v>0</v>
      </c>
      <c r="H28">
        <v>164</v>
      </c>
      <c r="I28">
        <v>5</v>
      </c>
      <c r="O28">
        <v>0</v>
      </c>
      <c r="P28" s="120">
        <f t="shared" si="38"/>
        <v>0</v>
      </c>
      <c r="Q28" t="str">
        <f t="shared" si="46"/>
        <v>169</v>
      </c>
      <c r="R28">
        <v>169.09592941306553</v>
      </c>
      <c r="T28">
        <v>0</v>
      </c>
      <c r="U28">
        <v>0</v>
      </c>
      <c r="V28">
        <v>0</v>
      </c>
      <c r="W28">
        <v>0</v>
      </c>
      <c r="X28">
        <v>0</v>
      </c>
      <c r="Y28">
        <v>110</v>
      </c>
      <c r="Z28">
        <v>87</v>
      </c>
      <c r="AF28">
        <v>0</v>
      </c>
      <c r="AG28" s="120">
        <f t="shared" si="39"/>
        <v>0</v>
      </c>
      <c r="AH28" t="str">
        <f t="shared" si="52"/>
        <v>197</v>
      </c>
      <c r="AI28">
        <v>197.27858431524311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161</v>
      </c>
      <c r="AR28">
        <v>64</v>
      </c>
      <c r="AX28" s="120">
        <f t="shared" si="40"/>
        <v>0</v>
      </c>
      <c r="AY28" t="str">
        <f t="shared" si="59"/>
        <v>225</v>
      </c>
      <c r="AZ28">
        <v>225.46123921742077</v>
      </c>
    </row>
    <row r="29" spans="1:52" x14ac:dyDescent="0.25">
      <c r="B29" t="s">
        <v>105</v>
      </c>
      <c r="C29">
        <v>0</v>
      </c>
      <c r="D29">
        <v>0</v>
      </c>
      <c r="E29">
        <v>0</v>
      </c>
      <c r="F29">
        <v>0</v>
      </c>
      <c r="G29">
        <v>0</v>
      </c>
      <c r="O29">
        <v>0</v>
      </c>
      <c r="P29" s="120"/>
      <c r="Q29" t="str">
        <f t="shared" si="46"/>
        <v>54</v>
      </c>
      <c r="R29">
        <v>54.070163131416543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F29">
        <v>0</v>
      </c>
      <c r="AG29" s="120"/>
      <c r="AH29" t="str">
        <f t="shared" si="52"/>
        <v>57</v>
      </c>
      <c r="AI29">
        <v>57.449548327130067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X29" s="120"/>
      <c r="AY29" t="str">
        <f t="shared" si="59"/>
        <v>61</v>
      </c>
      <c r="AZ29">
        <v>60.828933522843599</v>
      </c>
    </row>
    <row r="30" spans="1:52" x14ac:dyDescent="0.25">
      <c r="B30" t="s">
        <v>106</v>
      </c>
      <c r="C30">
        <v>0</v>
      </c>
      <c r="D30">
        <v>0</v>
      </c>
      <c r="E30">
        <v>0</v>
      </c>
      <c r="F30">
        <v>0</v>
      </c>
      <c r="G30">
        <v>0</v>
      </c>
      <c r="O30">
        <v>0</v>
      </c>
      <c r="P30" s="120"/>
      <c r="Q30" t="str">
        <f t="shared" si="46"/>
        <v>361</v>
      </c>
      <c r="R30">
        <v>360.84576758767145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F30">
        <v>0</v>
      </c>
      <c r="AG30" s="120"/>
      <c r="AH30" t="str">
        <f t="shared" si="52"/>
        <v>425</v>
      </c>
      <c r="AI30">
        <v>425.3701481093625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X30" s="120"/>
      <c r="AY30" t="str">
        <f t="shared" si="59"/>
        <v>490</v>
      </c>
      <c r="AZ30">
        <v>489.89452863105367</v>
      </c>
    </row>
    <row r="31" spans="1:52" x14ac:dyDescent="0.25">
      <c r="P31" s="120">
        <f t="shared" si="38"/>
        <v>-1672</v>
      </c>
      <c r="Q31" t="str">
        <f t="shared" si="46"/>
        <v>1,672</v>
      </c>
      <c r="R31">
        <v>1671.6465345479337</v>
      </c>
      <c r="AG31" s="120">
        <f t="shared" si="39"/>
        <v>-1910</v>
      </c>
      <c r="AH31" t="str">
        <f t="shared" si="52"/>
        <v>1,910</v>
      </c>
      <c r="AI31">
        <v>1909.7673863878508</v>
      </c>
      <c r="AX31" s="120"/>
      <c r="AY31" t="str">
        <f t="shared" si="59"/>
        <v>2,148</v>
      </c>
      <c r="AZ31">
        <v>2147.888238227767</v>
      </c>
    </row>
    <row r="32" spans="1:52" x14ac:dyDescent="0.25">
      <c r="A32" t="s">
        <v>111</v>
      </c>
      <c r="P32" s="120"/>
      <c r="AG32" s="120"/>
      <c r="AX32" s="120"/>
    </row>
    <row r="33" spans="1:52" x14ac:dyDescent="0.25">
      <c r="B33" t="s">
        <v>11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 s="120"/>
      <c r="T33">
        <v>1</v>
      </c>
      <c r="U33">
        <v>2</v>
      </c>
      <c r="V33">
        <v>3</v>
      </c>
      <c r="W33">
        <v>4</v>
      </c>
      <c r="X33">
        <v>5</v>
      </c>
      <c r="Y33">
        <v>6</v>
      </c>
      <c r="Z33">
        <v>7</v>
      </c>
      <c r="AA33">
        <v>8</v>
      </c>
      <c r="AB33">
        <v>9</v>
      </c>
      <c r="AC33">
        <v>10</v>
      </c>
      <c r="AD33">
        <v>11</v>
      </c>
      <c r="AE33">
        <v>12</v>
      </c>
      <c r="AF33">
        <v>13</v>
      </c>
      <c r="AG33" s="120"/>
      <c r="AK33">
        <v>1</v>
      </c>
      <c r="AL33">
        <v>2</v>
      </c>
      <c r="AM33">
        <v>3</v>
      </c>
      <c r="AN33">
        <v>4</v>
      </c>
      <c r="AO33">
        <v>4</v>
      </c>
      <c r="AP33">
        <v>6</v>
      </c>
      <c r="AQ33">
        <v>7</v>
      </c>
      <c r="AR33">
        <v>8</v>
      </c>
      <c r="AS33">
        <v>9</v>
      </c>
      <c r="AT33">
        <v>10</v>
      </c>
      <c r="AU33">
        <v>11</v>
      </c>
      <c r="AV33">
        <v>12</v>
      </c>
      <c r="AW33">
        <v>13</v>
      </c>
      <c r="AX33" s="120"/>
    </row>
    <row r="34" spans="1:52" x14ac:dyDescent="0.25">
      <c r="A34" t="s">
        <v>5</v>
      </c>
      <c r="B34" t="s">
        <v>101</v>
      </c>
      <c r="C34">
        <f>ROUND(Q34/5,0)</f>
        <v>2</v>
      </c>
      <c r="D34">
        <f>ROUND(Q34/5,0)</f>
        <v>2</v>
      </c>
      <c r="E34">
        <f>ROUND(Q34/5,0)</f>
        <v>2</v>
      </c>
      <c r="F34">
        <f>ROUND(Q34/5,0)</f>
        <v>2</v>
      </c>
      <c r="G34">
        <f>Q34-SUM(C34:F34)</f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20">
        <f t="shared" ref="P34" si="76">SUM(C34:O34)-Q34</f>
        <v>0</v>
      </c>
      <c r="Q34" t="str">
        <f>FIXED(R34,0)</f>
        <v>8</v>
      </c>
      <c r="R34">
        <v>7.8056640642171677</v>
      </c>
      <c r="T34">
        <f>ROUND(AH34/5,0)</f>
        <v>2</v>
      </c>
      <c r="U34">
        <f>ROUND(AH34/5,0)</f>
        <v>2</v>
      </c>
      <c r="V34">
        <f>ROUND(AH34/5,0)</f>
        <v>2</v>
      </c>
      <c r="W34">
        <f>ROUND(AH34/5,0)</f>
        <v>2</v>
      </c>
      <c r="X34">
        <f>AH34-SUM(T34:W34)</f>
        <v>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s="120">
        <f t="shared" ref="AG34" si="77">SUM(T34:AF34)-AH34</f>
        <v>0</v>
      </c>
      <c r="AH34" t="str">
        <f>FIXED(AI34,0)</f>
        <v>10</v>
      </c>
      <c r="AI34">
        <v>10.286561926149718</v>
      </c>
      <c r="AK34">
        <f>ROUND(AY34/6,0)</f>
        <v>2</v>
      </c>
      <c r="AL34">
        <f>ROUND(AY34/6,0)</f>
        <v>2</v>
      </c>
      <c r="AM34">
        <f>ROUND(AY34/6,0)</f>
        <v>2</v>
      </c>
      <c r="AN34">
        <f>ROUND(AY34/6,0)</f>
        <v>2</v>
      </c>
      <c r="AO34">
        <f>ROUND(AZ34/6,0)</f>
        <v>2</v>
      </c>
      <c r="AP34">
        <f>AY34-SUM(AK34:AO34)</f>
        <v>3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120">
        <f t="shared" ref="AX34" si="78">SUM(AK34:AW34)-AY34</f>
        <v>0</v>
      </c>
      <c r="AY34" t="str">
        <f>FIXED(AZ34,0)</f>
        <v>13</v>
      </c>
      <c r="AZ34">
        <v>12.767459788082274</v>
      </c>
    </row>
    <row r="35" spans="1:52" x14ac:dyDescent="0.25">
      <c r="B35" t="s">
        <v>102</v>
      </c>
      <c r="C35">
        <f t="shared" ref="C35:C36" si="79">ROUND(Q35/5,0)</f>
        <v>26</v>
      </c>
      <c r="D35">
        <f t="shared" ref="D35:D36" si="80">ROUND(Q35/5,0)</f>
        <v>26</v>
      </c>
      <c r="E35">
        <f t="shared" ref="E35:E36" si="81">ROUND(Q35/5,0)</f>
        <v>26</v>
      </c>
      <c r="F35">
        <f t="shared" ref="F35:F36" si="82">ROUND(Q35/5,0)</f>
        <v>26</v>
      </c>
      <c r="G35">
        <f t="shared" ref="G35:G36" si="83">Q35-SUM(C35:F35)</f>
        <v>28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20">
        <f t="shared" si="38"/>
        <v>0</v>
      </c>
      <c r="Q35" t="str">
        <f t="shared" ref="Q35:Q46" si="84">FIXED(R35,0)</f>
        <v>132</v>
      </c>
      <c r="R35">
        <v>131.75372427472149</v>
      </c>
      <c r="T35">
        <f t="shared" ref="T35:T36" si="85">ROUND(AH35/5,0)</f>
        <v>31</v>
      </c>
      <c r="U35">
        <f t="shared" ref="U35:U36" si="86">ROUND(AH35/5,0)</f>
        <v>31</v>
      </c>
      <c r="V35">
        <f t="shared" ref="V35:V36" si="87">ROUND(AH35/5,0)</f>
        <v>31</v>
      </c>
      <c r="W35">
        <f t="shared" ref="W35:W36" si="88">ROUND(AH35/5,0)</f>
        <v>31</v>
      </c>
      <c r="X35">
        <f t="shared" ref="X35:X36" si="89">AH35-SUM(T35:W35)</f>
        <v>30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s="120">
        <f t="shared" si="39"/>
        <v>0</v>
      </c>
      <c r="AH35" t="str">
        <f t="shared" ref="AH35:AH46" si="90">FIXED(AI35,0)</f>
        <v>154</v>
      </c>
      <c r="AI35">
        <v>154.47287280443786</v>
      </c>
      <c r="AK35">
        <f t="shared" ref="AK35:AK36" si="91">ROUND(AY35/6,0)</f>
        <v>30</v>
      </c>
      <c r="AL35">
        <f t="shared" ref="AL35:AL36" si="92">ROUND(AY35/6,0)</f>
        <v>30</v>
      </c>
      <c r="AM35">
        <f t="shared" ref="AM35:AM36" si="93">ROUND(AY35/6,0)</f>
        <v>30</v>
      </c>
      <c r="AN35">
        <f t="shared" ref="AN35:AN36" si="94">ROUND(AY35/6,0)</f>
        <v>30</v>
      </c>
      <c r="AO35">
        <f t="shared" ref="AO35:AO36" si="95">ROUND(AZ35/6,0)</f>
        <v>30</v>
      </c>
      <c r="AP35">
        <f t="shared" ref="AP35:AP36" si="96">AY35-SUM(AK35:AO35)</f>
        <v>27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120">
        <f t="shared" si="40"/>
        <v>0</v>
      </c>
      <c r="AY35" t="str">
        <f t="shared" ref="AY35:AY46" si="97">FIXED(AZ35,0)</f>
        <v>177</v>
      </c>
      <c r="AZ35">
        <v>177.19202133415425</v>
      </c>
    </row>
    <row r="36" spans="1:52" x14ac:dyDescent="0.25">
      <c r="B36" t="s">
        <v>103</v>
      </c>
      <c r="C36">
        <f t="shared" si="79"/>
        <v>15</v>
      </c>
      <c r="D36">
        <f t="shared" si="80"/>
        <v>15</v>
      </c>
      <c r="E36">
        <f t="shared" si="81"/>
        <v>15</v>
      </c>
      <c r="F36">
        <f t="shared" si="82"/>
        <v>15</v>
      </c>
      <c r="G36">
        <f t="shared" si="83"/>
        <v>17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20">
        <f t="shared" si="38"/>
        <v>0</v>
      </c>
      <c r="Q36" t="str">
        <f t="shared" si="84"/>
        <v>77</v>
      </c>
      <c r="R36">
        <v>77.170128161267741</v>
      </c>
      <c r="T36">
        <f t="shared" si="85"/>
        <v>17</v>
      </c>
      <c r="U36">
        <f t="shared" si="86"/>
        <v>17</v>
      </c>
      <c r="V36">
        <f t="shared" si="87"/>
        <v>17</v>
      </c>
      <c r="W36">
        <f t="shared" si="88"/>
        <v>17</v>
      </c>
      <c r="X36">
        <f t="shared" si="89"/>
        <v>16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s="120">
        <f t="shared" si="39"/>
        <v>0</v>
      </c>
      <c r="AH36" t="str">
        <f t="shared" si="90"/>
        <v>84</v>
      </c>
      <c r="AI36">
        <v>83.643089602379362</v>
      </c>
      <c r="AK36">
        <f t="shared" si="91"/>
        <v>15</v>
      </c>
      <c r="AL36">
        <f t="shared" si="92"/>
        <v>15</v>
      </c>
      <c r="AM36">
        <f t="shared" si="93"/>
        <v>15</v>
      </c>
      <c r="AN36">
        <f t="shared" si="94"/>
        <v>15</v>
      </c>
      <c r="AO36">
        <f t="shared" si="95"/>
        <v>15</v>
      </c>
      <c r="AP36">
        <f t="shared" si="96"/>
        <v>15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120">
        <f t="shared" si="40"/>
        <v>0</v>
      </c>
      <c r="AY36" t="str">
        <f t="shared" si="97"/>
        <v>90</v>
      </c>
      <c r="AZ36">
        <v>90.116051043490998</v>
      </c>
    </row>
    <row r="37" spans="1:52" x14ac:dyDescent="0.25">
      <c r="B37" t="s">
        <v>104</v>
      </c>
      <c r="C37">
        <v>0</v>
      </c>
      <c r="D37">
        <v>0</v>
      </c>
      <c r="E37">
        <v>0</v>
      </c>
      <c r="F37">
        <v>0</v>
      </c>
      <c r="G37">
        <v>0</v>
      </c>
      <c r="H37">
        <v>96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20">
        <f t="shared" si="38"/>
        <v>0</v>
      </c>
      <c r="Q37" t="str">
        <f t="shared" si="84"/>
        <v>99</v>
      </c>
      <c r="R37">
        <v>99.310307750530541</v>
      </c>
      <c r="T37">
        <v>0</v>
      </c>
      <c r="U37">
        <v>0</v>
      </c>
      <c r="V37">
        <v>0</v>
      </c>
      <c r="W37">
        <v>0</v>
      </c>
      <c r="X37">
        <v>0</v>
      </c>
      <c r="Y37">
        <v>64</v>
      </c>
      <c r="Z37">
        <v>52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s="120">
        <f t="shared" si="39"/>
        <v>0</v>
      </c>
      <c r="AH37" t="str">
        <f t="shared" si="90"/>
        <v>116</v>
      </c>
      <c r="AI37">
        <v>115.86202570895232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95</v>
      </c>
      <c r="AR37">
        <v>37</v>
      </c>
      <c r="AS37">
        <v>0</v>
      </c>
      <c r="AT37">
        <v>0</v>
      </c>
      <c r="AU37">
        <v>0</v>
      </c>
      <c r="AV37">
        <v>0</v>
      </c>
      <c r="AW37">
        <v>0</v>
      </c>
      <c r="AX37" s="120">
        <f t="shared" si="40"/>
        <v>0</v>
      </c>
      <c r="AY37" t="str">
        <f t="shared" si="97"/>
        <v>132</v>
      </c>
      <c r="AZ37">
        <v>132.41374366737406</v>
      </c>
    </row>
    <row r="38" spans="1:52" x14ac:dyDescent="0.25">
      <c r="B38" t="s">
        <v>105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5</v>
      </c>
      <c r="J38">
        <v>5</v>
      </c>
      <c r="K38">
        <v>6</v>
      </c>
      <c r="L38">
        <v>5</v>
      </c>
      <c r="M38">
        <v>5</v>
      </c>
      <c r="N38">
        <v>6</v>
      </c>
      <c r="O38">
        <v>0</v>
      </c>
      <c r="P38" s="120">
        <f t="shared" si="38"/>
        <v>0</v>
      </c>
      <c r="Q38" t="str">
        <f t="shared" si="84"/>
        <v>32</v>
      </c>
      <c r="R38">
        <v>31.755492632736697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6</v>
      </c>
      <c r="AA38">
        <v>6</v>
      </c>
      <c r="AB38">
        <v>6</v>
      </c>
      <c r="AC38">
        <v>5</v>
      </c>
      <c r="AD38">
        <v>6</v>
      </c>
      <c r="AE38">
        <v>5</v>
      </c>
      <c r="AF38">
        <v>0</v>
      </c>
      <c r="AG38" s="120">
        <f t="shared" si="39"/>
        <v>0</v>
      </c>
      <c r="AH38" t="str">
        <f t="shared" si="90"/>
        <v>34</v>
      </c>
      <c r="AI38">
        <v>33.740210922282735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6</v>
      </c>
      <c r="AS38">
        <v>6</v>
      </c>
      <c r="AT38">
        <v>6</v>
      </c>
      <c r="AU38">
        <v>6</v>
      </c>
      <c r="AV38">
        <v>6</v>
      </c>
      <c r="AW38">
        <v>6</v>
      </c>
      <c r="AX38" s="120">
        <f t="shared" si="40"/>
        <v>0</v>
      </c>
      <c r="AY38" t="str">
        <f t="shared" si="97"/>
        <v>36</v>
      </c>
      <c r="AZ38">
        <v>35.72492921182878</v>
      </c>
    </row>
    <row r="39" spans="1:52" x14ac:dyDescent="0.25">
      <c r="B39" t="s">
        <v>106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35</v>
      </c>
      <c r="J39">
        <v>35</v>
      </c>
      <c r="K39">
        <v>36</v>
      </c>
      <c r="L39">
        <v>35</v>
      </c>
      <c r="M39">
        <v>35</v>
      </c>
      <c r="N39">
        <v>36</v>
      </c>
      <c r="O39">
        <v>0</v>
      </c>
      <c r="P39" s="120">
        <f t="shared" si="38"/>
        <v>0</v>
      </c>
      <c r="Q39" t="str">
        <f t="shared" si="84"/>
        <v>212</v>
      </c>
      <c r="R39">
        <v>211.92529207529907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42</v>
      </c>
      <c r="AA39">
        <v>42</v>
      </c>
      <c r="AB39">
        <v>41</v>
      </c>
      <c r="AC39">
        <v>42</v>
      </c>
      <c r="AD39">
        <v>42</v>
      </c>
      <c r="AE39">
        <v>41</v>
      </c>
      <c r="AF39">
        <v>0</v>
      </c>
      <c r="AG39" s="120">
        <f t="shared" si="39"/>
        <v>0</v>
      </c>
      <c r="AH39" t="str">
        <f t="shared" si="90"/>
        <v>250</v>
      </c>
      <c r="AI39">
        <v>249.8205631753398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48</v>
      </c>
      <c r="AS39">
        <v>48</v>
      </c>
      <c r="AT39">
        <v>48</v>
      </c>
      <c r="AU39">
        <v>48</v>
      </c>
      <c r="AV39">
        <v>48</v>
      </c>
      <c r="AW39">
        <v>48</v>
      </c>
      <c r="AX39" s="120">
        <f t="shared" si="40"/>
        <v>0</v>
      </c>
      <c r="AY39" t="str">
        <f t="shared" si="97"/>
        <v>288</v>
      </c>
      <c r="AZ39">
        <v>287.7158342753807</v>
      </c>
    </row>
    <row r="40" spans="1:52" x14ac:dyDescent="0.25">
      <c r="A40" t="s">
        <v>6</v>
      </c>
      <c r="B40" t="s">
        <v>101</v>
      </c>
      <c r="C40">
        <f>ROUND(Q40/5,0)</f>
        <v>6</v>
      </c>
      <c r="D40">
        <f>ROUND(Q40/5,0)</f>
        <v>6</v>
      </c>
      <c r="E40">
        <f>ROUND(Q40/5,0)</f>
        <v>6</v>
      </c>
      <c r="F40">
        <f>ROUND(Q40/5,0)</f>
        <v>6</v>
      </c>
      <c r="G40">
        <f>Q40-SUM(C40:F40)</f>
        <v>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120">
        <f t="shared" si="38"/>
        <v>0</v>
      </c>
      <c r="Q40" t="str">
        <f t="shared" si="84"/>
        <v>31</v>
      </c>
      <c r="R40">
        <v>30.759903862114758</v>
      </c>
      <c r="T40">
        <f>ROUND(AH40/5,0)</f>
        <v>7</v>
      </c>
      <c r="U40">
        <f>ROUND(AH40/5,0)</f>
        <v>7</v>
      </c>
      <c r="V40">
        <f>ROUND(AH40/5,0)</f>
        <v>7</v>
      </c>
      <c r="W40">
        <f>ROUND(AH40/5,0)</f>
        <v>7</v>
      </c>
      <c r="X40">
        <f>AH40-SUM(T40:W40)</f>
        <v>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20">
        <f t="shared" si="39"/>
        <v>0</v>
      </c>
      <c r="AH40" t="str">
        <f t="shared" si="90"/>
        <v>35</v>
      </c>
      <c r="AI40">
        <v>34.984135356756667</v>
      </c>
      <c r="AK40">
        <f>ROUND(AY40/6,0)</f>
        <v>7</v>
      </c>
      <c r="AL40">
        <f>ROUND(AY40/6,0)</f>
        <v>7</v>
      </c>
      <c r="AM40">
        <f>ROUND(AY40/6,0)</f>
        <v>7</v>
      </c>
      <c r="AN40">
        <f>ROUND(AY40/6,0)</f>
        <v>7</v>
      </c>
      <c r="AO40">
        <f>ROUND(AZ40/6,0)</f>
        <v>7</v>
      </c>
      <c r="AP40">
        <f>AY40-SUM(AK40:AO40)</f>
        <v>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120">
        <f t="shared" si="40"/>
        <v>0</v>
      </c>
      <c r="AY40" t="str">
        <f t="shared" si="97"/>
        <v>39</v>
      </c>
      <c r="AZ40">
        <v>39.208366851398587</v>
      </c>
    </row>
    <row r="41" spans="1:52" x14ac:dyDescent="0.25">
      <c r="B41" t="s">
        <v>102</v>
      </c>
      <c r="C41">
        <f t="shared" ref="C41:C42" si="98">ROUND(Q41/5,0)</f>
        <v>70</v>
      </c>
      <c r="D41">
        <f t="shared" ref="D41:D42" si="99">ROUND(Q41/5,0)</f>
        <v>70</v>
      </c>
      <c r="E41">
        <f t="shared" ref="E41:E42" si="100">ROUND(Q41/5,0)</f>
        <v>70</v>
      </c>
      <c r="F41">
        <f t="shared" ref="F41:F42" si="101">ROUND(Q41/5,0)</f>
        <v>70</v>
      </c>
      <c r="G41">
        <f t="shared" ref="G41:G42" si="102">Q41-SUM(C41:F41)</f>
        <v>71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20">
        <f t="shared" si="38"/>
        <v>0</v>
      </c>
      <c r="Q41" t="str">
        <f t="shared" si="84"/>
        <v>351</v>
      </c>
      <c r="R41">
        <v>351.29550614430474</v>
      </c>
      <c r="T41">
        <f t="shared" ref="T41:T42" si="103">ROUND(AH41/5,0)</f>
        <v>78</v>
      </c>
      <c r="U41">
        <f t="shared" ref="U41:U42" si="104">ROUND(AH41/5,0)</f>
        <v>78</v>
      </c>
      <c r="V41">
        <f t="shared" ref="V41:V42" si="105">ROUND(AH41/5,0)</f>
        <v>78</v>
      </c>
      <c r="W41">
        <f t="shared" ref="W41:W42" si="106">ROUND(AH41/5,0)</f>
        <v>78</v>
      </c>
      <c r="X41">
        <f t="shared" ref="X41:X42" si="107">AH41-SUM(T41:W41)</f>
        <v>78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s="120">
        <f t="shared" si="39"/>
        <v>0</v>
      </c>
      <c r="AH41" t="str">
        <f t="shared" si="90"/>
        <v>390</v>
      </c>
      <c r="AI41">
        <v>389.97946174895685</v>
      </c>
      <c r="AK41">
        <f t="shared" ref="AK41:AK42" si="108">ROUND(AY41/6,0)</f>
        <v>72</v>
      </c>
      <c r="AL41">
        <f t="shared" ref="AL41:AL42" si="109">ROUND(AY41/6,0)</f>
        <v>72</v>
      </c>
      <c r="AM41">
        <f t="shared" ref="AM41:AM42" si="110">ROUND(AY41/6,0)</f>
        <v>72</v>
      </c>
      <c r="AN41">
        <f t="shared" ref="AN41:AN42" si="111">ROUND(AY41/6,0)</f>
        <v>72</v>
      </c>
      <c r="AO41">
        <f t="shared" ref="AO41:AO42" si="112">ROUND(AZ41/6,0)</f>
        <v>71</v>
      </c>
      <c r="AP41">
        <f t="shared" ref="AP41:AP42" si="113">AY41-SUM(AK41:AO41)</f>
        <v>70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120">
        <f t="shared" si="40"/>
        <v>0</v>
      </c>
      <c r="AY41" t="str">
        <f t="shared" si="97"/>
        <v>429</v>
      </c>
      <c r="AZ41">
        <v>428.66341735360908</v>
      </c>
    </row>
    <row r="42" spans="1:52" x14ac:dyDescent="0.25">
      <c r="B42" t="s">
        <v>103</v>
      </c>
      <c r="C42">
        <f t="shared" si="98"/>
        <v>29</v>
      </c>
      <c r="D42">
        <f t="shared" si="99"/>
        <v>29</v>
      </c>
      <c r="E42">
        <f t="shared" si="100"/>
        <v>29</v>
      </c>
      <c r="F42">
        <f t="shared" si="101"/>
        <v>29</v>
      </c>
      <c r="G42">
        <f t="shared" si="102"/>
        <v>30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120">
        <f t="shared" si="38"/>
        <v>0</v>
      </c>
      <c r="Q42" t="str">
        <f t="shared" si="84"/>
        <v>146</v>
      </c>
      <c r="R42">
        <v>145.85865545058857</v>
      </c>
      <c r="T42">
        <f t="shared" si="103"/>
        <v>31</v>
      </c>
      <c r="U42">
        <f t="shared" si="104"/>
        <v>31</v>
      </c>
      <c r="V42">
        <f t="shared" si="105"/>
        <v>31</v>
      </c>
      <c r="W42">
        <f t="shared" si="106"/>
        <v>31</v>
      </c>
      <c r="X42">
        <f t="shared" si="107"/>
        <v>33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s="120">
        <f t="shared" si="39"/>
        <v>0</v>
      </c>
      <c r="AH42" t="str">
        <f t="shared" si="90"/>
        <v>157</v>
      </c>
      <c r="AI42">
        <v>156.88018439085974</v>
      </c>
      <c r="AK42">
        <f t="shared" si="108"/>
        <v>28</v>
      </c>
      <c r="AL42">
        <f t="shared" si="109"/>
        <v>28</v>
      </c>
      <c r="AM42">
        <f t="shared" si="110"/>
        <v>28</v>
      </c>
      <c r="AN42">
        <f t="shared" si="111"/>
        <v>28</v>
      </c>
      <c r="AO42">
        <f t="shared" si="112"/>
        <v>28</v>
      </c>
      <c r="AP42">
        <f t="shared" si="113"/>
        <v>28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120">
        <f t="shared" si="40"/>
        <v>0</v>
      </c>
      <c r="AY42" t="str">
        <f t="shared" si="97"/>
        <v>168</v>
      </c>
      <c r="AZ42">
        <v>167.90171333113091</v>
      </c>
    </row>
    <row r="43" spans="1:52" x14ac:dyDescent="0.25">
      <c r="B43" t="s">
        <v>104</v>
      </c>
      <c r="C43">
        <v>0</v>
      </c>
      <c r="D43">
        <v>0</v>
      </c>
      <c r="E43">
        <v>0</v>
      </c>
      <c r="F43">
        <v>0</v>
      </c>
      <c r="G43">
        <v>0</v>
      </c>
      <c r="H43">
        <v>163</v>
      </c>
      <c r="I43">
        <v>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120">
        <f t="shared" si="38"/>
        <v>0</v>
      </c>
      <c r="Q43" t="str">
        <f t="shared" si="84"/>
        <v>169</v>
      </c>
      <c r="R43">
        <v>169.09592941306553</v>
      </c>
      <c r="T43">
        <v>0</v>
      </c>
      <c r="U43">
        <v>0</v>
      </c>
      <c r="V43">
        <v>0</v>
      </c>
      <c r="W43">
        <v>0</v>
      </c>
      <c r="X43">
        <v>0</v>
      </c>
      <c r="Y43">
        <v>110</v>
      </c>
      <c r="Z43">
        <v>87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s="120">
        <f t="shared" si="39"/>
        <v>0</v>
      </c>
      <c r="AH43" t="str">
        <f t="shared" si="90"/>
        <v>197</v>
      </c>
      <c r="AI43">
        <v>197.27858431524311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161</v>
      </c>
      <c r="AR43">
        <v>64</v>
      </c>
      <c r="AS43">
        <v>0</v>
      </c>
      <c r="AT43">
        <v>0</v>
      </c>
      <c r="AU43">
        <v>0</v>
      </c>
      <c r="AV43">
        <v>0</v>
      </c>
      <c r="AW43">
        <v>0</v>
      </c>
      <c r="AX43" s="120">
        <f t="shared" si="40"/>
        <v>0</v>
      </c>
      <c r="AY43" t="str">
        <f t="shared" si="97"/>
        <v>225</v>
      </c>
      <c r="AZ43">
        <v>225.46123921742077</v>
      </c>
    </row>
    <row r="44" spans="1:52" x14ac:dyDescent="0.25">
      <c r="B44" t="s">
        <v>105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9</v>
      </c>
      <c r="J44">
        <v>9</v>
      </c>
      <c r="K44">
        <v>9</v>
      </c>
      <c r="L44">
        <v>9</v>
      </c>
      <c r="M44">
        <v>9</v>
      </c>
      <c r="N44">
        <v>9</v>
      </c>
      <c r="O44">
        <v>0</v>
      </c>
      <c r="P44" s="120">
        <f t="shared" si="38"/>
        <v>0</v>
      </c>
      <c r="Q44" t="str">
        <f t="shared" si="84"/>
        <v>54</v>
      </c>
      <c r="R44">
        <v>54.070163131416543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10</v>
      </c>
      <c r="AA44">
        <v>9</v>
      </c>
      <c r="AB44">
        <v>10</v>
      </c>
      <c r="AC44">
        <v>9</v>
      </c>
      <c r="AD44">
        <v>10</v>
      </c>
      <c r="AE44">
        <v>9</v>
      </c>
      <c r="AF44">
        <v>0</v>
      </c>
      <c r="AG44" s="120">
        <f t="shared" si="39"/>
        <v>0</v>
      </c>
      <c r="AH44" t="str">
        <f t="shared" si="90"/>
        <v>57</v>
      </c>
      <c r="AI44">
        <v>57.449548327130067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11</v>
      </c>
      <c r="AX44" s="120">
        <f t="shared" si="40"/>
        <v>0</v>
      </c>
      <c r="AY44" t="str">
        <f t="shared" si="97"/>
        <v>61</v>
      </c>
      <c r="AZ44">
        <v>60.828933522843599</v>
      </c>
    </row>
    <row r="45" spans="1:52" x14ac:dyDescent="0.25">
      <c r="B45" t="s">
        <v>106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60</v>
      </c>
      <c r="J45">
        <v>60</v>
      </c>
      <c r="K45">
        <v>60</v>
      </c>
      <c r="L45">
        <v>60</v>
      </c>
      <c r="M45">
        <v>60</v>
      </c>
      <c r="N45">
        <v>61</v>
      </c>
      <c r="O45">
        <v>0</v>
      </c>
      <c r="P45" s="120">
        <f t="shared" si="38"/>
        <v>0</v>
      </c>
      <c r="Q45" t="str">
        <f t="shared" si="84"/>
        <v>361</v>
      </c>
      <c r="R45">
        <v>360.84576758767145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71</v>
      </c>
      <c r="AA45">
        <v>71</v>
      </c>
      <c r="AB45">
        <v>71</v>
      </c>
      <c r="AC45">
        <v>70</v>
      </c>
      <c r="AD45">
        <v>71</v>
      </c>
      <c r="AE45">
        <v>71</v>
      </c>
      <c r="AF45">
        <v>0</v>
      </c>
      <c r="AG45" s="120">
        <f t="shared" si="39"/>
        <v>0</v>
      </c>
      <c r="AH45" t="str">
        <f t="shared" si="90"/>
        <v>425</v>
      </c>
      <c r="AI45">
        <v>425.3701481093625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82</v>
      </c>
      <c r="AS45">
        <v>82</v>
      </c>
      <c r="AT45">
        <v>81</v>
      </c>
      <c r="AU45">
        <v>82</v>
      </c>
      <c r="AV45">
        <v>82</v>
      </c>
      <c r="AW45">
        <v>81</v>
      </c>
      <c r="AX45" s="120">
        <f t="shared" si="40"/>
        <v>0</v>
      </c>
      <c r="AY45" t="str">
        <f t="shared" si="97"/>
        <v>490</v>
      </c>
      <c r="AZ45">
        <v>489.89452863105367</v>
      </c>
    </row>
    <row r="46" spans="1:52" x14ac:dyDescent="0.25">
      <c r="P46" s="120">
        <f t="shared" si="38"/>
        <v>-1672</v>
      </c>
      <c r="Q46" t="str">
        <f t="shared" si="84"/>
        <v>1,672</v>
      </c>
      <c r="R46">
        <v>1671.6465345479337</v>
      </c>
      <c r="AG46" s="120">
        <f t="shared" si="39"/>
        <v>-1910</v>
      </c>
      <c r="AH46" t="str">
        <f t="shared" si="90"/>
        <v>1,910</v>
      </c>
      <c r="AI46">
        <v>1909.7673863878508</v>
      </c>
      <c r="AX46" s="120"/>
      <c r="AY46" t="str">
        <f t="shared" si="97"/>
        <v>2,148</v>
      </c>
      <c r="AZ46">
        <v>2147.888238227767</v>
      </c>
    </row>
    <row r="47" spans="1:52" x14ac:dyDescent="0.25">
      <c r="A47" t="s">
        <v>113</v>
      </c>
      <c r="P47" s="120"/>
      <c r="AG47" s="120"/>
      <c r="AX47" s="120"/>
    </row>
    <row r="48" spans="1:52" x14ac:dyDescent="0.25">
      <c r="B48" t="s">
        <v>11</v>
      </c>
      <c r="C48">
        <v>1</v>
      </c>
      <c r="D48">
        <v>2</v>
      </c>
      <c r="E48">
        <v>3</v>
      </c>
      <c r="F48">
        <v>4</v>
      </c>
      <c r="G48">
        <v>5</v>
      </c>
      <c r="I48">
        <v>7</v>
      </c>
      <c r="J48">
        <v>8</v>
      </c>
      <c r="K48">
        <v>9</v>
      </c>
      <c r="L48">
        <v>10</v>
      </c>
      <c r="M48">
        <v>11</v>
      </c>
      <c r="N48">
        <v>12</v>
      </c>
      <c r="O48">
        <v>13</v>
      </c>
      <c r="P48" s="120"/>
      <c r="T48">
        <v>1</v>
      </c>
      <c r="U48">
        <v>2</v>
      </c>
      <c r="V48">
        <v>3</v>
      </c>
      <c r="W48">
        <v>4</v>
      </c>
      <c r="X48">
        <v>5</v>
      </c>
      <c r="Z48">
        <v>7</v>
      </c>
      <c r="AA48">
        <v>8</v>
      </c>
      <c r="AB48">
        <v>9</v>
      </c>
      <c r="AC48">
        <v>10</v>
      </c>
      <c r="AD48">
        <v>11</v>
      </c>
      <c r="AE48">
        <v>12</v>
      </c>
      <c r="AF48">
        <v>13</v>
      </c>
      <c r="AG48" s="120"/>
      <c r="AK48">
        <v>1</v>
      </c>
      <c r="AL48">
        <v>2</v>
      </c>
      <c r="AM48">
        <v>3</v>
      </c>
      <c r="AN48">
        <v>4</v>
      </c>
      <c r="AO48">
        <v>4</v>
      </c>
      <c r="AQ48">
        <v>7</v>
      </c>
      <c r="AR48">
        <v>8</v>
      </c>
      <c r="AS48">
        <v>9</v>
      </c>
      <c r="AT48">
        <v>10</v>
      </c>
      <c r="AU48">
        <v>11</v>
      </c>
      <c r="AV48">
        <v>12</v>
      </c>
      <c r="AW48">
        <v>13</v>
      </c>
      <c r="AX48" s="120"/>
    </row>
    <row r="49" spans="1:52" x14ac:dyDescent="0.25">
      <c r="A49" t="s">
        <v>5</v>
      </c>
      <c r="B49" t="s">
        <v>101</v>
      </c>
      <c r="C49">
        <f>ROUND(Q49/5,0)</f>
        <v>2</v>
      </c>
      <c r="D49">
        <f>ROUND(Q49/5,0)</f>
        <v>2</v>
      </c>
      <c r="E49">
        <f>ROUND(Q49/5,0)</f>
        <v>2</v>
      </c>
      <c r="F49">
        <f>ROUND(Q49/5,0)</f>
        <v>2</v>
      </c>
      <c r="G49">
        <f>Q49-SUM(C49:F49)</f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120">
        <f t="shared" ref="P49" si="114">SUM(C49:O49)-Q49</f>
        <v>0</v>
      </c>
      <c r="Q49" t="str">
        <f>FIXED(R49,0)</f>
        <v>8</v>
      </c>
      <c r="R49">
        <v>7.8056640642171677</v>
      </c>
      <c r="T49">
        <f>ROUND(AH49/5,0)</f>
        <v>2</v>
      </c>
      <c r="U49">
        <f>ROUND(AH49/5,0)</f>
        <v>2</v>
      </c>
      <c r="V49">
        <f>ROUND(AH49/5,0)</f>
        <v>2</v>
      </c>
      <c r="W49">
        <f>ROUND(AH49/5,0)</f>
        <v>2</v>
      </c>
      <c r="X49">
        <f>AH49-SUM(T49:W49)</f>
        <v>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s="120">
        <f t="shared" ref="AG49" si="115">SUM(T49:AF49)-AH49</f>
        <v>0</v>
      </c>
      <c r="AH49" t="str">
        <f>FIXED(AI49,0)</f>
        <v>10</v>
      </c>
      <c r="AI49">
        <v>10.286561926149718</v>
      </c>
      <c r="AK49">
        <f>ROUND(AY49/6,0)</f>
        <v>2</v>
      </c>
      <c r="AL49">
        <f>ROUND(AY49/6,0)</f>
        <v>2</v>
      </c>
      <c r="AM49">
        <f>ROUND(AY49/6,0)</f>
        <v>2</v>
      </c>
      <c r="AN49">
        <f>ROUND(AY49/6,0)</f>
        <v>2</v>
      </c>
      <c r="AO49">
        <f>ROUND(AZ49/6,0)</f>
        <v>2</v>
      </c>
      <c r="AP49">
        <f>AY49-SUM(AK49:AO49)</f>
        <v>3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120">
        <f t="shared" ref="AX49" si="116">SUM(AK49:AW49)-AY49</f>
        <v>0</v>
      </c>
      <c r="AY49" t="str">
        <f>FIXED(AZ49,0)</f>
        <v>13</v>
      </c>
      <c r="AZ49">
        <v>12.767459788082276</v>
      </c>
    </row>
    <row r="50" spans="1:52" x14ac:dyDescent="0.25">
      <c r="B50" t="s">
        <v>102</v>
      </c>
      <c r="C50">
        <f t="shared" ref="C50:C51" si="117">ROUND(Q50/5,0)</f>
        <v>26</v>
      </c>
      <c r="D50">
        <f t="shared" ref="D50:D51" si="118">ROUND(Q50/5,0)</f>
        <v>26</v>
      </c>
      <c r="E50">
        <f t="shared" ref="E50:E51" si="119">ROUND(Q50/5,0)</f>
        <v>26</v>
      </c>
      <c r="F50">
        <f t="shared" ref="F50:F51" si="120">ROUND(Q50/5,0)</f>
        <v>26</v>
      </c>
      <c r="G50">
        <f t="shared" ref="G50:G51" si="121">Q50-SUM(C50:F50)</f>
        <v>28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120">
        <f t="shared" si="38"/>
        <v>0</v>
      </c>
      <c r="Q50" t="str">
        <f t="shared" ref="Q50:Q61" si="122">FIXED(R50,0)</f>
        <v>132</v>
      </c>
      <c r="R50">
        <v>131.75372427472149</v>
      </c>
      <c r="T50">
        <f t="shared" ref="T50:T51" si="123">ROUND(AH50/5,0)</f>
        <v>31</v>
      </c>
      <c r="U50">
        <f t="shared" ref="U50:U51" si="124">ROUND(AH50/5,0)</f>
        <v>31</v>
      </c>
      <c r="V50">
        <f t="shared" ref="V50:V51" si="125">ROUND(AH50/5,0)</f>
        <v>31</v>
      </c>
      <c r="W50">
        <f t="shared" ref="W50:W51" si="126">ROUND(AH50/5,0)</f>
        <v>31</v>
      </c>
      <c r="X50">
        <f t="shared" ref="X50:X51" si="127">AH50-SUM(T50:W50)</f>
        <v>30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 s="120">
        <f t="shared" si="39"/>
        <v>0</v>
      </c>
      <c r="AH50" t="str">
        <f t="shared" ref="AH50:AH61" si="128">FIXED(AI50,0)</f>
        <v>154</v>
      </c>
      <c r="AI50">
        <v>154.47287280443786</v>
      </c>
      <c r="AK50">
        <f t="shared" ref="AK50:AK51" si="129">ROUND(AY50/6,0)</f>
        <v>30</v>
      </c>
      <c r="AL50">
        <f t="shared" ref="AL50:AL51" si="130">ROUND(AY50/6,0)</f>
        <v>30</v>
      </c>
      <c r="AM50">
        <f t="shared" ref="AM50:AM51" si="131">ROUND(AY50/6,0)</f>
        <v>30</v>
      </c>
      <c r="AN50">
        <f t="shared" ref="AN50:AN51" si="132">ROUND(AY50/6,0)</f>
        <v>30</v>
      </c>
      <c r="AO50">
        <f t="shared" ref="AO50:AO51" si="133">ROUND(AZ50/6,0)</f>
        <v>30</v>
      </c>
      <c r="AP50">
        <f t="shared" ref="AP50:AP51" si="134">AY50-SUM(AK50:AO50)</f>
        <v>27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120">
        <f t="shared" si="40"/>
        <v>0</v>
      </c>
      <c r="AY50" t="str">
        <f t="shared" ref="AY50:AY61" si="135">FIXED(AZ50,0)</f>
        <v>177</v>
      </c>
      <c r="AZ50">
        <v>177.1920213341543</v>
      </c>
    </row>
    <row r="51" spans="1:52" x14ac:dyDescent="0.25">
      <c r="B51" t="s">
        <v>103</v>
      </c>
      <c r="C51">
        <f t="shared" si="117"/>
        <v>15</v>
      </c>
      <c r="D51">
        <f t="shared" si="118"/>
        <v>15</v>
      </c>
      <c r="E51">
        <f t="shared" si="119"/>
        <v>15</v>
      </c>
      <c r="F51">
        <f t="shared" si="120"/>
        <v>15</v>
      </c>
      <c r="G51">
        <f t="shared" si="121"/>
        <v>17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120">
        <f t="shared" si="38"/>
        <v>0</v>
      </c>
      <c r="Q51" t="str">
        <f t="shared" si="122"/>
        <v>77</v>
      </c>
      <c r="R51">
        <v>77.170128161267741</v>
      </c>
      <c r="T51">
        <f t="shared" si="123"/>
        <v>17</v>
      </c>
      <c r="U51">
        <f t="shared" si="124"/>
        <v>17</v>
      </c>
      <c r="V51">
        <f t="shared" si="125"/>
        <v>17</v>
      </c>
      <c r="W51">
        <f t="shared" si="126"/>
        <v>17</v>
      </c>
      <c r="X51">
        <f t="shared" si="127"/>
        <v>16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s="120">
        <f t="shared" si="39"/>
        <v>0</v>
      </c>
      <c r="AH51" t="str">
        <f t="shared" si="128"/>
        <v>84</v>
      </c>
      <c r="AI51">
        <v>83.643089602379362</v>
      </c>
      <c r="AK51">
        <f t="shared" si="129"/>
        <v>15</v>
      </c>
      <c r="AL51">
        <f t="shared" si="130"/>
        <v>15</v>
      </c>
      <c r="AM51">
        <f t="shared" si="131"/>
        <v>15</v>
      </c>
      <c r="AN51">
        <f t="shared" si="132"/>
        <v>15</v>
      </c>
      <c r="AO51">
        <f t="shared" si="133"/>
        <v>15</v>
      </c>
      <c r="AP51">
        <f t="shared" si="134"/>
        <v>15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s="120">
        <f t="shared" si="40"/>
        <v>0</v>
      </c>
      <c r="AY51" t="str">
        <f t="shared" si="135"/>
        <v>90</v>
      </c>
      <c r="AZ51">
        <v>90.116051043490998</v>
      </c>
    </row>
    <row r="52" spans="1:52" x14ac:dyDescent="0.25">
      <c r="B52" t="s">
        <v>104</v>
      </c>
      <c r="C52">
        <v>0</v>
      </c>
      <c r="D52">
        <v>0</v>
      </c>
      <c r="E52">
        <v>0</v>
      </c>
      <c r="F52">
        <v>0</v>
      </c>
      <c r="G52">
        <v>0</v>
      </c>
      <c r="N52">
        <v>0</v>
      </c>
      <c r="O52">
        <v>0</v>
      </c>
      <c r="P52" s="120"/>
      <c r="Q52" t="str">
        <f t="shared" si="122"/>
        <v>99</v>
      </c>
      <c r="R52">
        <v>99.310307750530555</v>
      </c>
      <c r="T52">
        <v>0</v>
      </c>
      <c r="U52">
        <v>0</v>
      </c>
      <c r="V52">
        <v>0</v>
      </c>
      <c r="W52">
        <v>0</v>
      </c>
      <c r="X52">
        <v>0</v>
      </c>
      <c r="AE52">
        <v>0</v>
      </c>
      <c r="AF52">
        <v>0</v>
      </c>
      <c r="AG52" s="120"/>
      <c r="AH52" t="str">
        <f t="shared" si="128"/>
        <v>116</v>
      </c>
      <c r="AI52">
        <v>115.86202570895229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W52">
        <v>0</v>
      </c>
      <c r="AX52" s="120"/>
      <c r="AY52" t="str">
        <f t="shared" si="135"/>
        <v>132</v>
      </c>
      <c r="AZ52">
        <v>132.41374366737409</v>
      </c>
    </row>
    <row r="53" spans="1:52" x14ac:dyDescent="0.25">
      <c r="B53" t="s">
        <v>105</v>
      </c>
      <c r="C53">
        <v>0</v>
      </c>
      <c r="D53">
        <v>0</v>
      </c>
      <c r="E53">
        <v>0</v>
      </c>
      <c r="F53">
        <v>0</v>
      </c>
      <c r="G53">
        <v>0</v>
      </c>
      <c r="H53">
        <v>5</v>
      </c>
      <c r="I53">
        <v>5</v>
      </c>
      <c r="J53">
        <v>6</v>
      </c>
      <c r="K53">
        <v>5</v>
      </c>
      <c r="L53">
        <v>5</v>
      </c>
      <c r="M53">
        <v>6</v>
      </c>
      <c r="N53">
        <v>0</v>
      </c>
      <c r="O53">
        <v>0</v>
      </c>
      <c r="P53" s="120">
        <f t="shared" si="38"/>
        <v>0</v>
      </c>
      <c r="Q53" t="str">
        <f t="shared" si="122"/>
        <v>32</v>
      </c>
      <c r="R53">
        <v>31.755492632736697</v>
      </c>
      <c r="T53">
        <v>0</v>
      </c>
      <c r="U53">
        <v>0</v>
      </c>
      <c r="V53">
        <v>0</v>
      </c>
      <c r="W53">
        <v>0</v>
      </c>
      <c r="X53">
        <v>0</v>
      </c>
      <c r="Y53">
        <v>6</v>
      </c>
      <c r="Z53">
        <v>6</v>
      </c>
      <c r="AA53">
        <v>5</v>
      </c>
      <c r="AB53">
        <v>6</v>
      </c>
      <c r="AC53">
        <v>6</v>
      </c>
      <c r="AD53">
        <v>5</v>
      </c>
      <c r="AE53">
        <v>0</v>
      </c>
      <c r="AF53">
        <v>0</v>
      </c>
      <c r="AG53" s="120">
        <f t="shared" si="39"/>
        <v>0</v>
      </c>
      <c r="AH53" t="str">
        <f t="shared" si="128"/>
        <v>34</v>
      </c>
      <c r="AI53">
        <v>33.740210922282735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0</v>
      </c>
      <c r="AX53" s="120">
        <f t="shared" si="40"/>
        <v>0</v>
      </c>
      <c r="AY53" t="str">
        <f t="shared" si="135"/>
        <v>36</v>
      </c>
      <c r="AZ53">
        <v>35.72492921182878</v>
      </c>
    </row>
    <row r="54" spans="1:52" x14ac:dyDescent="0.25">
      <c r="B54" t="s">
        <v>106</v>
      </c>
      <c r="C54">
        <v>0</v>
      </c>
      <c r="D54">
        <v>0</v>
      </c>
      <c r="E54">
        <v>0</v>
      </c>
      <c r="F54">
        <v>0</v>
      </c>
      <c r="G54">
        <v>0</v>
      </c>
      <c r="H54">
        <v>35</v>
      </c>
      <c r="I54">
        <v>35</v>
      </c>
      <c r="J54">
        <v>36</v>
      </c>
      <c r="K54">
        <v>35</v>
      </c>
      <c r="L54">
        <v>35</v>
      </c>
      <c r="M54">
        <v>36</v>
      </c>
      <c r="N54">
        <v>0</v>
      </c>
      <c r="O54">
        <v>0</v>
      </c>
      <c r="P54" s="120">
        <f t="shared" si="38"/>
        <v>0</v>
      </c>
      <c r="Q54" t="str">
        <f t="shared" si="122"/>
        <v>212</v>
      </c>
      <c r="R54">
        <v>211.92529207529907</v>
      </c>
      <c r="T54">
        <v>0</v>
      </c>
      <c r="U54">
        <v>0</v>
      </c>
      <c r="V54">
        <v>0</v>
      </c>
      <c r="W54">
        <v>0</v>
      </c>
      <c r="X54">
        <v>0</v>
      </c>
      <c r="Y54">
        <v>42</v>
      </c>
      <c r="Z54">
        <v>41</v>
      </c>
      <c r="AA54">
        <v>42</v>
      </c>
      <c r="AB54">
        <v>41</v>
      </c>
      <c r="AC54">
        <v>42</v>
      </c>
      <c r="AD54">
        <v>42</v>
      </c>
      <c r="AE54">
        <v>0</v>
      </c>
      <c r="AF54">
        <v>0</v>
      </c>
      <c r="AG54" s="120">
        <f t="shared" si="39"/>
        <v>0</v>
      </c>
      <c r="AH54" t="str">
        <f t="shared" si="128"/>
        <v>250</v>
      </c>
      <c r="AI54">
        <v>249.8205631753398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48</v>
      </c>
      <c r="AR54">
        <v>48</v>
      </c>
      <c r="AS54">
        <v>48</v>
      </c>
      <c r="AT54">
        <v>48</v>
      </c>
      <c r="AU54">
        <v>48</v>
      </c>
      <c r="AV54">
        <v>48</v>
      </c>
      <c r="AW54">
        <v>0</v>
      </c>
      <c r="AX54" s="120">
        <f t="shared" si="40"/>
        <v>0</v>
      </c>
      <c r="AY54" t="str">
        <f t="shared" si="135"/>
        <v>288</v>
      </c>
      <c r="AZ54">
        <v>287.7158342753807</v>
      </c>
    </row>
    <row r="55" spans="1:52" x14ac:dyDescent="0.25">
      <c r="A55" t="s">
        <v>6</v>
      </c>
      <c r="B55" t="s">
        <v>101</v>
      </c>
      <c r="C55">
        <f>ROUND(Q55/5,0)</f>
        <v>6</v>
      </c>
      <c r="D55">
        <f>ROUND(Q55/5,0)</f>
        <v>6</v>
      </c>
      <c r="E55">
        <f>ROUND(Q55/5,0)</f>
        <v>6</v>
      </c>
      <c r="F55">
        <f>ROUND(Q55/5,0)</f>
        <v>6</v>
      </c>
      <c r="G55">
        <f>Q55-SUM(C55:F55)</f>
        <v>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120">
        <f t="shared" si="38"/>
        <v>0</v>
      </c>
      <c r="Q55" t="str">
        <f t="shared" si="122"/>
        <v>31</v>
      </c>
      <c r="R55">
        <v>30.759903862114754</v>
      </c>
      <c r="T55">
        <f>ROUND(AH55/5,0)</f>
        <v>7</v>
      </c>
      <c r="U55">
        <f>ROUND(AH55/5,0)</f>
        <v>7</v>
      </c>
      <c r="V55">
        <f>ROUND(AH55/5,0)</f>
        <v>7</v>
      </c>
      <c r="W55">
        <f>ROUND(AH55/5,0)</f>
        <v>7</v>
      </c>
      <c r="X55">
        <f>AH55-SUM(T55:W55)</f>
        <v>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s="120">
        <f t="shared" si="39"/>
        <v>0</v>
      </c>
      <c r="AH55" t="str">
        <f t="shared" si="128"/>
        <v>35</v>
      </c>
      <c r="AI55">
        <v>34.984135356756667</v>
      </c>
      <c r="AK55">
        <f>ROUND(AY55/6,0)</f>
        <v>7</v>
      </c>
      <c r="AL55">
        <f>ROUND(AY55/6,0)</f>
        <v>7</v>
      </c>
      <c r="AM55">
        <f>ROUND(AY55/6,0)</f>
        <v>7</v>
      </c>
      <c r="AN55">
        <f>ROUND(AY55/6,0)</f>
        <v>7</v>
      </c>
      <c r="AO55">
        <f>ROUND(AZ55/6,0)</f>
        <v>7</v>
      </c>
      <c r="AP55">
        <f>AY55-SUM(AK55:AO55)</f>
        <v>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120">
        <f t="shared" si="40"/>
        <v>0</v>
      </c>
      <c r="AY55" t="str">
        <f t="shared" si="135"/>
        <v>39</v>
      </c>
      <c r="AZ55">
        <v>39.208366851398587</v>
      </c>
    </row>
    <row r="56" spans="1:52" x14ac:dyDescent="0.25">
      <c r="B56" t="s">
        <v>102</v>
      </c>
      <c r="C56">
        <f t="shared" ref="C56:C57" si="136">ROUND(Q56/5,0)</f>
        <v>70</v>
      </c>
      <c r="D56">
        <f t="shared" ref="D56:D57" si="137">ROUND(Q56/5,0)</f>
        <v>70</v>
      </c>
      <c r="E56">
        <f t="shared" ref="E56:E57" si="138">ROUND(Q56/5,0)</f>
        <v>70</v>
      </c>
      <c r="F56">
        <f t="shared" ref="F56:F57" si="139">ROUND(Q56/5,0)</f>
        <v>70</v>
      </c>
      <c r="G56">
        <f t="shared" ref="G56:G57" si="140">Q56-SUM(C56:F56)</f>
        <v>71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120">
        <f t="shared" si="38"/>
        <v>0</v>
      </c>
      <c r="Q56" t="str">
        <f t="shared" si="122"/>
        <v>351</v>
      </c>
      <c r="R56">
        <v>351.29550614430474</v>
      </c>
      <c r="T56">
        <f t="shared" ref="T56:T57" si="141">ROUND(AH56/5,0)</f>
        <v>78</v>
      </c>
      <c r="U56">
        <f t="shared" ref="U56:U57" si="142">ROUND(AH56/5,0)</f>
        <v>78</v>
      </c>
      <c r="V56">
        <f t="shared" ref="V56:V57" si="143">ROUND(AH56/5,0)</f>
        <v>78</v>
      </c>
      <c r="W56">
        <f t="shared" ref="W56:W57" si="144">ROUND(AH56/5,0)</f>
        <v>78</v>
      </c>
      <c r="X56">
        <f t="shared" ref="X56:X57" si="145">AH56-SUM(T56:W56)</f>
        <v>78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s="120">
        <f t="shared" si="39"/>
        <v>0</v>
      </c>
      <c r="AH56" t="str">
        <f t="shared" si="128"/>
        <v>390</v>
      </c>
      <c r="AI56">
        <v>389.97946174895685</v>
      </c>
      <c r="AK56">
        <f t="shared" ref="AK56:AK57" si="146">ROUND(AY56/6,0)</f>
        <v>72</v>
      </c>
      <c r="AL56">
        <f t="shared" ref="AL56:AL57" si="147">ROUND(AY56/6,0)</f>
        <v>72</v>
      </c>
      <c r="AM56">
        <f t="shared" ref="AM56:AM57" si="148">ROUND(AY56/6,0)</f>
        <v>72</v>
      </c>
      <c r="AN56">
        <f t="shared" ref="AN56:AN57" si="149">ROUND(AY56/6,0)</f>
        <v>72</v>
      </c>
      <c r="AO56">
        <f t="shared" ref="AO56:AO57" si="150">ROUND(AZ56/6,0)</f>
        <v>71</v>
      </c>
      <c r="AP56">
        <f t="shared" ref="AP56:AP57" si="151">AY56-SUM(AK56:AO56)</f>
        <v>70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120">
        <f t="shared" si="40"/>
        <v>0</v>
      </c>
      <c r="AY56" t="str">
        <f t="shared" si="135"/>
        <v>429</v>
      </c>
      <c r="AZ56">
        <v>428.66341735360913</v>
      </c>
    </row>
    <row r="57" spans="1:52" x14ac:dyDescent="0.25">
      <c r="B57" t="s">
        <v>103</v>
      </c>
      <c r="C57">
        <f t="shared" si="136"/>
        <v>29</v>
      </c>
      <c r="D57">
        <f t="shared" si="137"/>
        <v>29</v>
      </c>
      <c r="E57">
        <f t="shared" si="138"/>
        <v>29</v>
      </c>
      <c r="F57">
        <f t="shared" si="139"/>
        <v>29</v>
      </c>
      <c r="G57">
        <f t="shared" si="140"/>
        <v>30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120">
        <f t="shared" si="38"/>
        <v>0</v>
      </c>
      <c r="Q57" t="str">
        <f t="shared" si="122"/>
        <v>146</v>
      </c>
      <c r="R57">
        <v>145.85865545058857</v>
      </c>
      <c r="T57">
        <f t="shared" si="141"/>
        <v>31</v>
      </c>
      <c r="U57">
        <f t="shared" si="142"/>
        <v>31</v>
      </c>
      <c r="V57">
        <f t="shared" si="143"/>
        <v>31</v>
      </c>
      <c r="W57">
        <f t="shared" si="144"/>
        <v>31</v>
      </c>
      <c r="X57">
        <f t="shared" si="145"/>
        <v>33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s="120">
        <f t="shared" si="39"/>
        <v>0</v>
      </c>
      <c r="AH57" t="str">
        <f t="shared" si="128"/>
        <v>157</v>
      </c>
      <c r="AI57">
        <v>156.88018439085974</v>
      </c>
      <c r="AK57">
        <f t="shared" si="146"/>
        <v>28</v>
      </c>
      <c r="AL57">
        <f t="shared" si="147"/>
        <v>28</v>
      </c>
      <c r="AM57">
        <f t="shared" si="148"/>
        <v>28</v>
      </c>
      <c r="AN57">
        <f t="shared" si="149"/>
        <v>28</v>
      </c>
      <c r="AO57">
        <f t="shared" si="150"/>
        <v>28</v>
      </c>
      <c r="AP57">
        <f t="shared" si="151"/>
        <v>28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120">
        <f t="shared" si="40"/>
        <v>0</v>
      </c>
      <c r="AY57" t="str">
        <f t="shared" si="135"/>
        <v>168</v>
      </c>
      <c r="AZ57">
        <v>167.90171333113094</v>
      </c>
    </row>
    <row r="58" spans="1:52" x14ac:dyDescent="0.25">
      <c r="B58" t="s">
        <v>104</v>
      </c>
      <c r="C58">
        <v>0</v>
      </c>
      <c r="D58">
        <v>0</v>
      </c>
      <c r="E58">
        <v>0</v>
      </c>
      <c r="F58">
        <v>0</v>
      </c>
      <c r="G58">
        <v>0</v>
      </c>
      <c r="N58">
        <v>0</v>
      </c>
      <c r="O58">
        <v>0</v>
      </c>
      <c r="P58" s="120"/>
      <c r="Q58" t="str">
        <f t="shared" si="122"/>
        <v>169</v>
      </c>
      <c r="R58">
        <v>169.09592941306556</v>
      </c>
      <c r="T58">
        <v>0</v>
      </c>
      <c r="U58">
        <v>0</v>
      </c>
      <c r="V58">
        <v>0</v>
      </c>
      <c r="W58">
        <v>0</v>
      </c>
      <c r="X58">
        <v>0</v>
      </c>
      <c r="AE58">
        <v>0</v>
      </c>
      <c r="AF58">
        <v>0</v>
      </c>
      <c r="AG58" s="120"/>
      <c r="AH58" t="str">
        <f t="shared" si="128"/>
        <v>197</v>
      </c>
      <c r="AI58">
        <v>197.27858431524308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W58">
        <v>0</v>
      </c>
      <c r="AX58" s="120"/>
      <c r="AY58" t="str">
        <f t="shared" si="135"/>
        <v>225</v>
      </c>
      <c r="AZ58">
        <v>225.46123921742068</v>
      </c>
    </row>
    <row r="59" spans="1:52" x14ac:dyDescent="0.25">
      <c r="B59" t="s">
        <v>105</v>
      </c>
      <c r="C59">
        <v>0</v>
      </c>
      <c r="D59">
        <v>0</v>
      </c>
      <c r="E59">
        <v>0</v>
      </c>
      <c r="F59">
        <v>0</v>
      </c>
      <c r="G59">
        <v>0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0</v>
      </c>
      <c r="O59">
        <v>0</v>
      </c>
      <c r="P59" s="120">
        <f t="shared" si="38"/>
        <v>0</v>
      </c>
      <c r="Q59" t="str">
        <f t="shared" si="122"/>
        <v>54</v>
      </c>
      <c r="R59">
        <v>54.070163131416543</v>
      </c>
      <c r="T59">
        <v>0</v>
      </c>
      <c r="U59">
        <v>0</v>
      </c>
      <c r="V59">
        <v>0</v>
      </c>
      <c r="W59">
        <v>0</v>
      </c>
      <c r="X59">
        <v>0</v>
      </c>
      <c r="Y59">
        <v>10</v>
      </c>
      <c r="Z59">
        <v>9</v>
      </c>
      <c r="AA59">
        <v>10</v>
      </c>
      <c r="AB59">
        <v>9</v>
      </c>
      <c r="AC59">
        <v>10</v>
      </c>
      <c r="AD59">
        <v>9</v>
      </c>
      <c r="AE59">
        <v>0</v>
      </c>
      <c r="AF59">
        <v>0</v>
      </c>
      <c r="AG59" s="120">
        <f t="shared" si="39"/>
        <v>0</v>
      </c>
      <c r="AH59" t="str">
        <f t="shared" si="128"/>
        <v>57</v>
      </c>
      <c r="AI59">
        <v>57.449548327130067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10</v>
      </c>
      <c r="AR59">
        <v>10</v>
      </c>
      <c r="AS59">
        <v>10</v>
      </c>
      <c r="AT59">
        <v>10</v>
      </c>
      <c r="AU59">
        <v>10</v>
      </c>
      <c r="AV59">
        <v>11</v>
      </c>
      <c r="AW59">
        <v>0</v>
      </c>
      <c r="AX59" s="120">
        <f t="shared" si="40"/>
        <v>0</v>
      </c>
      <c r="AY59" t="str">
        <f t="shared" si="135"/>
        <v>61</v>
      </c>
      <c r="AZ59">
        <v>60.828933522843599</v>
      </c>
    </row>
    <row r="60" spans="1:52" x14ac:dyDescent="0.25">
      <c r="B60" t="s">
        <v>106</v>
      </c>
      <c r="C60">
        <v>0</v>
      </c>
      <c r="D60">
        <v>0</v>
      </c>
      <c r="E60">
        <v>0</v>
      </c>
      <c r="F60">
        <v>0</v>
      </c>
      <c r="G60">
        <v>0</v>
      </c>
      <c r="H60">
        <v>60</v>
      </c>
      <c r="I60">
        <v>60</v>
      </c>
      <c r="J60">
        <v>60</v>
      </c>
      <c r="K60">
        <v>60</v>
      </c>
      <c r="L60">
        <v>60</v>
      </c>
      <c r="M60">
        <v>61</v>
      </c>
      <c r="N60">
        <v>0</v>
      </c>
      <c r="O60">
        <v>0</v>
      </c>
      <c r="P60" s="120">
        <f t="shared" si="38"/>
        <v>0</v>
      </c>
      <c r="Q60" t="str">
        <f t="shared" si="122"/>
        <v>361</v>
      </c>
      <c r="R60">
        <v>360.84576758767145</v>
      </c>
      <c r="T60">
        <v>0</v>
      </c>
      <c r="U60">
        <v>0</v>
      </c>
      <c r="V60">
        <v>0</v>
      </c>
      <c r="W60">
        <v>0</v>
      </c>
      <c r="X60">
        <v>0</v>
      </c>
      <c r="Y60">
        <v>71</v>
      </c>
      <c r="Z60">
        <v>71</v>
      </c>
      <c r="AA60">
        <v>71</v>
      </c>
      <c r="AB60">
        <v>71</v>
      </c>
      <c r="AC60">
        <v>71</v>
      </c>
      <c r="AD60">
        <v>70</v>
      </c>
      <c r="AE60">
        <v>0</v>
      </c>
      <c r="AF60">
        <v>0</v>
      </c>
      <c r="AG60" s="120">
        <f t="shared" si="39"/>
        <v>0</v>
      </c>
      <c r="AH60" t="str">
        <f t="shared" si="128"/>
        <v>425</v>
      </c>
      <c r="AI60">
        <v>425.3701481093625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82</v>
      </c>
      <c r="AR60">
        <v>82</v>
      </c>
      <c r="AS60">
        <v>82</v>
      </c>
      <c r="AT60">
        <v>81</v>
      </c>
      <c r="AU60">
        <v>82</v>
      </c>
      <c r="AV60">
        <v>81</v>
      </c>
      <c r="AW60">
        <v>0</v>
      </c>
      <c r="AX60" s="120">
        <f t="shared" si="40"/>
        <v>0</v>
      </c>
      <c r="AY60" t="str">
        <f t="shared" si="135"/>
        <v>490</v>
      </c>
      <c r="AZ60">
        <v>489.89452863105367</v>
      </c>
    </row>
    <row r="61" spans="1:52" x14ac:dyDescent="0.25">
      <c r="P61" s="120">
        <f t="shared" si="38"/>
        <v>-1672</v>
      </c>
      <c r="Q61" t="str">
        <f t="shared" si="122"/>
        <v>1,672</v>
      </c>
      <c r="R61">
        <v>1671.6465345479335</v>
      </c>
      <c r="AG61" s="120">
        <f t="shared" si="39"/>
        <v>-1910</v>
      </c>
      <c r="AH61" t="str">
        <f t="shared" si="128"/>
        <v>1,910</v>
      </c>
      <c r="AI61">
        <v>1909.7673863878515</v>
      </c>
      <c r="AX61" s="120"/>
      <c r="AY61" t="str">
        <f t="shared" si="135"/>
        <v>2,148</v>
      </c>
      <c r="AZ61">
        <v>2147.888238227767</v>
      </c>
    </row>
    <row r="62" spans="1:52" x14ac:dyDescent="0.25">
      <c r="A62" t="s">
        <v>114</v>
      </c>
      <c r="P62" s="120"/>
      <c r="AG62" s="120"/>
      <c r="AX62" s="120"/>
    </row>
    <row r="63" spans="1:52" x14ac:dyDescent="0.25">
      <c r="B63" t="s">
        <v>11</v>
      </c>
      <c r="C63">
        <v>1</v>
      </c>
      <c r="D63">
        <v>2</v>
      </c>
      <c r="E63">
        <v>3</v>
      </c>
      <c r="F63">
        <v>4</v>
      </c>
      <c r="G63">
        <v>5</v>
      </c>
      <c r="I63">
        <v>7</v>
      </c>
      <c r="J63">
        <v>8</v>
      </c>
      <c r="K63">
        <v>9</v>
      </c>
      <c r="L63">
        <v>10</v>
      </c>
      <c r="M63">
        <v>11</v>
      </c>
      <c r="N63">
        <v>12</v>
      </c>
      <c r="O63">
        <v>13</v>
      </c>
      <c r="P63" s="120"/>
      <c r="T63">
        <v>1</v>
      </c>
      <c r="U63">
        <v>2</v>
      </c>
      <c r="V63">
        <v>3</v>
      </c>
      <c r="W63">
        <v>4</v>
      </c>
      <c r="X63">
        <v>5</v>
      </c>
      <c r="Z63">
        <v>7</v>
      </c>
      <c r="AA63">
        <v>8</v>
      </c>
      <c r="AB63">
        <v>9</v>
      </c>
      <c r="AC63">
        <v>10</v>
      </c>
      <c r="AD63">
        <v>11</v>
      </c>
      <c r="AE63">
        <v>12</v>
      </c>
      <c r="AF63">
        <v>13</v>
      </c>
      <c r="AG63" s="120"/>
      <c r="AK63">
        <v>1</v>
      </c>
      <c r="AL63">
        <v>2</v>
      </c>
      <c r="AM63">
        <v>3</v>
      </c>
      <c r="AN63">
        <v>4</v>
      </c>
      <c r="AO63">
        <v>4</v>
      </c>
      <c r="AQ63">
        <v>7</v>
      </c>
      <c r="AR63">
        <v>8</v>
      </c>
      <c r="AS63">
        <v>9</v>
      </c>
      <c r="AT63">
        <v>10</v>
      </c>
      <c r="AU63">
        <v>11</v>
      </c>
      <c r="AV63">
        <v>12</v>
      </c>
      <c r="AW63">
        <v>13</v>
      </c>
      <c r="AX63" s="120"/>
    </row>
    <row r="64" spans="1:52" x14ac:dyDescent="0.25">
      <c r="A64" t="s">
        <v>5</v>
      </c>
      <c r="B64" t="s">
        <v>101</v>
      </c>
      <c r="C64">
        <f>ROUND(Q64/5,0)</f>
        <v>2</v>
      </c>
      <c r="D64">
        <f>ROUND(Q64/5,0)</f>
        <v>2</v>
      </c>
      <c r="E64">
        <f>ROUND(Q64/5,0)</f>
        <v>2</v>
      </c>
      <c r="F64">
        <f>ROUND(Q64/5,0)</f>
        <v>2</v>
      </c>
      <c r="G64">
        <f>Q64-SUM(C64:F64)</f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120">
        <f t="shared" ref="P64" si="152">SUM(C64:O64)-Q64</f>
        <v>0</v>
      </c>
      <c r="Q64" t="str">
        <f>FIXED(R64,0)</f>
        <v>8</v>
      </c>
      <c r="R64">
        <v>7.8056640642171677</v>
      </c>
      <c r="T64">
        <f>ROUND(AH64/5,0)</f>
        <v>2</v>
      </c>
      <c r="U64">
        <f>ROUND(AH64/5,0)</f>
        <v>2</v>
      </c>
      <c r="V64">
        <f>ROUND(AH64/5,0)</f>
        <v>2</v>
      </c>
      <c r="W64">
        <f>ROUND(AH64/5,0)</f>
        <v>2</v>
      </c>
      <c r="X64">
        <f>AH64-SUM(T64:W64)</f>
        <v>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s="120">
        <f t="shared" ref="AG64" si="153">SUM(T64:AF64)-AH64</f>
        <v>0</v>
      </c>
      <c r="AH64" t="str">
        <f>FIXED(AI64,0)</f>
        <v>10</v>
      </c>
      <c r="AI64">
        <v>10.286561926149718</v>
      </c>
      <c r="AK64">
        <f>ROUND(AY64/6,0)</f>
        <v>2</v>
      </c>
      <c r="AL64">
        <f>ROUND(AY64/6,0)</f>
        <v>2</v>
      </c>
      <c r="AM64">
        <f>ROUND(AY64/6,0)</f>
        <v>2</v>
      </c>
      <c r="AN64">
        <f>ROUND(AY64/6,0)</f>
        <v>2</v>
      </c>
      <c r="AO64">
        <f>ROUND(AZ64/6,0)</f>
        <v>2</v>
      </c>
      <c r="AP64">
        <f>AY64-SUM(AK64:AO64)</f>
        <v>3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120">
        <f t="shared" ref="AX64" si="154">SUM(AK64:AW64)-AY64</f>
        <v>0</v>
      </c>
      <c r="AY64" t="str">
        <f>FIXED(AZ64,0)</f>
        <v>13</v>
      </c>
      <c r="AZ64">
        <v>12.767459788082276</v>
      </c>
    </row>
    <row r="65" spans="1:52" x14ac:dyDescent="0.25">
      <c r="B65" t="s">
        <v>102</v>
      </c>
      <c r="C65">
        <f t="shared" ref="C65:C66" si="155">ROUND(Q65/5,0)</f>
        <v>26</v>
      </c>
      <c r="D65">
        <f t="shared" ref="D65:D66" si="156">ROUND(Q65/5,0)</f>
        <v>26</v>
      </c>
      <c r="E65">
        <f t="shared" ref="E65:E66" si="157">ROUND(Q65/5,0)</f>
        <v>26</v>
      </c>
      <c r="F65">
        <f t="shared" ref="F65:F66" si="158">ROUND(Q65/5,0)</f>
        <v>26</v>
      </c>
      <c r="G65">
        <f t="shared" ref="G65:G66" si="159">Q65-SUM(C65:F65)</f>
        <v>28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120">
        <f t="shared" si="38"/>
        <v>0</v>
      </c>
      <c r="Q65" t="str">
        <f t="shared" ref="Q65:Q76" si="160">FIXED(R65,0)</f>
        <v>132</v>
      </c>
      <c r="R65">
        <v>131.75372427472149</v>
      </c>
      <c r="T65">
        <f t="shared" ref="T65:T66" si="161">ROUND(AH65/5,0)</f>
        <v>31</v>
      </c>
      <c r="U65">
        <f t="shared" ref="U65:U66" si="162">ROUND(AH65/5,0)</f>
        <v>31</v>
      </c>
      <c r="V65">
        <f t="shared" ref="V65:V66" si="163">ROUND(AH65/5,0)</f>
        <v>31</v>
      </c>
      <c r="W65">
        <f t="shared" ref="W65:W66" si="164">ROUND(AH65/5,0)</f>
        <v>31</v>
      </c>
      <c r="X65">
        <f t="shared" ref="X65:X66" si="165">AH65-SUM(T65:W65)</f>
        <v>30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 s="120">
        <f t="shared" si="39"/>
        <v>0</v>
      </c>
      <c r="AH65" t="str">
        <f t="shared" ref="AH65:AH76" si="166">FIXED(AI65,0)</f>
        <v>154</v>
      </c>
      <c r="AI65">
        <v>154.47287280443786</v>
      </c>
      <c r="AK65">
        <f t="shared" ref="AK65:AK66" si="167">ROUND(AY65/6,0)</f>
        <v>30</v>
      </c>
      <c r="AL65">
        <f t="shared" ref="AL65:AL66" si="168">ROUND(AY65/6,0)</f>
        <v>30</v>
      </c>
      <c r="AM65">
        <f t="shared" ref="AM65:AM66" si="169">ROUND(AY65/6,0)</f>
        <v>30</v>
      </c>
      <c r="AN65">
        <f t="shared" ref="AN65:AN66" si="170">ROUND(AY65/6,0)</f>
        <v>30</v>
      </c>
      <c r="AO65">
        <f t="shared" ref="AO65:AO66" si="171">ROUND(AZ65/6,0)</f>
        <v>30</v>
      </c>
      <c r="AP65">
        <f t="shared" ref="AP65:AP66" si="172">AY65-SUM(AK65:AO65)</f>
        <v>27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120">
        <f t="shared" si="40"/>
        <v>0</v>
      </c>
      <c r="AY65" t="str">
        <f t="shared" ref="AY65:AY76" si="173">FIXED(AZ65,0)</f>
        <v>177</v>
      </c>
      <c r="AZ65">
        <v>177.1920213341543</v>
      </c>
    </row>
    <row r="66" spans="1:52" x14ac:dyDescent="0.25">
      <c r="B66" t="s">
        <v>103</v>
      </c>
      <c r="C66">
        <f t="shared" si="155"/>
        <v>15</v>
      </c>
      <c r="D66">
        <f t="shared" si="156"/>
        <v>15</v>
      </c>
      <c r="E66">
        <f t="shared" si="157"/>
        <v>15</v>
      </c>
      <c r="F66">
        <f t="shared" si="158"/>
        <v>15</v>
      </c>
      <c r="G66">
        <f t="shared" si="159"/>
        <v>17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120">
        <f t="shared" si="38"/>
        <v>0</v>
      </c>
      <c r="Q66" t="str">
        <f t="shared" si="160"/>
        <v>77</v>
      </c>
      <c r="R66">
        <v>77.170128161267741</v>
      </c>
      <c r="T66">
        <f t="shared" si="161"/>
        <v>17</v>
      </c>
      <c r="U66">
        <f t="shared" si="162"/>
        <v>17</v>
      </c>
      <c r="V66">
        <f t="shared" si="163"/>
        <v>17</v>
      </c>
      <c r="W66">
        <f t="shared" si="164"/>
        <v>17</v>
      </c>
      <c r="X66">
        <f t="shared" si="165"/>
        <v>16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s="120">
        <f t="shared" si="39"/>
        <v>0</v>
      </c>
      <c r="AH66" t="str">
        <f t="shared" si="166"/>
        <v>84</v>
      </c>
      <c r="AI66">
        <v>83.643089602379362</v>
      </c>
      <c r="AK66">
        <f t="shared" si="167"/>
        <v>15</v>
      </c>
      <c r="AL66">
        <f t="shared" si="168"/>
        <v>15</v>
      </c>
      <c r="AM66">
        <f t="shared" si="169"/>
        <v>15</v>
      </c>
      <c r="AN66">
        <f t="shared" si="170"/>
        <v>15</v>
      </c>
      <c r="AO66">
        <f t="shared" si="171"/>
        <v>15</v>
      </c>
      <c r="AP66">
        <f t="shared" si="172"/>
        <v>15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120">
        <f t="shared" si="40"/>
        <v>0</v>
      </c>
      <c r="AY66" t="str">
        <f t="shared" si="173"/>
        <v>90</v>
      </c>
      <c r="AZ66">
        <v>90.116051043490998</v>
      </c>
    </row>
    <row r="67" spans="1:52" x14ac:dyDescent="0.25">
      <c r="B67" t="s">
        <v>104</v>
      </c>
      <c r="C67">
        <v>0</v>
      </c>
      <c r="D67">
        <v>0</v>
      </c>
      <c r="E67">
        <v>0</v>
      </c>
      <c r="F67">
        <v>0</v>
      </c>
      <c r="G67">
        <v>0</v>
      </c>
      <c r="H67">
        <v>17</v>
      </c>
      <c r="I67">
        <v>16</v>
      </c>
      <c r="J67">
        <v>17</v>
      </c>
      <c r="K67">
        <v>16</v>
      </c>
      <c r="L67">
        <v>17</v>
      </c>
      <c r="M67">
        <v>16</v>
      </c>
      <c r="N67">
        <v>0</v>
      </c>
      <c r="O67">
        <v>0</v>
      </c>
      <c r="P67" s="120">
        <f t="shared" si="38"/>
        <v>0</v>
      </c>
      <c r="Q67" t="str">
        <f t="shared" si="160"/>
        <v>99</v>
      </c>
      <c r="R67">
        <v>99.310307750530555</v>
      </c>
      <c r="T67">
        <v>0</v>
      </c>
      <c r="U67">
        <v>0</v>
      </c>
      <c r="V67">
        <v>0</v>
      </c>
      <c r="W67">
        <v>0</v>
      </c>
      <c r="X67">
        <v>0</v>
      </c>
      <c r="Y67">
        <v>19</v>
      </c>
      <c r="Z67">
        <v>19</v>
      </c>
      <c r="AA67">
        <v>20</v>
      </c>
      <c r="AB67">
        <v>19</v>
      </c>
      <c r="AC67">
        <v>19</v>
      </c>
      <c r="AD67">
        <v>20</v>
      </c>
      <c r="AE67">
        <v>0</v>
      </c>
      <c r="AF67">
        <v>0</v>
      </c>
      <c r="AG67" s="120">
        <f t="shared" si="39"/>
        <v>0</v>
      </c>
      <c r="AH67" t="str">
        <f t="shared" si="166"/>
        <v>116</v>
      </c>
      <c r="AI67">
        <v>115.86202570895229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22</v>
      </c>
      <c r="AR67">
        <v>22</v>
      </c>
      <c r="AS67">
        <v>22</v>
      </c>
      <c r="AT67">
        <v>22</v>
      </c>
      <c r="AU67">
        <v>22</v>
      </c>
      <c r="AV67">
        <v>22</v>
      </c>
      <c r="AW67">
        <v>0</v>
      </c>
      <c r="AX67" s="120">
        <f t="shared" si="40"/>
        <v>0</v>
      </c>
      <c r="AY67" t="str">
        <f t="shared" si="173"/>
        <v>132</v>
      </c>
      <c r="AZ67">
        <v>132.41374366737409</v>
      </c>
    </row>
    <row r="68" spans="1:52" x14ac:dyDescent="0.25">
      <c r="B68" t="s">
        <v>105</v>
      </c>
      <c r="C68">
        <v>0</v>
      </c>
      <c r="D68">
        <v>0</v>
      </c>
      <c r="E68">
        <v>0</v>
      </c>
      <c r="F68">
        <v>0</v>
      </c>
      <c r="G68">
        <v>0</v>
      </c>
      <c r="H68">
        <v>5</v>
      </c>
      <c r="I68">
        <v>5</v>
      </c>
      <c r="J68">
        <v>6</v>
      </c>
      <c r="K68">
        <v>5</v>
      </c>
      <c r="L68">
        <v>5</v>
      </c>
      <c r="M68">
        <v>6</v>
      </c>
      <c r="N68">
        <v>0</v>
      </c>
      <c r="O68">
        <v>0</v>
      </c>
      <c r="P68" s="120">
        <f t="shared" si="38"/>
        <v>0</v>
      </c>
      <c r="Q68" t="str">
        <f t="shared" si="160"/>
        <v>32</v>
      </c>
      <c r="R68">
        <v>31.755492632736697</v>
      </c>
      <c r="T68">
        <v>0</v>
      </c>
      <c r="U68">
        <v>0</v>
      </c>
      <c r="V68">
        <v>0</v>
      </c>
      <c r="W68">
        <v>0</v>
      </c>
      <c r="X68">
        <v>0</v>
      </c>
      <c r="Y68">
        <v>6</v>
      </c>
      <c r="Z68">
        <v>6</v>
      </c>
      <c r="AA68">
        <v>5</v>
      </c>
      <c r="AB68">
        <v>6</v>
      </c>
      <c r="AC68">
        <v>6</v>
      </c>
      <c r="AD68">
        <v>5</v>
      </c>
      <c r="AE68">
        <v>0</v>
      </c>
      <c r="AF68">
        <v>0</v>
      </c>
      <c r="AG68" s="120">
        <f t="shared" si="39"/>
        <v>0</v>
      </c>
      <c r="AH68" t="str">
        <f t="shared" si="166"/>
        <v>34</v>
      </c>
      <c r="AI68">
        <v>33.740210922282735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0</v>
      </c>
      <c r="AX68" s="120">
        <f t="shared" si="40"/>
        <v>0</v>
      </c>
      <c r="AY68" t="str">
        <f t="shared" si="173"/>
        <v>36</v>
      </c>
      <c r="AZ68">
        <v>35.72492921182878</v>
      </c>
    </row>
    <row r="69" spans="1:52" x14ac:dyDescent="0.25">
      <c r="B69" t="s">
        <v>106</v>
      </c>
      <c r="C69">
        <v>0</v>
      </c>
      <c r="D69">
        <v>0</v>
      </c>
      <c r="E69">
        <v>0</v>
      </c>
      <c r="F69">
        <v>0</v>
      </c>
      <c r="G69">
        <v>0</v>
      </c>
      <c r="H69">
        <v>35</v>
      </c>
      <c r="I69">
        <v>35</v>
      </c>
      <c r="J69">
        <v>36</v>
      </c>
      <c r="K69">
        <v>35</v>
      </c>
      <c r="L69">
        <v>35</v>
      </c>
      <c r="M69">
        <v>36</v>
      </c>
      <c r="N69">
        <v>0</v>
      </c>
      <c r="O69">
        <v>0</v>
      </c>
      <c r="P69" s="120">
        <f t="shared" si="38"/>
        <v>0</v>
      </c>
      <c r="Q69" t="str">
        <f t="shared" si="160"/>
        <v>212</v>
      </c>
      <c r="R69">
        <v>211.92529207529907</v>
      </c>
      <c r="T69">
        <v>0</v>
      </c>
      <c r="U69">
        <v>0</v>
      </c>
      <c r="V69">
        <v>0</v>
      </c>
      <c r="W69">
        <v>0</v>
      </c>
      <c r="X69">
        <v>0</v>
      </c>
      <c r="Y69">
        <v>42</v>
      </c>
      <c r="Z69">
        <v>42</v>
      </c>
      <c r="AA69">
        <v>41</v>
      </c>
      <c r="AB69">
        <v>42</v>
      </c>
      <c r="AC69">
        <v>42</v>
      </c>
      <c r="AD69">
        <v>41</v>
      </c>
      <c r="AE69">
        <v>0</v>
      </c>
      <c r="AF69">
        <v>0</v>
      </c>
      <c r="AG69" s="120">
        <f t="shared" si="39"/>
        <v>0</v>
      </c>
      <c r="AH69" t="str">
        <f t="shared" si="166"/>
        <v>250</v>
      </c>
      <c r="AI69">
        <v>249.8205631753398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48</v>
      </c>
      <c r="AR69">
        <v>48</v>
      </c>
      <c r="AS69">
        <v>48</v>
      </c>
      <c r="AT69">
        <v>48</v>
      </c>
      <c r="AU69">
        <v>48</v>
      </c>
      <c r="AV69">
        <v>48</v>
      </c>
      <c r="AW69">
        <v>0</v>
      </c>
      <c r="AX69" s="120">
        <f t="shared" si="40"/>
        <v>0</v>
      </c>
      <c r="AY69" t="str">
        <f t="shared" si="173"/>
        <v>288</v>
      </c>
      <c r="AZ69">
        <v>287.7158342753807</v>
      </c>
    </row>
    <row r="70" spans="1:52" x14ac:dyDescent="0.25">
      <c r="A70" t="s">
        <v>6</v>
      </c>
      <c r="B70" t="s">
        <v>101</v>
      </c>
      <c r="C70">
        <f>ROUND(Q70/5,0)</f>
        <v>6</v>
      </c>
      <c r="D70">
        <f>ROUND(Q70/5,0)</f>
        <v>6</v>
      </c>
      <c r="E70">
        <f>ROUND(Q70/5,0)</f>
        <v>6</v>
      </c>
      <c r="F70">
        <f>ROUND(Q70/5,0)</f>
        <v>6</v>
      </c>
      <c r="G70">
        <f>Q70-SUM(C70:F70)</f>
        <v>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120">
        <f t="shared" si="38"/>
        <v>0</v>
      </c>
      <c r="Q70" t="str">
        <f t="shared" si="160"/>
        <v>31</v>
      </c>
      <c r="R70">
        <v>30.759903862114754</v>
      </c>
      <c r="T70">
        <f>ROUND(AH70/5,0)</f>
        <v>7</v>
      </c>
      <c r="U70">
        <f>ROUND(AH70/5,0)</f>
        <v>7</v>
      </c>
      <c r="V70">
        <f>ROUND(AH70/5,0)</f>
        <v>7</v>
      </c>
      <c r="W70">
        <f>ROUND(AH70/5,0)</f>
        <v>7</v>
      </c>
      <c r="X70">
        <f>AH70-SUM(T70:W70)</f>
        <v>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s="120">
        <f t="shared" si="39"/>
        <v>0</v>
      </c>
      <c r="AH70" t="str">
        <f t="shared" si="166"/>
        <v>35</v>
      </c>
      <c r="AI70">
        <v>34.984135356756667</v>
      </c>
      <c r="AK70">
        <f>ROUND(AY70/6,0)</f>
        <v>7</v>
      </c>
      <c r="AL70">
        <f>ROUND(AY70/6,0)</f>
        <v>7</v>
      </c>
      <c r="AM70">
        <f>ROUND(AY70/6,0)</f>
        <v>7</v>
      </c>
      <c r="AN70">
        <f>ROUND(AY70/6,0)</f>
        <v>7</v>
      </c>
      <c r="AO70">
        <f>ROUND(AZ70/6,0)</f>
        <v>7</v>
      </c>
      <c r="AP70">
        <f>AY70-SUM(AK70:AO70)</f>
        <v>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120">
        <f t="shared" si="40"/>
        <v>0</v>
      </c>
      <c r="AY70" t="str">
        <f t="shared" si="173"/>
        <v>39</v>
      </c>
      <c r="AZ70">
        <v>39.208366851398587</v>
      </c>
    </row>
    <row r="71" spans="1:52" x14ac:dyDescent="0.25">
      <c r="B71" t="s">
        <v>102</v>
      </c>
      <c r="C71">
        <f t="shared" ref="C71:C72" si="174">ROUND(Q71/5,0)</f>
        <v>70</v>
      </c>
      <c r="D71">
        <f t="shared" ref="D71:D72" si="175">ROUND(Q71/5,0)</f>
        <v>70</v>
      </c>
      <c r="E71">
        <f t="shared" ref="E71:E72" si="176">ROUND(Q71/5,0)</f>
        <v>70</v>
      </c>
      <c r="F71">
        <f t="shared" ref="F71:F72" si="177">ROUND(Q71/5,0)</f>
        <v>70</v>
      </c>
      <c r="G71">
        <f t="shared" ref="G71:G72" si="178">Q71-SUM(C71:F71)</f>
        <v>71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120">
        <f t="shared" si="38"/>
        <v>0</v>
      </c>
      <c r="Q71" t="str">
        <f t="shared" si="160"/>
        <v>351</v>
      </c>
      <c r="R71">
        <v>351.29550614430474</v>
      </c>
      <c r="T71">
        <f t="shared" ref="T71:T72" si="179">ROUND(AH71/5,0)</f>
        <v>78</v>
      </c>
      <c r="U71">
        <f t="shared" ref="U71:U72" si="180">ROUND(AH71/5,0)</f>
        <v>78</v>
      </c>
      <c r="V71">
        <f t="shared" ref="V71:V72" si="181">ROUND(AH71/5,0)</f>
        <v>78</v>
      </c>
      <c r="W71">
        <f t="shared" ref="W71:W72" si="182">ROUND(AH71/5,0)</f>
        <v>78</v>
      </c>
      <c r="X71">
        <f t="shared" ref="X71:X72" si="183">AH71-SUM(T71:W71)</f>
        <v>78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s="120">
        <f t="shared" si="39"/>
        <v>0</v>
      </c>
      <c r="AH71" t="str">
        <f t="shared" si="166"/>
        <v>390</v>
      </c>
      <c r="AI71">
        <v>389.97946174895685</v>
      </c>
      <c r="AK71">
        <f t="shared" ref="AK71:AK72" si="184">ROUND(AY71/6,0)</f>
        <v>72</v>
      </c>
      <c r="AL71">
        <f t="shared" ref="AL71:AL72" si="185">ROUND(AY71/6,0)</f>
        <v>72</v>
      </c>
      <c r="AM71">
        <f t="shared" ref="AM71:AM72" si="186">ROUND(AY71/6,0)</f>
        <v>72</v>
      </c>
      <c r="AN71">
        <f t="shared" ref="AN71:AN72" si="187">ROUND(AY71/6,0)</f>
        <v>72</v>
      </c>
      <c r="AO71">
        <f t="shared" ref="AO71:AO72" si="188">ROUND(AZ71/6,0)</f>
        <v>71</v>
      </c>
      <c r="AP71">
        <f t="shared" ref="AP71:AP72" si="189">AY71-SUM(AK71:AO71)</f>
        <v>70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120">
        <f t="shared" si="40"/>
        <v>0</v>
      </c>
      <c r="AY71" t="str">
        <f t="shared" si="173"/>
        <v>429</v>
      </c>
      <c r="AZ71">
        <v>428.66341735360913</v>
      </c>
    </row>
    <row r="72" spans="1:52" x14ac:dyDescent="0.25">
      <c r="B72" t="s">
        <v>103</v>
      </c>
      <c r="C72">
        <f t="shared" si="174"/>
        <v>29</v>
      </c>
      <c r="D72">
        <f t="shared" si="175"/>
        <v>29</v>
      </c>
      <c r="E72">
        <f t="shared" si="176"/>
        <v>29</v>
      </c>
      <c r="F72">
        <f t="shared" si="177"/>
        <v>29</v>
      </c>
      <c r="G72">
        <f t="shared" si="178"/>
        <v>30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120">
        <f t="shared" si="38"/>
        <v>0</v>
      </c>
      <c r="Q72" t="str">
        <f t="shared" si="160"/>
        <v>146</v>
      </c>
      <c r="R72">
        <v>145.85865545058857</v>
      </c>
      <c r="T72">
        <f t="shared" si="179"/>
        <v>31</v>
      </c>
      <c r="U72">
        <f t="shared" si="180"/>
        <v>31</v>
      </c>
      <c r="V72">
        <f t="shared" si="181"/>
        <v>31</v>
      </c>
      <c r="W72">
        <f t="shared" si="182"/>
        <v>31</v>
      </c>
      <c r="X72">
        <f t="shared" si="183"/>
        <v>33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s="120">
        <f t="shared" si="39"/>
        <v>0</v>
      </c>
      <c r="AH72" t="str">
        <f t="shared" si="166"/>
        <v>157</v>
      </c>
      <c r="AI72">
        <v>156.88018439085974</v>
      </c>
      <c r="AK72">
        <f t="shared" si="184"/>
        <v>28</v>
      </c>
      <c r="AL72">
        <f t="shared" si="185"/>
        <v>28</v>
      </c>
      <c r="AM72">
        <f t="shared" si="186"/>
        <v>28</v>
      </c>
      <c r="AN72">
        <f t="shared" si="187"/>
        <v>28</v>
      </c>
      <c r="AO72">
        <f t="shared" si="188"/>
        <v>28</v>
      </c>
      <c r="AP72">
        <f t="shared" si="189"/>
        <v>28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120">
        <f t="shared" si="40"/>
        <v>0</v>
      </c>
      <c r="AY72" t="str">
        <f t="shared" si="173"/>
        <v>168</v>
      </c>
      <c r="AZ72">
        <v>167.90171333113094</v>
      </c>
    </row>
    <row r="73" spans="1:52" x14ac:dyDescent="0.25">
      <c r="B73" t="s">
        <v>104</v>
      </c>
      <c r="C73">
        <v>0</v>
      </c>
      <c r="D73">
        <v>0</v>
      </c>
      <c r="E73">
        <v>0</v>
      </c>
      <c r="F73">
        <v>0</v>
      </c>
      <c r="G73">
        <v>0</v>
      </c>
      <c r="H73">
        <v>28</v>
      </c>
      <c r="I73">
        <v>28</v>
      </c>
      <c r="J73">
        <v>28</v>
      </c>
      <c r="K73">
        <v>28</v>
      </c>
      <c r="L73">
        <v>28</v>
      </c>
      <c r="M73">
        <v>29</v>
      </c>
      <c r="N73">
        <v>0</v>
      </c>
      <c r="O73">
        <v>0</v>
      </c>
      <c r="P73" s="120">
        <f t="shared" si="38"/>
        <v>0</v>
      </c>
      <c r="Q73" t="str">
        <f t="shared" si="160"/>
        <v>169</v>
      </c>
      <c r="R73">
        <v>169.09592941306556</v>
      </c>
      <c r="T73">
        <v>0</v>
      </c>
      <c r="U73">
        <v>0</v>
      </c>
      <c r="V73">
        <v>0</v>
      </c>
      <c r="W73">
        <v>0</v>
      </c>
      <c r="X73">
        <v>0</v>
      </c>
      <c r="Y73">
        <v>33</v>
      </c>
      <c r="Z73">
        <v>33</v>
      </c>
      <c r="AA73">
        <v>33</v>
      </c>
      <c r="AB73">
        <v>32</v>
      </c>
      <c r="AC73">
        <v>33</v>
      </c>
      <c r="AD73">
        <v>33</v>
      </c>
      <c r="AE73">
        <v>0</v>
      </c>
      <c r="AF73">
        <v>0</v>
      </c>
      <c r="AG73" s="120">
        <f t="shared" si="39"/>
        <v>0</v>
      </c>
      <c r="AH73" t="str">
        <f t="shared" si="166"/>
        <v>197</v>
      </c>
      <c r="AI73">
        <v>197.27858431524308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38</v>
      </c>
      <c r="AR73">
        <v>37</v>
      </c>
      <c r="AS73">
        <v>38</v>
      </c>
      <c r="AT73">
        <v>37</v>
      </c>
      <c r="AU73">
        <v>38</v>
      </c>
      <c r="AV73">
        <v>37</v>
      </c>
      <c r="AW73">
        <v>0</v>
      </c>
      <c r="AX73" s="120">
        <f t="shared" si="40"/>
        <v>0</v>
      </c>
      <c r="AY73" t="str">
        <f t="shared" si="173"/>
        <v>225</v>
      </c>
      <c r="AZ73">
        <v>225.46123921742068</v>
      </c>
    </row>
    <row r="74" spans="1:52" x14ac:dyDescent="0.25">
      <c r="B74" t="s">
        <v>105</v>
      </c>
      <c r="C74">
        <v>0</v>
      </c>
      <c r="D74">
        <v>0</v>
      </c>
      <c r="E74">
        <v>0</v>
      </c>
      <c r="F74">
        <v>0</v>
      </c>
      <c r="G74">
        <v>0</v>
      </c>
      <c r="H74">
        <v>9</v>
      </c>
      <c r="I74">
        <v>9</v>
      </c>
      <c r="J74">
        <v>9</v>
      </c>
      <c r="K74">
        <v>9</v>
      </c>
      <c r="L74">
        <v>9</v>
      </c>
      <c r="M74">
        <v>9</v>
      </c>
      <c r="N74">
        <v>0</v>
      </c>
      <c r="O74">
        <v>0</v>
      </c>
      <c r="P74" s="120">
        <f t="shared" si="38"/>
        <v>0</v>
      </c>
      <c r="Q74" t="str">
        <f t="shared" si="160"/>
        <v>54</v>
      </c>
      <c r="R74">
        <v>54.070163131416543</v>
      </c>
      <c r="T74">
        <v>0</v>
      </c>
      <c r="U74">
        <v>0</v>
      </c>
      <c r="V74">
        <v>0</v>
      </c>
      <c r="W74">
        <v>0</v>
      </c>
      <c r="X74">
        <v>0</v>
      </c>
      <c r="Y74">
        <v>10</v>
      </c>
      <c r="Z74">
        <v>9</v>
      </c>
      <c r="AA74">
        <v>10</v>
      </c>
      <c r="AB74">
        <v>9</v>
      </c>
      <c r="AC74">
        <v>10</v>
      </c>
      <c r="AD74">
        <v>9</v>
      </c>
      <c r="AE74">
        <v>0</v>
      </c>
      <c r="AF74">
        <v>0</v>
      </c>
      <c r="AG74" s="120">
        <f t="shared" si="39"/>
        <v>0</v>
      </c>
      <c r="AH74" t="str">
        <f t="shared" si="166"/>
        <v>57</v>
      </c>
      <c r="AI74">
        <v>57.449548327130067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11</v>
      </c>
      <c r="AW74">
        <v>0</v>
      </c>
      <c r="AX74" s="120">
        <f t="shared" si="40"/>
        <v>0</v>
      </c>
      <c r="AY74" t="str">
        <f t="shared" si="173"/>
        <v>61</v>
      </c>
      <c r="AZ74">
        <v>60.828933522843599</v>
      </c>
    </row>
    <row r="75" spans="1:52" x14ac:dyDescent="0.25">
      <c r="B75" t="s">
        <v>106</v>
      </c>
      <c r="C75">
        <v>0</v>
      </c>
      <c r="D75">
        <v>0</v>
      </c>
      <c r="E75">
        <v>0</v>
      </c>
      <c r="F75">
        <v>0</v>
      </c>
      <c r="G75">
        <v>0</v>
      </c>
      <c r="H75">
        <v>60</v>
      </c>
      <c r="I75">
        <v>60</v>
      </c>
      <c r="J75">
        <v>60</v>
      </c>
      <c r="K75">
        <v>60</v>
      </c>
      <c r="L75">
        <v>60</v>
      </c>
      <c r="M75">
        <v>61</v>
      </c>
      <c r="N75">
        <v>0</v>
      </c>
      <c r="O75">
        <v>0</v>
      </c>
      <c r="P75" s="120">
        <f t="shared" si="38"/>
        <v>0</v>
      </c>
      <c r="Q75" t="str">
        <f t="shared" si="160"/>
        <v>361</v>
      </c>
      <c r="R75">
        <v>360.84576758767145</v>
      </c>
      <c r="T75">
        <v>0</v>
      </c>
      <c r="U75">
        <v>0</v>
      </c>
      <c r="V75">
        <v>0</v>
      </c>
      <c r="W75">
        <v>0</v>
      </c>
      <c r="X75">
        <v>0</v>
      </c>
      <c r="Y75">
        <v>71</v>
      </c>
      <c r="Z75">
        <v>71</v>
      </c>
      <c r="AA75">
        <v>71</v>
      </c>
      <c r="AB75">
        <v>71</v>
      </c>
      <c r="AC75">
        <v>71</v>
      </c>
      <c r="AD75">
        <v>79</v>
      </c>
      <c r="AE75">
        <v>0</v>
      </c>
      <c r="AF75">
        <v>0</v>
      </c>
      <c r="AG75" s="120">
        <f t="shared" si="39"/>
        <v>9</v>
      </c>
      <c r="AH75" t="str">
        <f t="shared" si="166"/>
        <v>425</v>
      </c>
      <c r="AI75">
        <v>425.3701481093625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82</v>
      </c>
      <c r="AR75">
        <v>82</v>
      </c>
      <c r="AS75">
        <v>81</v>
      </c>
      <c r="AT75">
        <v>82</v>
      </c>
      <c r="AU75">
        <v>82</v>
      </c>
      <c r="AV75">
        <v>81</v>
      </c>
      <c r="AW75">
        <v>0</v>
      </c>
      <c r="AX75" s="120">
        <f t="shared" si="40"/>
        <v>0</v>
      </c>
      <c r="AY75" t="str">
        <f t="shared" si="173"/>
        <v>490</v>
      </c>
      <c r="AZ75">
        <v>489.89452863105367</v>
      </c>
    </row>
    <row r="76" spans="1:52" x14ac:dyDescent="0.25">
      <c r="P76" s="120">
        <f t="shared" si="38"/>
        <v>-1672</v>
      </c>
      <c r="Q76" t="str">
        <f t="shared" si="160"/>
        <v>1,672</v>
      </c>
      <c r="R76">
        <v>1671.6465345479335</v>
      </c>
      <c r="AG76" s="120">
        <f t="shared" si="39"/>
        <v>-1910</v>
      </c>
      <c r="AH76" t="str">
        <f t="shared" si="166"/>
        <v>1,910</v>
      </c>
      <c r="AI76">
        <v>1909.7673863878515</v>
      </c>
      <c r="AX76" s="120">
        <f t="shared" si="40"/>
        <v>-2148</v>
      </c>
      <c r="AY76" t="str">
        <f t="shared" si="173"/>
        <v>2,148</v>
      </c>
      <c r="AZ76">
        <v>2147.888238227767</v>
      </c>
    </row>
    <row r="77" spans="1:52" x14ac:dyDescent="0.25">
      <c r="A77" t="s">
        <v>115</v>
      </c>
      <c r="P77" s="120"/>
      <c r="AG77" s="120"/>
      <c r="AX77" s="120"/>
    </row>
    <row r="78" spans="1:52" x14ac:dyDescent="0.25">
      <c r="B78" t="s">
        <v>11</v>
      </c>
      <c r="C78">
        <v>1</v>
      </c>
      <c r="D78">
        <v>2</v>
      </c>
      <c r="E78">
        <v>3</v>
      </c>
      <c r="F78">
        <v>4</v>
      </c>
      <c r="G78">
        <v>5</v>
      </c>
      <c r="H78">
        <v>6</v>
      </c>
      <c r="I78">
        <v>7</v>
      </c>
      <c r="J78">
        <v>8</v>
      </c>
      <c r="K78">
        <v>9</v>
      </c>
      <c r="L78">
        <v>10</v>
      </c>
      <c r="M78">
        <v>11</v>
      </c>
      <c r="N78">
        <v>12</v>
      </c>
      <c r="O78">
        <v>13</v>
      </c>
      <c r="P78" s="120"/>
      <c r="T78">
        <v>1</v>
      </c>
      <c r="U78">
        <v>2</v>
      </c>
      <c r="V78">
        <v>3</v>
      </c>
      <c r="W78">
        <v>4</v>
      </c>
      <c r="X78">
        <v>5</v>
      </c>
      <c r="Y78">
        <v>6</v>
      </c>
      <c r="Z78">
        <v>7</v>
      </c>
      <c r="AA78">
        <v>8</v>
      </c>
      <c r="AB78">
        <v>9</v>
      </c>
      <c r="AC78">
        <v>10</v>
      </c>
      <c r="AD78">
        <v>11</v>
      </c>
      <c r="AE78">
        <v>12</v>
      </c>
      <c r="AF78">
        <v>13</v>
      </c>
      <c r="AG78" s="120"/>
      <c r="AK78">
        <v>1</v>
      </c>
      <c r="AL78">
        <v>2</v>
      </c>
      <c r="AM78">
        <v>3</v>
      </c>
      <c r="AN78">
        <v>4</v>
      </c>
      <c r="AO78">
        <v>5</v>
      </c>
      <c r="AP78">
        <v>6</v>
      </c>
      <c r="AQ78">
        <v>7</v>
      </c>
      <c r="AR78">
        <v>8</v>
      </c>
      <c r="AS78">
        <v>9</v>
      </c>
      <c r="AT78">
        <v>10</v>
      </c>
      <c r="AU78">
        <v>11</v>
      </c>
      <c r="AV78">
        <v>12</v>
      </c>
      <c r="AW78">
        <v>13</v>
      </c>
      <c r="AX78" s="120"/>
    </row>
    <row r="79" spans="1:52" x14ac:dyDescent="0.25">
      <c r="A79" t="s">
        <v>5</v>
      </c>
      <c r="B79" t="s">
        <v>101</v>
      </c>
      <c r="C79">
        <v>8</v>
      </c>
      <c r="D79">
        <v>0</v>
      </c>
      <c r="E79">
        <v>0</v>
      </c>
      <c r="F79">
        <v>0</v>
      </c>
      <c r="G79">
        <v>0</v>
      </c>
      <c r="P79" s="120">
        <f t="shared" ref="P79" si="190">SUM(C79:O79)-Q79</f>
        <v>0</v>
      </c>
      <c r="Q79" t="str">
        <f>FIXED(R79,0)</f>
        <v>8</v>
      </c>
      <c r="R79">
        <v>7.8056640642171677</v>
      </c>
      <c r="T79">
        <v>8</v>
      </c>
      <c r="U79">
        <v>2</v>
      </c>
      <c r="V79">
        <v>0</v>
      </c>
      <c r="W79">
        <v>0</v>
      </c>
      <c r="X79">
        <v>0</v>
      </c>
      <c r="Y79">
        <v>0</v>
      </c>
      <c r="AG79" s="120">
        <f t="shared" ref="AG79" si="191">SUM(T79:AF79)-AH79</f>
        <v>0</v>
      </c>
      <c r="AH79" t="str">
        <f>FIXED(AI79,0)</f>
        <v>10</v>
      </c>
      <c r="AI79">
        <v>10.286561926149718</v>
      </c>
      <c r="AK79">
        <v>9</v>
      </c>
      <c r="AL79">
        <v>4</v>
      </c>
      <c r="AM79">
        <v>0</v>
      </c>
      <c r="AN79">
        <v>0</v>
      </c>
      <c r="AO79">
        <v>0</v>
      </c>
      <c r="AP79">
        <v>0</v>
      </c>
      <c r="AX79" s="120">
        <f t="shared" ref="AX79" si="192">SUM(AK79:AW79)-AY79</f>
        <v>0</v>
      </c>
      <c r="AY79" t="str">
        <f>FIXED(AZ79,0)</f>
        <v>13</v>
      </c>
      <c r="AZ79">
        <v>12.767459788082274</v>
      </c>
    </row>
    <row r="80" spans="1:52" x14ac:dyDescent="0.25">
      <c r="B80" t="s">
        <v>102</v>
      </c>
      <c r="C80">
        <v>62</v>
      </c>
      <c r="D80">
        <v>66</v>
      </c>
      <c r="E80">
        <v>4</v>
      </c>
      <c r="F80">
        <v>0</v>
      </c>
      <c r="G80">
        <v>0</v>
      </c>
      <c r="P80" s="120">
        <f t="shared" si="38"/>
        <v>0</v>
      </c>
      <c r="Q80" t="str">
        <f t="shared" ref="Q80:Q91" si="193">FIXED(R80,0)</f>
        <v>132</v>
      </c>
      <c r="R80">
        <v>131.75372427472149</v>
      </c>
      <c r="T80">
        <v>62</v>
      </c>
      <c r="U80">
        <v>62</v>
      </c>
      <c r="V80">
        <v>30</v>
      </c>
      <c r="W80">
        <v>0</v>
      </c>
      <c r="X80">
        <v>0</v>
      </c>
      <c r="Y80">
        <v>0</v>
      </c>
      <c r="AG80" s="120">
        <f t="shared" si="39"/>
        <v>0</v>
      </c>
      <c r="AH80" t="str">
        <f t="shared" ref="AH80:AH91" si="194">FIXED(AI80,0)</f>
        <v>154</v>
      </c>
      <c r="AI80">
        <v>154.47287280443786</v>
      </c>
      <c r="AK80">
        <v>62</v>
      </c>
      <c r="AL80">
        <v>62</v>
      </c>
      <c r="AM80">
        <v>53</v>
      </c>
      <c r="AN80">
        <v>0</v>
      </c>
      <c r="AO80">
        <v>0</v>
      </c>
      <c r="AP80">
        <v>0</v>
      </c>
      <c r="AX80" s="120">
        <f t="shared" si="40"/>
        <v>0</v>
      </c>
      <c r="AY80" t="str">
        <f t="shared" ref="AY80:AY91" si="195">FIXED(AZ80,0)</f>
        <v>177</v>
      </c>
      <c r="AZ80">
        <v>177.19202133415428</v>
      </c>
    </row>
    <row r="81" spans="1:52" x14ac:dyDescent="0.25">
      <c r="B81" t="s">
        <v>103</v>
      </c>
      <c r="C81">
        <v>7</v>
      </c>
      <c r="D81">
        <v>7</v>
      </c>
      <c r="E81">
        <v>7</v>
      </c>
      <c r="F81">
        <v>17</v>
      </c>
      <c r="G81">
        <v>39</v>
      </c>
      <c r="P81" s="120">
        <f t="shared" si="38"/>
        <v>0</v>
      </c>
      <c r="Q81" t="str">
        <f t="shared" si="193"/>
        <v>77</v>
      </c>
      <c r="R81">
        <v>77.170128161267741</v>
      </c>
      <c r="T81">
        <v>7</v>
      </c>
      <c r="U81">
        <v>8</v>
      </c>
      <c r="V81">
        <v>7</v>
      </c>
      <c r="W81">
        <v>15</v>
      </c>
      <c r="X81">
        <v>15</v>
      </c>
      <c r="Y81">
        <v>32</v>
      </c>
      <c r="AG81" s="120">
        <f t="shared" si="39"/>
        <v>0</v>
      </c>
      <c r="AH81" t="str">
        <f t="shared" si="194"/>
        <v>84</v>
      </c>
      <c r="AI81">
        <v>83.643089602379362</v>
      </c>
      <c r="AK81">
        <v>7</v>
      </c>
      <c r="AL81">
        <v>7</v>
      </c>
      <c r="AM81">
        <v>7</v>
      </c>
      <c r="AN81">
        <v>14</v>
      </c>
      <c r="AO81">
        <v>14</v>
      </c>
      <c r="AP81">
        <v>41</v>
      </c>
      <c r="AX81" s="120">
        <f t="shared" si="40"/>
        <v>0</v>
      </c>
      <c r="AY81" t="str">
        <f t="shared" si="195"/>
        <v>90</v>
      </c>
      <c r="AZ81">
        <v>90.116051043491012</v>
      </c>
    </row>
    <row r="82" spans="1:52" x14ac:dyDescent="0.25">
      <c r="B82" t="s">
        <v>104</v>
      </c>
      <c r="P82" s="120">
        <f t="shared" si="38"/>
        <v>0</v>
      </c>
      <c r="Q82" t="str">
        <f t="shared" si="193"/>
        <v>0</v>
      </c>
      <c r="R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G82" s="120">
        <f t="shared" si="39"/>
        <v>0</v>
      </c>
      <c r="AH82" t="str">
        <f t="shared" si="194"/>
        <v>0</v>
      </c>
      <c r="AI82">
        <v>0</v>
      </c>
      <c r="AX82" s="120">
        <f t="shared" si="40"/>
        <v>0</v>
      </c>
      <c r="AY82" t="str">
        <f t="shared" si="195"/>
        <v>0</v>
      </c>
      <c r="AZ82">
        <v>0</v>
      </c>
    </row>
    <row r="83" spans="1:52" x14ac:dyDescent="0.25">
      <c r="B83" t="s">
        <v>105</v>
      </c>
      <c r="P83" s="120">
        <f t="shared" ref="P83:P91" si="196">SUM(C83:O83)-Q83</f>
        <v>0</v>
      </c>
      <c r="Q83" t="str">
        <f t="shared" si="193"/>
        <v>0</v>
      </c>
      <c r="R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G83" s="120">
        <f t="shared" ref="AG83:AG91" si="197">SUM(T83:AF83)-AH83</f>
        <v>0</v>
      </c>
      <c r="AH83" t="str">
        <f t="shared" si="194"/>
        <v>0</v>
      </c>
      <c r="AI83">
        <v>0</v>
      </c>
      <c r="AX83" s="120">
        <f t="shared" ref="AX83:AX91" si="198">SUM(AK83:AW83)-AY83</f>
        <v>0</v>
      </c>
      <c r="AY83" t="str">
        <f t="shared" si="195"/>
        <v>0</v>
      </c>
      <c r="AZ83">
        <v>0</v>
      </c>
    </row>
    <row r="84" spans="1:52" x14ac:dyDescent="0.25">
      <c r="B84" t="s">
        <v>106</v>
      </c>
      <c r="P84" s="120">
        <f t="shared" si="196"/>
        <v>0</v>
      </c>
      <c r="Q84" t="str">
        <f t="shared" si="193"/>
        <v>0</v>
      </c>
      <c r="R84">
        <v>0</v>
      </c>
      <c r="T84">
        <v>0</v>
      </c>
      <c r="U84">
        <v>0</v>
      </c>
      <c r="V84">
        <v>0</v>
      </c>
      <c r="W84">
        <v>0</v>
      </c>
      <c r="Y84">
        <v>0</v>
      </c>
      <c r="AG84" s="120">
        <f t="shared" si="197"/>
        <v>0</v>
      </c>
      <c r="AH84" t="str">
        <f t="shared" si="194"/>
        <v>0</v>
      </c>
      <c r="AI84">
        <v>0</v>
      </c>
      <c r="AX84" s="120">
        <f t="shared" si="198"/>
        <v>0</v>
      </c>
      <c r="AY84" t="str">
        <f t="shared" si="195"/>
        <v>0</v>
      </c>
      <c r="AZ84">
        <v>0</v>
      </c>
    </row>
    <row r="85" spans="1:52" x14ac:dyDescent="0.25">
      <c r="A85" t="s">
        <v>6</v>
      </c>
      <c r="B85" t="s">
        <v>101</v>
      </c>
      <c r="C85">
        <v>10</v>
      </c>
      <c r="D85">
        <v>10</v>
      </c>
      <c r="E85">
        <v>10</v>
      </c>
      <c r="F85">
        <v>1</v>
      </c>
      <c r="G85">
        <v>0</v>
      </c>
      <c r="P85" s="120">
        <f t="shared" si="196"/>
        <v>0</v>
      </c>
      <c r="Q85" t="str">
        <f t="shared" si="193"/>
        <v>31</v>
      </c>
      <c r="R85">
        <v>30.759903862114754</v>
      </c>
      <c r="T85">
        <v>10</v>
      </c>
      <c r="U85">
        <v>10</v>
      </c>
      <c r="V85">
        <v>10</v>
      </c>
      <c r="W85">
        <v>5</v>
      </c>
      <c r="X85">
        <v>0</v>
      </c>
      <c r="Y85">
        <v>0</v>
      </c>
      <c r="AG85" s="120">
        <f t="shared" si="197"/>
        <v>0</v>
      </c>
      <c r="AH85" t="str">
        <f t="shared" si="194"/>
        <v>35</v>
      </c>
      <c r="AI85">
        <v>34.98413535675666</v>
      </c>
      <c r="AK85">
        <v>10</v>
      </c>
      <c r="AL85">
        <v>10</v>
      </c>
      <c r="AM85">
        <v>10</v>
      </c>
      <c r="AN85">
        <v>9</v>
      </c>
      <c r="AO85">
        <v>0</v>
      </c>
      <c r="AP85">
        <v>0</v>
      </c>
      <c r="AX85" s="120">
        <f t="shared" si="198"/>
        <v>0</v>
      </c>
      <c r="AY85" t="str">
        <f t="shared" si="195"/>
        <v>39</v>
      </c>
      <c r="AZ85">
        <v>39.20836685139858</v>
      </c>
    </row>
    <row r="86" spans="1:52" x14ac:dyDescent="0.25">
      <c r="B86" t="s">
        <v>102</v>
      </c>
      <c r="C86">
        <v>72</v>
      </c>
      <c r="D86">
        <v>75</v>
      </c>
      <c r="E86">
        <v>76</v>
      </c>
      <c r="F86">
        <v>128</v>
      </c>
      <c r="G86">
        <v>0</v>
      </c>
      <c r="P86" s="120">
        <f t="shared" si="196"/>
        <v>0</v>
      </c>
      <c r="Q86" t="str">
        <f t="shared" si="193"/>
        <v>351</v>
      </c>
      <c r="R86">
        <v>351.29550614430474</v>
      </c>
      <c r="T86">
        <v>72</v>
      </c>
      <c r="U86">
        <v>72</v>
      </c>
      <c r="V86">
        <v>78</v>
      </c>
      <c r="W86">
        <v>152</v>
      </c>
      <c r="X86">
        <v>16</v>
      </c>
      <c r="Y86">
        <v>0</v>
      </c>
      <c r="AG86" s="120">
        <f t="shared" si="197"/>
        <v>0</v>
      </c>
      <c r="AH86" t="str">
        <f t="shared" si="194"/>
        <v>390</v>
      </c>
      <c r="AI86">
        <v>389.97946174895679</v>
      </c>
      <c r="AK86">
        <v>72</v>
      </c>
      <c r="AL86">
        <v>72</v>
      </c>
      <c r="AM86">
        <v>77</v>
      </c>
      <c r="AN86">
        <v>134</v>
      </c>
      <c r="AO86">
        <v>74</v>
      </c>
      <c r="AP86">
        <v>0</v>
      </c>
      <c r="AX86" s="120">
        <f t="shared" si="198"/>
        <v>0</v>
      </c>
      <c r="AY86" t="str">
        <f t="shared" si="195"/>
        <v>429</v>
      </c>
      <c r="AZ86">
        <v>428.66341735360913</v>
      </c>
    </row>
    <row r="87" spans="1:52" x14ac:dyDescent="0.25">
      <c r="B87" t="s">
        <v>103</v>
      </c>
      <c r="C87">
        <v>8</v>
      </c>
      <c r="D87">
        <v>9</v>
      </c>
      <c r="E87">
        <v>9</v>
      </c>
      <c r="F87">
        <v>19</v>
      </c>
      <c r="G87">
        <v>101</v>
      </c>
      <c r="P87" s="120">
        <f t="shared" si="196"/>
        <v>0</v>
      </c>
      <c r="Q87" t="str">
        <f t="shared" si="193"/>
        <v>146</v>
      </c>
      <c r="R87">
        <v>145.85865545058857</v>
      </c>
      <c r="T87">
        <v>8</v>
      </c>
      <c r="U87">
        <v>8</v>
      </c>
      <c r="V87">
        <v>9</v>
      </c>
      <c r="W87">
        <v>17</v>
      </c>
      <c r="X87">
        <v>18</v>
      </c>
      <c r="Y87">
        <v>97</v>
      </c>
      <c r="AG87" s="120">
        <f t="shared" si="197"/>
        <v>0</v>
      </c>
      <c r="AH87" t="str">
        <f t="shared" si="194"/>
        <v>157</v>
      </c>
      <c r="AI87">
        <v>156.88018439085971</v>
      </c>
      <c r="AK87">
        <v>8</v>
      </c>
      <c r="AL87">
        <v>8</v>
      </c>
      <c r="AM87">
        <v>9</v>
      </c>
      <c r="AN87">
        <v>15</v>
      </c>
      <c r="AO87">
        <v>17</v>
      </c>
      <c r="AP87">
        <v>111</v>
      </c>
      <c r="AX87" s="120">
        <f t="shared" si="198"/>
        <v>0</v>
      </c>
      <c r="AY87" t="str">
        <f t="shared" si="195"/>
        <v>168</v>
      </c>
      <c r="AZ87">
        <v>167.90171333113091</v>
      </c>
    </row>
    <row r="88" spans="1:52" x14ac:dyDescent="0.25">
      <c r="B88" t="s">
        <v>104</v>
      </c>
      <c r="C88">
        <v>0</v>
      </c>
      <c r="D88">
        <v>0</v>
      </c>
      <c r="E88">
        <v>0</v>
      </c>
      <c r="F88">
        <v>0</v>
      </c>
      <c r="G88">
        <v>0</v>
      </c>
      <c r="P88" s="120">
        <f t="shared" si="196"/>
        <v>0</v>
      </c>
      <c r="Q88" t="str">
        <f t="shared" si="193"/>
        <v>0</v>
      </c>
      <c r="R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G88" s="120">
        <f t="shared" si="197"/>
        <v>0</v>
      </c>
      <c r="AH88" t="str">
        <f t="shared" si="194"/>
        <v>0</v>
      </c>
      <c r="AI88">
        <v>0</v>
      </c>
      <c r="AX88" s="120">
        <f t="shared" si="198"/>
        <v>0</v>
      </c>
      <c r="AY88" t="str">
        <f t="shared" si="195"/>
        <v>0</v>
      </c>
      <c r="AZ88">
        <v>0</v>
      </c>
    </row>
    <row r="89" spans="1:52" x14ac:dyDescent="0.25">
      <c r="B89" t="s">
        <v>105</v>
      </c>
      <c r="C89">
        <v>0</v>
      </c>
      <c r="D89">
        <v>0</v>
      </c>
      <c r="E89">
        <v>0</v>
      </c>
      <c r="F89">
        <v>0</v>
      </c>
      <c r="G89">
        <v>0</v>
      </c>
      <c r="P89" s="120">
        <f t="shared" si="196"/>
        <v>0</v>
      </c>
      <c r="Q89" t="str">
        <f t="shared" si="193"/>
        <v>0</v>
      </c>
      <c r="R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G89" s="120">
        <f t="shared" si="197"/>
        <v>0</v>
      </c>
      <c r="AH89" t="str">
        <f t="shared" si="194"/>
        <v>0</v>
      </c>
      <c r="AI89">
        <v>0</v>
      </c>
      <c r="AX89" s="120">
        <f t="shared" si="198"/>
        <v>0</v>
      </c>
      <c r="AY89" t="str">
        <f t="shared" si="195"/>
        <v>0</v>
      </c>
      <c r="AZ89">
        <v>0</v>
      </c>
    </row>
    <row r="90" spans="1:52" x14ac:dyDescent="0.25">
      <c r="B90" t="s">
        <v>106</v>
      </c>
      <c r="C90">
        <v>0</v>
      </c>
      <c r="D90">
        <v>0</v>
      </c>
      <c r="E90">
        <v>0</v>
      </c>
      <c r="F90">
        <v>0</v>
      </c>
      <c r="G90">
        <v>0</v>
      </c>
      <c r="P90" s="120">
        <f t="shared" si="196"/>
        <v>0</v>
      </c>
      <c r="Q90" t="str">
        <f t="shared" si="193"/>
        <v>0</v>
      </c>
      <c r="R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G90" s="120">
        <f t="shared" si="197"/>
        <v>0</v>
      </c>
      <c r="AH90" t="str">
        <f t="shared" si="194"/>
        <v>0</v>
      </c>
      <c r="AI90">
        <v>0</v>
      </c>
      <c r="AX90" s="120">
        <f t="shared" si="198"/>
        <v>0</v>
      </c>
      <c r="AY90" t="str">
        <f t="shared" si="195"/>
        <v>0</v>
      </c>
      <c r="AZ90">
        <v>0</v>
      </c>
    </row>
    <row r="91" spans="1:52" x14ac:dyDescent="0.25">
      <c r="P91" s="120">
        <f t="shared" si="196"/>
        <v>-745</v>
      </c>
      <c r="Q91" t="str">
        <f t="shared" si="193"/>
        <v>745</v>
      </c>
      <c r="R91">
        <v>744.64358195721445</v>
      </c>
      <c r="AG91" s="120">
        <f t="shared" si="197"/>
        <v>-830</v>
      </c>
      <c r="AH91" t="str">
        <f t="shared" si="194"/>
        <v>830</v>
      </c>
      <c r="AI91">
        <v>830.24630582954023</v>
      </c>
      <c r="AX91" s="120">
        <f t="shared" si="198"/>
        <v>-916</v>
      </c>
      <c r="AY91" t="str">
        <f t="shared" si="195"/>
        <v>916</v>
      </c>
      <c r="AZ91">
        <v>915.84902970186624</v>
      </c>
    </row>
    <row r="92" spans="1:52" x14ac:dyDescent="0.25">
      <c r="R92">
        <v>0</v>
      </c>
      <c r="AH92">
        <v>0</v>
      </c>
      <c r="AY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B455-2F1B-413E-B90C-691BEE91C5AF}">
  <dimension ref="A1:AZ92"/>
  <sheetViews>
    <sheetView zoomScale="115" zoomScaleNormal="115" workbookViewId="0">
      <selection activeCell="H30" sqref="H30"/>
    </sheetView>
  </sheetViews>
  <sheetFormatPr defaultRowHeight="15" x14ac:dyDescent="0.25"/>
  <sheetData>
    <row r="1" spans="1:52" x14ac:dyDescent="0.25">
      <c r="C1" t="s">
        <v>100</v>
      </c>
      <c r="P1" t="s">
        <v>82</v>
      </c>
      <c r="T1" t="s">
        <v>107</v>
      </c>
      <c r="AG1" t="s">
        <v>82</v>
      </c>
      <c r="AK1" t="s">
        <v>108</v>
      </c>
      <c r="AX1" t="s">
        <v>82</v>
      </c>
    </row>
    <row r="2" spans="1:52" x14ac:dyDescent="0.25">
      <c r="A2" t="s">
        <v>110</v>
      </c>
    </row>
    <row r="3" spans="1:52" x14ac:dyDescent="0.25">
      <c r="B3" t="s">
        <v>11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10</v>
      </c>
      <c r="AD3">
        <v>11</v>
      </c>
      <c r="AE3">
        <v>12</v>
      </c>
      <c r="AF3">
        <v>13</v>
      </c>
      <c r="AK3">
        <v>1</v>
      </c>
      <c r="AL3">
        <v>2</v>
      </c>
      <c r="AM3">
        <v>3</v>
      </c>
      <c r="AN3">
        <v>4</v>
      </c>
      <c r="AO3">
        <v>5</v>
      </c>
      <c r="AP3">
        <v>6</v>
      </c>
      <c r="AQ3">
        <v>7</v>
      </c>
      <c r="AR3">
        <v>8</v>
      </c>
      <c r="AS3">
        <v>9</v>
      </c>
      <c r="AT3">
        <v>10</v>
      </c>
      <c r="AU3">
        <v>11</v>
      </c>
      <c r="AV3">
        <v>12</v>
      </c>
      <c r="AW3">
        <v>13</v>
      </c>
    </row>
    <row r="4" spans="1:52" x14ac:dyDescent="0.25">
      <c r="A4" t="s">
        <v>5</v>
      </c>
      <c r="B4" t="s">
        <v>101</v>
      </c>
      <c r="C4">
        <v>2</v>
      </c>
      <c r="D4">
        <v>2</v>
      </c>
      <c r="E4">
        <v>2</v>
      </c>
      <c r="F4">
        <v>2</v>
      </c>
      <c r="G4">
        <v>0</v>
      </c>
      <c r="O4">
        <v>0</v>
      </c>
      <c r="P4">
        <v>0</v>
      </c>
      <c r="Q4">
        <v>8</v>
      </c>
      <c r="R4">
        <v>7.8056640640000001</v>
      </c>
      <c r="T4">
        <v>2</v>
      </c>
      <c r="U4">
        <v>2</v>
      </c>
      <c r="V4">
        <v>2</v>
      </c>
      <c r="W4">
        <v>2</v>
      </c>
      <c r="X4">
        <v>2</v>
      </c>
      <c r="AF4">
        <v>0</v>
      </c>
      <c r="AG4">
        <v>0</v>
      </c>
      <c r="AH4">
        <v>10</v>
      </c>
      <c r="AI4">
        <v>10.28656193</v>
      </c>
      <c r="AK4">
        <v>2</v>
      </c>
      <c r="AL4">
        <v>2</v>
      </c>
      <c r="AM4">
        <v>2</v>
      </c>
      <c r="AN4">
        <v>2</v>
      </c>
      <c r="AO4">
        <v>2</v>
      </c>
      <c r="AP4">
        <v>3</v>
      </c>
      <c r="AX4">
        <v>0</v>
      </c>
      <c r="AY4">
        <v>13</v>
      </c>
      <c r="AZ4">
        <v>12.76745979</v>
      </c>
    </row>
    <row r="5" spans="1:52" x14ac:dyDescent="0.25">
      <c r="B5" t="s">
        <v>102</v>
      </c>
      <c r="C5">
        <v>26</v>
      </c>
      <c r="D5">
        <v>26</v>
      </c>
      <c r="E5">
        <v>26</v>
      </c>
      <c r="F5">
        <v>26</v>
      </c>
      <c r="G5">
        <v>28</v>
      </c>
      <c r="O5">
        <v>0</v>
      </c>
      <c r="P5">
        <v>0</v>
      </c>
      <c r="Q5">
        <v>132</v>
      </c>
      <c r="R5">
        <v>131.75372429999999</v>
      </c>
      <c r="T5">
        <v>31</v>
      </c>
      <c r="U5">
        <v>31</v>
      </c>
      <c r="V5">
        <v>31</v>
      </c>
      <c r="W5">
        <v>31</v>
      </c>
      <c r="X5">
        <v>30</v>
      </c>
      <c r="AF5">
        <v>0</v>
      </c>
      <c r="AG5">
        <v>0</v>
      </c>
      <c r="AH5">
        <v>154</v>
      </c>
      <c r="AI5">
        <v>154.4728728</v>
      </c>
      <c r="AK5">
        <v>30</v>
      </c>
      <c r="AL5">
        <v>30</v>
      </c>
      <c r="AM5">
        <v>30</v>
      </c>
      <c r="AN5">
        <v>30</v>
      </c>
      <c r="AO5">
        <v>30</v>
      </c>
      <c r="AP5">
        <v>27</v>
      </c>
      <c r="AX5">
        <v>0</v>
      </c>
      <c r="AY5">
        <v>177</v>
      </c>
      <c r="AZ5">
        <v>177.19202129999999</v>
      </c>
    </row>
    <row r="6" spans="1:52" x14ac:dyDescent="0.25">
      <c r="B6" t="s">
        <v>103</v>
      </c>
      <c r="C6">
        <v>15</v>
      </c>
      <c r="D6">
        <v>15</v>
      </c>
      <c r="E6">
        <v>15</v>
      </c>
      <c r="F6">
        <v>15</v>
      </c>
      <c r="G6">
        <v>17</v>
      </c>
      <c r="O6">
        <v>0</v>
      </c>
      <c r="P6">
        <v>0</v>
      </c>
      <c r="Q6">
        <v>77</v>
      </c>
      <c r="R6">
        <v>77.170128160000004</v>
      </c>
      <c r="T6">
        <v>17</v>
      </c>
      <c r="U6">
        <v>17</v>
      </c>
      <c r="V6">
        <v>17</v>
      </c>
      <c r="W6">
        <v>17</v>
      </c>
      <c r="X6">
        <v>16</v>
      </c>
      <c r="AF6">
        <v>0</v>
      </c>
      <c r="AG6">
        <v>0</v>
      </c>
      <c r="AH6">
        <v>84</v>
      </c>
      <c r="AI6">
        <v>83.643089599999996</v>
      </c>
      <c r="AK6">
        <v>15</v>
      </c>
      <c r="AL6">
        <v>15</v>
      </c>
      <c r="AM6">
        <v>15</v>
      </c>
      <c r="AN6">
        <v>15</v>
      </c>
      <c r="AO6">
        <v>15</v>
      </c>
      <c r="AP6">
        <v>15</v>
      </c>
      <c r="AX6">
        <v>0</v>
      </c>
      <c r="AY6">
        <v>90</v>
      </c>
      <c r="AZ6">
        <v>90.116051040000002</v>
      </c>
    </row>
    <row r="7" spans="1:52" x14ac:dyDescent="0.25">
      <c r="B7" t="s">
        <v>104</v>
      </c>
      <c r="C7">
        <v>0</v>
      </c>
      <c r="D7">
        <v>0</v>
      </c>
      <c r="E7">
        <v>0</v>
      </c>
      <c r="F7">
        <v>0</v>
      </c>
      <c r="G7">
        <v>0</v>
      </c>
      <c r="O7">
        <v>0</v>
      </c>
      <c r="Q7">
        <v>99</v>
      </c>
      <c r="R7">
        <v>99.310307750000007</v>
      </c>
      <c r="T7">
        <v>0</v>
      </c>
      <c r="U7">
        <v>0</v>
      </c>
      <c r="V7">
        <v>0</v>
      </c>
      <c r="W7">
        <v>0</v>
      </c>
      <c r="X7">
        <v>0</v>
      </c>
      <c r="AF7">
        <v>0</v>
      </c>
      <c r="AH7">
        <v>116</v>
      </c>
      <c r="AI7">
        <v>115.8620257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Y7">
        <v>132</v>
      </c>
      <c r="AZ7">
        <v>132.4137437</v>
      </c>
    </row>
    <row r="8" spans="1:52" x14ac:dyDescent="0.25">
      <c r="B8" t="s">
        <v>105</v>
      </c>
      <c r="C8">
        <v>0</v>
      </c>
      <c r="D8">
        <v>0</v>
      </c>
      <c r="E8">
        <v>0</v>
      </c>
      <c r="F8">
        <v>0</v>
      </c>
      <c r="G8">
        <v>0</v>
      </c>
      <c r="O8">
        <v>0</v>
      </c>
      <c r="Q8">
        <v>32</v>
      </c>
      <c r="R8">
        <v>31.755492629999999</v>
      </c>
      <c r="T8">
        <v>0</v>
      </c>
      <c r="U8">
        <v>0</v>
      </c>
      <c r="V8">
        <v>0</v>
      </c>
      <c r="W8">
        <v>0</v>
      </c>
      <c r="X8">
        <v>0</v>
      </c>
      <c r="AF8">
        <v>0</v>
      </c>
      <c r="AH8">
        <v>34</v>
      </c>
      <c r="AI8">
        <v>33.740210920000003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Y8">
        <v>36</v>
      </c>
      <c r="AZ8">
        <v>35.724929209999999</v>
      </c>
    </row>
    <row r="9" spans="1:52" x14ac:dyDescent="0.25">
      <c r="B9" t="s">
        <v>106</v>
      </c>
      <c r="C9">
        <v>0</v>
      </c>
      <c r="D9">
        <v>0</v>
      </c>
      <c r="E9">
        <v>0</v>
      </c>
      <c r="F9">
        <v>0</v>
      </c>
      <c r="G9">
        <v>0</v>
      </c>
      <c r="O9">
        <v>0</v>
      </c>
      <c r="Q9">
        <v>212</v>
      </c>
      <c r="R9">
        <v>211.92529210000001</v>
      </c>
      <c r="T9">
        <v>0</v>
      </c>
      <c r="U9">
        <v>0</v>
      </c>
      <c r="V9">
        <v>0</v>
      </c>
      <c r="W9">
        <v>0</v>
      </c>
      <c r="X9">
        <v>0</v>
      </c>
      <c r="AF9">
        <v>0</v>
      </c>
      <c r="AH9">
        <v>250</v>
      </c>
      <c r="AI9">
        <v>249.82056320000001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Y9">
        <v>288</v>
      </c>
      <c r="AZ9">
        <v>287.71583429999998</v>
      </c>
    </row>
    <row r="10" spans="1:52" x14ac:dyDescent="0.25">
      <c r="A10" t="s">
        <v>6</v>
      </c>
      <c r="B10" t="s">
        <v>101</v>
      </c>
      <c r="C10">
        <v>6</v>
      </c>
      <c r="D10">
        <v>6</v>
      </c>
      <c r="E10">
        <v>6</v>
      </c>
      <c r="F10">
        <v>6</v>
      </c>
      <c r="G10">
        <v>7</v>
      </c>
      <c r="O10">
        <v>0</v>
      </c>
      <c r="P10">
        <v>0</v>
      </c>
      <c r="Q10">
        <v>31</v>
      </c>
      <c r="R10">
        <v>30.759903860000001</v>
      </c>
      <c r="T10">
        <v>7</v>
      </c>
      <c r="U10">
        <v>7</v>
      </c>
      <c r="V10">
        <v>7</v>
      </c>
      <c r="W10">
        <v>7</v>
      </c>
      <c r="X10">
        <v>7</v>
      </c>
      <c r="AF10">
        <v>0</v>
      </c>
      <c r="AG10">
        <v>0</v>
      </c>
      <c r="AH10">
        <v>35</v>
      </c>
      <c r="AI10">
        <v>34.984135360000003</v>
      </c>
      <c r="AK10">
        <v>7</v>
      </c>
      <c r="AL10">
        <v>7</v>
      </c>
      <c r="AM10">
        <v>7</v>
      </c>
      <c r="AN10">
        <v>7</v>
      </c>
      <c r="AO10">
        <v>7</v>
      </c>
      <c r="AP10">
        <v>4</v>
      </c>
      <c r="AX10">
        <v>0</v>
      </c>
      <c r="AY10">
        <v>39</v>
      </c>
      <c r="AZ10">
        <v>39.208366849999997</v>
      </c>
    </row>
    <row r="11" spans="1:52" x14ac:dyDescent="0.25">
      <c r="B11" t="s">
        <v>102</v>
      </c>
      <c r="C11">
        <v>70</v>
      </c>
      <c r="D11">
        <v>70</v>
      </c>
      <c r="E11">
        <v>70</v>
      </c>
      <c r="F11">
        <v>70</v>
      </c>
      <c r="G11">
        <v>71</v>
      </c>
      <c r="O11">
        <v>0</v>
      </c>
      <c r="P11">
        <v>0</v>
      </c>
      <c r="Q11">
        <v>351</v>
      </c>
      <c r="R11">
        <v>351.29550610000001</v>
      </c>
      <c r="T11">
        <v>78</v>
      </c>
      <c r="U11">
        <v>78</v>
      </c>
      <c r="V11">
        <v>78</v>
      </c>
      <c r="W11">
        <v>78</v>
      </c>
      <c r="X11">
        <v>78</v>
      </c>
      <c r="AF11">
        <v>0</v>
      </c>
      <c r="AG11">
        <v>0</v>
      </c>
      <c r="AH11">
        <v>390</v>
      </c>
      <c r="AI11">
        <v>389.9794617</v>
      </c>
      <c r="AK11">
        <v>72</v>
      </c>
      <c r="AL11">
        <v>72</v>
      </c>
      <c r="AM11">
        <v>72</v>
      </c>
      <c r="AN11">
        <v>72</v>
      </c>
      <c r="AO11">
        <v>71</v>
      </c>
      <c r="AP11">
        <v>70</v>
      </c>
      <c r="AX11">
        <v>0</v>
      </c>
      <c r="AY11">
        <v>429</v>
      </c>
      <c r="AZ11">
        <v>428.66341740000001</v>
      </c>
    </row>
    <row r="12" spans="1:52" x14ac:dyDescent="0.25">
      <c r="B12" t="s">
        <v>103</v>
      </c>
      <c r="C12">
        <v>29</v>
      </c>
      <c r="D12">
        <v>29</v>
      </c>
      <c r="E12">
        <v>29</v>
      </c>
      <c r="F12">
        <v>29</v>
      </c>
      <c r="G12">
        <v>30</v>
      </c>
      <c r="O12">
        <v>0</v>
      </c>
      <c r="P12">
        <v>0</v>
      </c>
      <c r="Q12">
        <v>146</v>
      </c>
      <c r="R12">
        <v>145.8586555</v>
      </c>
      <c r="T12">
        <v>31</v>
      </c>
      <c r="U12">
        <v>31</v>
      </c>
      <c r="V12">
        <v>31</v>
      </c>
      <c r="W12">
        <v>31</v>
      </c>
      <c r="X12">
        <v>33</v>
      </c>
      <c r="AF12">
        <v>0</v>
      </c>
      <c r="AG12">
        <v>0</v>
      </c>
      <c r="AH12">
        <v>157</v>
      </c>
      <c r="AI12">
        <v>156.88018439999999</v>
      </c>
      <c r="AK12">
        <v>28</v>
      </c>
      <c r="AL12">
        <v>28</v>
      </c>
      <c r="AM12">
        <v>28</v>
      </c>
      <c r="AN12">
        <v>28</v>
      </c>
      <c r="AO12">
        <v>28</v>
      </c>
      <c r="AP12">
        <v>28</v>
      </c>
      <c r="AX12">
        <v>0</v>
      </c>
      <c r="AY12">
        <v>168</v>
      </c>
      <c r="AZ12">
        <v>167.90171330000001</v>
      </c>
    </row>
    <row r="13" spans="1:52" x14ac:dyDescent="0.25">
      <c r="B13" t="s">
        <v>104</v>
      </c>
      <c r="C13">
        <v>0</v>
      </c>
      <c r="D13">
        <v>0</v>
      </c>
      <c r="E13">
        <v>0</v>
      </c>
      <c r="F13">
        <v>0</v>
      </c>
      <c r="G13">
        <v>0</v>
      </c>
      <c r="O13">
        <v>0</v>
      </c>
      <c r="Q13">
        <v>169</v>
      </c>
      <c r="R13">
        <v>169.09592939999999</v>
      </c>
      <c r="T13">
        <v>0</v>
      </c>
      <c r="U13">
        <v>0</v>
      </c>
      <c r="V13">
        <v>0</v>
      </c>
      <c r="W13">
        <v>0</v>
      </c>
      <c r="X13">
        <v>0</v>
      </c>
      <c r="AF13">
        <v>0</v>
      </c>
      <c r="AH13">
        <v>197</v>
      </c>
      <c r="AI13">
        <v>197.27858430000001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Y13">
        <v>225</v>
      </c>
      <c r="AZ13">
        <v>225.46123919999999</v>
      </c>
    </row>
    <row r="14" spans="1:52" x14ac:dyDescent="0.25">
      <c r="B14" t="s">
        <v>105</v>
      </c>
      <c r="C14">
        <v>0</v>
      </c>
      <c r="D14">
        <v>0</v>
      </c>
      <c r="E14">
        <v>0</v>
      </c>
      <c r="F14">
        <v>0</v>
      </c>
      <c r="G14">
        <v>0</v>
      </c>
      <c r="O14">
        <v>0</v>
      </c>
      <c r="Q14">
        <v>54</v>
      </c>
      <c r="R14">
        <v>54.070163129999997</v>
      </c>
      <c r="T14">
        <v>0</v>
      </c>
      <c r="U14">
        <v>0</v>
      </c>
      <c r="V14">
        <v>0</v>
      </c>
      <c r="W14">
        <v>0</v>
      </c>
      <c r="X14">
        <v>0</v>
      </c>
      <c r="AF14">
        <v>0</v>
      </c>
      <c r="AH14">
        <v>57</v>
      </c>
      <c r="AI14">
        <v>57.449548329999999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Y14">
        <v>61</v>
      </c>
      <c r="AZ14">
        <v>60.82893352</v>
      </c>
    </row>
    <row r="15" spans="1:52" x14ac:dyDescent="0.25">
      <c r="B15" t="s">
        <v>106</v>
      </c>
      <c r="C15">
        <v>0</v>
      </c>
      <c r="D15">
        <v>0</v>
      </c>
      <c r="E15">
        <v>0</v>
      </c>
      <c r="F15">
        <v>0</v>
      </c>
      <c r="G15">
        <v>0</v>
      </c>
      <c r="O15">
        <v>0</v>
      </c>
      <c r="Q15">
        <v>361</v>
      </c>
      <c r="R15">
        <v>360.84576759999999</v>
      </c>
      <c r="T15">
        <v>0</v>
      </c>
      <c r="U15">
        <v>0</v>
      </c>
      <c r="V15">
        <v>0</v>
      </c>
      <c r="W15">
        <v>0</v>
      </c>
      <c r="X15">
        <v>0</v>
      </c>
      <c r="AF15">
        <v>0</v>
      </c>
      <c r="AH15">
        <v>425</v>
      </c>
      <c r="AI15">
        <v>425.37014809999999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Y15">
        <v>490</v>
      </c>
      <c r="AZ15">
        <v>489.8945286</v>
      </c>
    </row>
    <row r="16" spans="1:52" x14ac:dyDescent="0.25">
      <c r="Q16" s="121">
        <v>1672</v>
      </c>
      <c r="R16">
        <v>1671.6465350000001</v>
      </c>
      <c r="AG16">
        <v>-1910</v>
      </c>
      <c r="AH16" s="121">
        <v>1910</v>
      </c>
      <c r="AI16">
        <v>1909.767386</v>
      </c>
      <c r="AY16" s="121">
        <v>2148</v>
      </c>
      <c r="AZ16">
        <v>2147.888238</v>
      </c>
    </row>
    <row r="17" spans="1:52" x14ac:dyDescent="0.25">
      <c r="A17" t="s">
        <v>112</v>
      </c>
    </row>
    <row r="18" spans="1:52" x14ac:dyDescent="0.25">
      <c r="B18" t="s">
        <v>11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</v>
      </c>
      <c r="T18">
        <v>1</v>
      </c>
      <c r="U18">
        <v>2</v>
      </c>
      <c r="V18">
        <v>3</v>
      </c>
      <c r="W18">
        <v>4</v>
      </c>
      <c r="X18">
        <v>5</v>
      </c>
      <c r="Y18">
        <v>6</v>
      </c>
      <c r="Z18">
        <v>7</v>
      </c>
      <c r="AA18">
        <v>8</v>
      </c>
      <c r="AB18">
        <v>9</v>
      </c>
      <c r="AC18">
        <v>10</v>
      </c>
      <c r="AD18">
        <v>11</v>
      </c>
      <c r="AE18">
        <v>12</v>
      </c>
      <c r="AF18">
        <v>13</v>
      </c>
      <c r="AK18">
        <v>1</v>
      </c>
      <c r="AL18">
        <v>2</v>
      </c>
      <c r="AM18">
        <v>3</v>
      </c>
      <c r="AN18">
        <v>4</v>
      </c>
      <c r="AO18">
        <v>4</v>
      </c>
      <c r="AP18">
        <v>6</v>
      </c>
      <c r="AQ18">
        <v>7</v>
      </c>
      <c r="AR18">
        <v>8</v>
      </c>
    </row>
    <row r="19" spans="1:52" x14ac:dyDescent="0.25">
      <c r="A19" t="s">
        <v>5</v>
      </c>
      <c r="B19" t="s">
        <v>101</v>
      </c>
      <c r="C19">
        <v>2</v>
      </c>
      <c r="D19">
        <v>2</v>
      </c>
      <c r="E19">
        <v>2</v>
      </c>
      <c r="F19">
        <v>2</v>
      </c>
      <c r="G19">
        <v>0</v>
      </c>
      <c r="H19">
        <v>0</v>
      </c>
      <c r="I19">
        <v>0</v>
      </c>
      <c r="O19">
        <v>0</v>
      </c>
      <c r="P19">
        <v>0</v>
      </c>
      <c r="Q19">
        <v>8</v>
      </c>
      <c r="R19">
        <v>7.8056640640000001</v>
      </c>
      <c r="T19">
        <v>2</v>
      </c>
      <c r="U19">
        <v>2</v>
      </c>
      <c r="V19">
        <v>2</v>
      </c>
      <c r="W19">
        <v>2</v>
      </c>
      <c r="X19">
        <v>2</v>
      </c>
      <c r="Y19">
        <v>0</v>
      </c>
      <c r="Z19">
        <v>0</v>
      </c>
      <c r="AF19">
        <v>0</v>
      </c>
      <c r="AG19">
        <v>0</v>
      </c>
      <c r="AH19">
        <v>10</v>
      </c>
      <c r="AI19">
        <v>10.28656193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3</v>
      </c>
      <c r="AQ19">
        <v>0</v>
      </c>
      <c r="AR19">
        <v>0</v>
      </c>
      <c r="AX19">
        <v>0</v>
      </c>
      <c r="AY19">
        <v>13</v>
      </c>
      <c r="AZ19">
        <v>12.76745979</v>
      </c>
    </row>
    <row r="20" spans="1:52" x14ac:dyDescent="0.25">
      <c r="B20" t="s">
        <v>102</v>
      </c>
      <c r="C20">
        <v>26</v>
      </c>
      <c r="D20">
        <v>26</v>
      </c>
      <c r="E20">
        <v>26</v>
      </c>
      <c r="F20">
        <v>26</v>
      </c>
      <c r="G20">
        <v>28</v>
      </c>
      <c r="H20">
        <v>0</v>
      </c>
      <c r="I20">
        <v>0</v>
      </c>
      <c r="O20">
        <v>0</v>
      </c>
      <c r="P20">
        <v>0</v>
      </c>
      <c r="Q20">
        <v>132</v>
      </c>
      <c r="R20">
        <v>131.75372429999999</v>
      </c>
      <c r="T20">
        <v>31</v>
      </c>
      <c r="U20">
        <v>31</v>
      </c>
      <c r="V20">
        <v>31</v>
      </c>
      <c r="W20">
        <v>31</v>
      </c>
      <c r="X20">
        <v>30</v>
      </c>
      <c r="Y20">
        <v>0</v>
      </c>
      <c r="Z20">
        <v>0</v>
      </c>
      <c r="AF20">
        <v>0</v>
      </c>
      <c r="AG20">
        <v>0</v>
      </c>
      <c r="AH20">
        <v>154</v>
      </c>
      <c r="AI20">
        <v>154.4728728</v>
      </c>
      <c r="AK20">
        <v>30</v>
      </c>
      <c r="AL20">
        <v>30</v>
      </c>
      <c r="AM20">
        <v>30</v>
      </c>
      <c r="AN20">
        <v>30</v>
      </c>
      <c r="AO20">
        <v>30</v>
      </c>
      <c r="AP20">
        <v>27</v>
      </c>
      <c r="AQ20">
        <v>0</v>
      </c>
      <c r="AR20">
        <v>0</v>
      </c>
      <c r="AX20">
        <v>0</v>
      </c>
      <c r="AY20">
        <v>177</v>
      </c>
      <c r="AZ20">
        <v>177.19202129999999</v>
      </c>
    </row>
    <row r="21" spans="1:52" x14ac:dyDescent="0.25">
      <c r="B21" t="s">
        <v>103</v>
      </c>
      <c r="C21">
        <v>15</v>
      </c>
      <c r="D21">
        <v>15</v>
      </c>
      <c r="E21">
        <v>15</v>
      </c>
      <c r="F21">
        <v>15</v>
      </c>
      <c r="G21">
        <v>17</v>
      </c>
      <c r="H21">
        <v>0</v>
      </c>
      <c r="I21">
        <v>0</v>
      </c>
      <c r="O21">
        <v>0</v>
      </c>
      <c r="P21">
        <v>0</v>
      </c>
      <c r="Q21">
        <v>77</v>
      </c>
      <c r="R21">
        <v>77.170128160000004</v>
      </c>
      <c r="T21">
        <v>17</v>
      </c>
      <c r="U21">
        <v>17</v>
      </c>
      <c r="V21">
        <v>17</v>
      </c>
      <c r="W21">
        <v>17</v>
      </c>
      <c r="X21">
        <v>16</v>
      </c>
      <c r="Y21">
        <v>0</v>
      </c>
      <c r="Z21">
        <v>0</v>
      </c>
      <c r="AF21">
        <v>0</v>
      </c>
      <c r="AG21">
        <v>0</v>
      </c>
      <c r="AH21">
        <v>84</v>
      </c>
      <c r="AI21">
        <v>83.643089599999996</v>
      </c>
      <c r="AK21">
        <v>15</v>
      </c>
      <c r="AL21">
        <v>15</v>
      </c>
      <c r="AM21">
        <v>15</v>
      </c>
      <c r="AN21">
        <v>15</v>
      </c>
      <c r="AO21">
        <v>15</v>
      </c>
      <c r="AP21">
        <v>15</v>
      </c>
      <c r="AQ21">
        <v>0</v>
      </c>
      <c r="AR21">
        <v>0</v>
      </c>
      <c r="AX21">
        <v>0</v>
      </c>
      <c r="AY21">
        <v>90</v>
      </c>
      <c r="AZ21">
        <v>90.116051040000002</v>
      </c>
    </row>
    <row r="22" spans="1:52" x14ac:dyDescent="0.25">
      <c r="B22" t="s">
        <v>104</v>
      </c>
      <c r="C22">
        <v>0</v>
      </c>
      <c r="D22">
        <v>0</v>
      </c>
      <c r="E22">
        <v>0</v>
      </c>
      <c r="F22">
        <v>0</v>
      </c>
      <c r="G22">
        <v>0</v>
      </c>
      <c r="H22">
        <v>96</v>
      </c>
      <c r="I22">
        <v>3</v>
      </c>
      <c r="O22">
        <v>0</v>
      </c>
      <c r="P22">
        <v>0</v>
      </c>
      <c r="Q22">
        <v>99</v>
      </c>
      <c r="R22">
        <v>99.310307750000007</v>
      </c>
      <c r="T22">
        <v>0</v>
      </c>
      <c r="U22">
        <v>0</v>
      </c>
      <c r="V22">
        <v>0</v>
      </c>
      <c r="W22">
        <v>0</v>
      </c>
      <c r="X22">
        <v>0</v>
      </c>
      <c r="Y22">
        <v>64</v>
      </c>
      <c r="Z22">
        <v>52</v>
      </c>
      <c r="AF22">
        <v>0</v>
      </c>
      <c r="AG22">
        <v>0</v>
      </c>
      <c r="AH22">
        <v>116</v>
      </c>
      <c r="AI22">
        <v>115.8620257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95</v>
      </c>
      <c r="AR22">
        <v>37</v>
      </c>
      <c r="AX22">
        <v>0</v>
      </c>
      <c r="AY22">
        <v>132</v>
      </c>
      <c r="AZ22">
        <v>132.4137437</v>
      </c>
    </row>
    <row r="23" spans="1:52" x14ac:dyDescent="0.25">
      <c r="B23" t="s">
        <v>105</v>
      </c>
      <c r="C23">
        <v>0</v>
      </c>
      <c r="D23">
        <v>0</v>
      </c>
      <c r="E23">
        <v>0</v>
      </c>
      <c r="F23">
        <v>0</v>
      </c>
      <c r="G23">
        <v>0</v>
      </c>
      <c r="O23">
        <v>0</v>
      </c>
      <c r="Q23">
        <v>32</v>
      </c>
      <c r="R23">
        <v>31.755492629999999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F23">
        <v>0</v>
      </c>
      <c r="AH23">
        <v>34</v>
      </c>
      <c r="AI23">
        <v>33.740210920000003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Y23">
        <v>36</v>
      </c>
      <c r="AZ23">
        <v>35.724929209999999</v>
      </c>
    </row>
    <row r="24" spans="1:52" x14ac:dyDescent="0.25">
      <c r="B24" t="s">
        <v>106</v>
      </c>
      <c r="C24">
        <v>0</v>
      </c>
      <c r="D24">
        <v>0</v>
      </c>
      <c r="E24">
        <v>0</v>
      </c>
      <c r="F24">
        <v>0</v>
      </c>
      <c r="G24">
        <v>0</v>
      </c>
      <c r="O24">
        <v>0</v>
      </c>
      <c r="Q24">
        <v>212</v>
      </c>
      <c r="R24">
        <v>211.92529210000001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F24">
        <v>0</v>
      </c>
      <c r="AH24">
        <v>250</v>
      </c>
      <c r="AI24">
        <v>249.82056320000001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Y24">
        <v>288</v>
      </c>
      <c r="AZ24">
        <v>287.71583429999998</v>
      </c>
    </row>
    <row r="25" spans="1:52" x14ac:dyDescent="0.25">
      <c r="A25" t="s">
        <v>6</v>
      </c>
      <c r="B25" t="s">
        <v>101</v>
      </c>
      <c r="C25">
        <v>6</v>
      </c>
      <c r="D25">
        <v>6</v>
      </c>
      <c r="E25">
        <v>6</v>
      </c>
      <c r="F25">
        <v>6</v>
      </c>
      <c r="G25">
        <v>7</v>
      </c>
      <c r="H25">
        <v>0</v>
      </c>
      <c r="I25">
        <v>0</v>
      </c>
      <c r="O25">
        <v>0</v>
      </c>
      <c r="P25">
        <v>0</v>
      </c>
      <c r="Q25">
        <v>31</v>
      </c>
      <c r="R25">
        <v>30.759903860000001</v>
      </c>
      <c r="T25">
        <v>7</v>
      </c>
      <c r="U25">
        <v>7</v>
      </c>
      <c r="V25">
        <v>7</v>
      </c>
      <c r="W25">
        <v>7</v>
      </c>
      <c r="X25">
        <v>7</v>
      </c>
      <c r="Y25">
        <v>0</v>
      </c>
      <c r="Z25">
        <v>0</v>
      </c>
      <c r="AF25">
        <v>0</v>
      </c>
      <c r="AG25">
        <v>0</v>
      </c>
      <c r="AH25">
        <v>35</v>
      </c>
      <c r="AI25">
        <v>34.984135360000003</v>
      </c>
      <c r="AK25">
        <v>7</v>
      </c>
      <c r="AL25">
        <v>7</v>
      </c>
      <c r="AM25">
        <v>7</v>
      </c>
      <c r="AN25">
        <v>7</v>
      </c>
      <c r="AO25">
        <v>7</v>
      </c>
      <c r="AP25">
        <v>4</v>
      </c>
      <c r="AQ25">
        <v>0</v>
      </c>
      <c r="AR25">
        <v>0</v>
      </c>
      <c r="AX25">
        <v>0</v>
      </c>
      <c r="AY25">
        <v>39</v>
      </c>
      <c r="AZ25">
        <v>39.208366849999997</v>
      </c>
    </row>
    <row r="26" spans="1:52" x14ac:dyDescent="0.25">
      <c r="B26" t="s">
        <v>102</v>
      </c>
      <c r="C26">
        <v>70</v>
      </c>
      <c r="D26">
        <v>70</v>
      </c>
      <c r="E26">
        <v>70</v>
      </c>
      <c r="F26">
        <v>70</v>
      </c>
      <c r="G26">
        <v>71</v>
      </c>
      <c r="H26">
        <v>0</v>
      </c>
      <c r="I26">
        <v>0</v>
      </c>
      <c r="O26">
        <v>0</v>
      </c>
      <c r="P26">
        <v>0</v>
      </c>
      <c r="Q26">
        <v>351</v>
      </c>
      <c r="R26">
        <v>351.29550610000001</v>
      </c>
      <c r="T26">
        <v>78</v>
      </c>
      <c r="U26">
        <v>78</v>
      </c>
      <c r="V26">
        <v>78</v>
      </c>
      <c r="W26">
        <v>78</v>
      </c>
      <c r="X26">
        <v>78</v>
      </c>
      <c r="Y26">
        <v>0</v>
      </c>
      <c r="Z26">
        <v>0</v>
      </c>
      <c r="AF26">
        <v>0</v>
      </c>
      <c r="AG26">
        <v>0</v>
      </c>
      <c r="AH26">
        <v>390</v>
      </c>
      <c r="AI26">
        <v>389.9794617</v>
      </c>
      <c r="AK26">
        <v>72</v>
      </c>
      <c r="AL26">
        <v>72</v>
      </c>
      <c r="AM26">
        <v>72</v>
      </c>
      <c r="AN26">
        <v>72</v>
      </c>
      <c r="AO26">
        <v>71</v>
      </c>
      <c r="AP26">
        <v>70</v>
      </c>
      <c r="AQ26">
        <v>0</v>
      </c>
      <c r="AR26">
        <v>0</v>
      </c>
      <c r="AX26">
        <v>0</v>
      </c>
      <c r="AY26">
        <v>429</v>
      </c>
      <c r="AZ26">
        <v>428.66341740000001</v>
      </c>
    </row>
    <row r="27" spans="1:52" x14ac:dyDescent="0.25">
      <c r="B27" t="s">
        <v>103</v>
      </c>
      <c r="C27">
        <v>29</v>
      </c>
      <c r="D27">
        <v>29</v>
      </c>
      <c r="E27">
        <v>29</v>
      </c>
      <c r="F27">
        <v>29</v>
      </c>
      <c r="G27">
        <v>30</v>
      </c>
      <c r="H27">
        <v>0</v>
      </c>
      <c r="I27">
        <v>0</v>
      </c>
      <c r="O27">
        <v>0</v>
      </c>
      <c r="P27">
        <v>0</v>
      </c>
      <c r="Q27">
        <v>146</v>
      </c>
      <c r="R27">
        <v>145.8586555</v>
      </c>
      <c r="T27">
        <v>31</v>
      </c>
      <c r="U27">
        <v>31</v>
      </c>
      <c r="V27">
        <v>31</v>
      </c>
      <c r="W27">
        <v>31</v>
      </c>
      <c r="X27">
        <v>33</v>
      </c>
      <c r="Y27">
        <v>0</v>
      </c>
      <c r="Z27">
        <v>0</v>
      </c>
      <c r="AF27">
        <v>0</v>
      </c>
      <c r="AG27">
        <v>0</v>
      </c>
      <c r="AH27">
        <v>157</v>
      </c>
      <c r="AI27">
        <v>156.88018439999999</v>
      </c>
      <c r="AK27">
        <v>28</v>
      </c>
      <c r="AL27">
        <v>28</v>
      </c>
      <c r="AM27">
        <v>28</v>
      </c>
      <c r="AN27">
        <v>28</v>
      </c>
      <c r="AO27">
        <v>28</v>
      </c>
      <c r="AP27">
        <v>28</v>
      </c>
      <c r="AQ27">
        <v>0</v>
      </c>
      <c r="AR27">
        <v>0</v>
      </c>
      <c r="AX27">
        <v>0</v>
      </c>
      <c r="AY27">
        <v>168</v>
      </c>
      <c r="AZ27">
        <v>167.90171330000001</v>
      </c>
    </row>
    <row r="28" spans="1:52" x14ac:dyDescent="0.25">
      <c r="B28" t="s">
        <v>104</v>
      </c>
      <c r="C28">
        <v>0</v>
      </c>
      <c r="D28">
        <v>0</v>
      </c>
      <c r="E28">
        <v>0</v>
      </c>
      <c r="F28">
        <v>0</v>
      </c>
      <c r="G28">
        <v>0</v>
      </c>
      <c r="H28">
        <v>164</v>
      </c>
      <c r="I28">
        <v>5</v>
      </c>
      <c r="O28">
        <v>0</v>
      </c>
      <c r="P28">
        <v>0</v>
      </c>
      <c r="Q28">
        <v>169</v>
      </c>
      <c r="R28">
        <v>169.09592939999999</v>
      </c>
      <c r="T28">
        <v>0</v>
      </c>
      <c r="U28">
        <v>0</v>
      </c>
      <c r="V28">
        <v>0</v>
      </c>
      <c r="W28">
        <v>0</v>
      </c>
      <c r="X28">
        <v>0</v>
      </c>
      <c r="Y28">
        <v>110</v>
      </c>
      <c r="Z28">
        <v>87</v>
      </c>
      <c r="AF28">
        <v>0</v>
      </c>
      <c r="AG28">
        <v>0</v>
      </c>
      <c r="AH28">
        <v>197</v>
      </c>
      <c r="AI28">
        <v>197.27858430000001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161</v>
      </c>
      <c r="AR28">
        <v>64</v>
      </c>
      <c r="AX28">
        <v>0</v>
      </c>
      <c r="AY28">
        <v>225</v>
      </c>
      <c r="AZ28">
        <v>225.46123919999999</v>
      </c>
    </row>
    <row r="29" spans="1:52" x14ac:dyDescent="0.25">
      <c r="B29" t="s">
        <v>105</v>
      </c>
      <c r="C29">
        <v>0</v>
      </c>
      <c r="D29">
        <v>0</v>
      </c>
      <c r="E29">
        <v>0</v>
      </c>
      <c r="F29">
        <v>0</v>
      </c>
      <c r="G29">
        <v>0</v>
      </c>
      <c r="O29">
        <v>0</v>
      </c>
      <c r="Q29">
        <v>54</v>
      </c>
      <c r="R29">
        <v>54.070163129999997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F29">
        <v>0</v>
      </c>
      <c r="AH29">
        <v>57</v>
      </c>
      <c r="AI29">
        <v>57.449548329999999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Y29">
        <v>61</v>
      </c>
      <c r="AZ29">
        <v>60.82893352</v>
      </c>
    </row>
    <row r="30" spans="1:52" x14ac:dyDescent="0.25">
      <c r="B30" t="s">
        <v>106</v>
      </c>
      <c r="C30">
        <v>0</v>
      </c>
      <c r="D30">
        <v>0</v>
      </c>
      <c r="E30">
        <v>0</v>
      </c>
      <c r="F30">
        <v>0</v>
      </c>
      <c r="G30">
        <v>0</v>
      </c>
      <c r="O30">
        <v>0</v>
      </c>
      <c r="Q30">
        <v>361</v>
      </c>
      <c r="R30">
        <v>360.84576759999999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F30">
        <v>0</v>
      </c>
      <c r="AH30">
        <v>425</v>
      </c>
      <c r="AI30">
        <v>425.37014809999999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Y30">
        <v>490</v>
      </c>
      <c r="AZ30">
        <v>489.8945286</v>
      </c>
    </row>
    <row r="31" spans="1:52" x14ac:dyDescent="0.25">
      <c r="P31">
        <v>-1672</v>
      </c>
      <c r="Q31" s="121">
        <v>1672</v>
      </c>
      <c r="R31">
        <v>1671.6465350000001</v>
      </c>
      <c r="AG31">
        <v>-1910</v>
      </c>
      <c r="AH31" s="121">
        <v>1910</v>
      </c>
      <c r="AI31">
        <v>1909.767386</v>
      </c>
      <c r="AY31" s="121">
        <v>2148</v>
      </c>
      <c r="AZ31">
        <v>2147.888238</v>
      </c>
    </row>
    <row r="32" spans="1:52" x14ac:dyDescent="0.25">
      <c r="A32" t="s">
        <v>111</v>
      </c>
    </row>
    <row r="33" spans="1:52" x14ac:dyDescent="0.25">
      <c r="B33" t="s">
        <v>11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T33">
        <v>1</v>
      </c>
      <c r="U33">
        <v>2</v>
      </c>
      <c r="V33">
        <v>3</v>
      </c>
      <c r="W33">
        <v>4</v>
      </c>
      <c r="X33">
        <v>5</v>
      </c>
      <c r="Y33">
        <v>6</v>
      </c>
      <c r="Z33">
        <v>7</v>
      </c>
      <c r="AA33">
        <v>8</v>
      </c>
      <c r="AB33">
        <v>9</v>
      </c>
      <c r="AC33">
        <v>10</v>
      </c>
      <c r="AD33">
        <v>11</v>
      </c>
      <c r="AE33">
        <v>12</v>
      </c>
      <c r="AF33">
        <v>13</v>
      </c>
      <c r="AK33">
        <v>1</v>
      </c>
      <c r="AL33">
        <v>2</v>
      </c>
      <c r="AM33">
        <v>3</v>
      </c>
      <c r="AN33">
        <v>4</v>
      </c>
      <c r="AO33">
        <v>4</v>
      </c>
      <c r="AP33">
        <v>6</v>
      </c>
      <c r="AQ33">
        <v>7</v>
      </c>
      <c r="AR33">
        <v>8</v>
      </c>
      <c r="AS33">
        <v>9</v>
      </c>
      <c r="AT33">
        <v>10</v>
      </c>
      <c r="AU33">
        <v>11</v>
      </c>
      <c r="AV33">
        <v>12</v>
      </c>
      <c r="AW33">
        <v>13</v>
      </c>
    </row>
    <row r="34" spans="1:52" x14ac:dyDescent="0.25">
      <c r="A34" t="s">
        <v>5</v>
      </c>
      <c r="B34" t="s">
        <v>101</v>
      </c>
      <c r="C34">
        <v>2</v>
      </c>
      <c r="D34">
        <v>2</v>
      </c>
      <c r="E34">
        <v>2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</v>
      </c>
      <c r="R34">
        <v>7.8056640640000001</v>
      </c>
      <c r="T34">
        <v>2</v>
      </c>
      <c r="U34">
        <v>2</v>
      </c>
      <c r="V34">
        <v>2</v>
      </c>
      <c r="W34">
        <v>2</v>
      </c>
      <c r="X34">
        <v>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10</v>
      </c>
      <c r="AI34">
        <v>10.28656193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3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13</v>
      </c>
      <c r="AZ34">
        <v>12.76745979</v>
      </c>
    </row>
    <row r="35" spans="1:52" x14ac:dyDescent="0.25">
      <c r="B35" t="s">
        <v>102</v>
      </c>
      <c r="C35">
        <v>26</v>
      </c>
      <c r="D35">
        <v>26</v>
      </c>
      <c r="E35">
        <v>26</v>
      </c>
      <c r="F35">
        <v>26</v>
      </c>
      <c r="G35">
        <v>28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132</v>
      </c>
      <c r="R35">
        <v>131.75372429999999</v>
      </c>
      <c r="T35">
        <v>31</v>
      </c>
      <c r="U35">
        <v>31</v>
      </c>
      <c r="V35">
        <v>31</v>
      </c>
      <c r="W35">
        <v>31</v>
      </c>
      <c r="X35">
        <v>30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154</v>
      </c>
      <c r="AI35">
        <v>154.4728728</v>
      </c>
      <c r="AK35">
        <v>30</v>
      </c>
      <c r="AL35">
        <v>30</v>
      </c>
      <c r="AM35">
        <v>30</v>
      </c>
      <c r="AN35">
        <v>30</v>
      </c>
      <c r="AO35">
        <v>30</v>
      </c>
      <c r="AP35">
        <v>27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177</v>
      </c>
      <c r="AZ35">
        <v>177.19202129999999</v>
      </c>
    </row>
    <row r="36" spans="1:52" x14ac:dyDescent="0.25">
      <c r="B36" t="s">
        <v>103</v>
      </c>
      <c r="C36">
        <v>15</v>
      </c>
      <c r="D36">
        <v>15</v>
      </c>
      <c r="E36">
        <v>15</v>
      </c>
      <c r="F36">
        <v>15</v>
      </c>
      <c r="G36">
        <v>17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77</v>
      </c>
      <c r="R36">
        <v>77.170128160000004</v>
      </c>
      <c r="T36">
        <v>17</v>
      </c>
      <c r="U36">
        <v>17</v>
      </c>
      <c r="V36">
        <v>17</v>
      </c>
      <c r="W36">
        <v>17</v>
      </c>
      <c r="X36">
        <v>16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84</v>
      </c>
      <c r="AI36">
        <v>83.643089599999996</v>
      </c>
      <c r="AK36">
        <v>15</v>
      </c>
      <c r="AL36">
        <v>15</v>
      </c>
      <c r="AM36">
        <v>15</v>
      </c>
      <c r="AN36">
        <v>15</v>
      </c>
      <c r="AO36">
        <v>15</v>
      </c>
      <c r="AP36">
        <v>15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90</v>
      </c>
      <c r="AZ36">
        <v>90.116051040000002</v>
      </c>
    </row>
    <row r="37" spans="1:52" x14ac:dyDescent="0.25">
      <c r="B37" t="s">
        <v>104</v>
      </c>
      <c r="C37">
        <v>0</v>
      </c>
      <c r="D37">
        <v>0</v>
      </c>
      <c r="E37">
        <v>0</v>
      </c>
      <c r="F37">
        <v>0</v>
      </c>
      <c r="G37">
        <v>0</v>
      </c>
      <c r="H37">
        <v>96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99</v>
      </c>
      <c r="R37">
        <v>99.310307750000007</v>
      </c>
      <c r="T37">
        <v>0</v>
      </c>
      <c r="U37">
        <v>0</v>
      </c>
      <c r="V37">
        <v>0</v>
      </c>
      <c r="W37">
        <v>0</v>
      </c>
      <c r="X37">
        <v>0</v>
      </c>
      <c r="Y37">
        <v>64</v>
      </c>
      <c r="Z37">
        <v>52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116</v>
      </c>
      <c r="AI37">
        <v>115.8620257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95</v>
      </c>
      <c r="AR37">
        <v>37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132</v>
      </c>
      <c r="AZ37">
        <v>132.4137437</v>
      </c>
    </row>
    <row r="38" spans="1:52" x14ac:dyDescent="0.25">
      <c r="B38" t="s">
        <v>105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5</v>
      </c>
      <c r="J38">
        <v>5</v>
      </c>
      <c r="K38">
        <v>6</v>
      </c>
      <c r="L38">
        <v>5</v>
      </c>
      <c r="M38">
        <v>5</v>
      </c>
      <c r="N38">
        <v>6</v>
      </c>
      <c r="O38">
        <v>0</v>
      </c>
      <c r="P38">
        <v>0</v>
      </c>
      <c r="Q38">
        <v>32</v>
      </c>
      <c r="R38">
        <v>31.755492629999999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6</v>
      </c>
      <c r="AA38">
        <v>6</v>
      </c>
      <c r="AB38">
        <v>6</v>
      </c>
      <c r="AC38">
        <v>5</v>
      </c>
      <c r="AD38">
        <v>6</v>
      </c>
      <c r="AE38">
        <v>5</v>
      </c>
      <c r="AF38">
        <v>0</v>
      </c>
      <c r="AG38">
        <v>0</v>
      </c>
      <c r="AH38">
        <v>34</v>
      </c>
      <c r="AI38">
        <v>33.740210920000003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6</v>
      </c>
      <c r="AS38">
        <v>6</v>
      </c>
      <c r="AT38">
        <v>6</v>
      </c>
      <c r="AU38">
        <v>6</v>
      </c>
      <c r="AV38">
        <v>6</v>
      </c>
      <c r="AW38">
        <v>6</v>
      </c>
      <c r="AX38">
        <v>0</v>
      </c>
      <c r="AY38">
        <v>36</v>
      </c>
      <c r="AZ38">
        <v>35.724929209999999</v>
      </c>
    </row>
    <row r="39" spans="1:52" x14ac:dyDescent="0.25">
      <c r="B39" t="s">
        <v>106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35</v>
      </c>
      <c r="J39">
        <v>35</v>
      </c>
      <c r="K39">
        <v>36</v>
      </c>
      <c r="L39">
        <v>35</v>
      </c>
      <c r="M39">
        <v>35</v>
      </c>
      <c r="N39">
        <v>36</v>
      </c>
      <c r="O39">
        <v>0</v>
      </c>
      <c r="P39">
        <v>0</v>
      </c>
      <c r="Q39">
        <v>212</v>
      </c>
      <c r="R39">
        <v>211.92529210000001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42</v>
      </c>
      <c r="AA39">
        <v>42</v>
      </c>
      <c r="AB39">
        <v>41</v>
      </c>
      <c r="AC39">
        <v>42</v>
      </c>
      <c r="AD39">
        <v>42</v>
      </c>
      <c r="AE39">
        <v>41</v>
      </c>
      <c r="AF39">
        <v>0</v>
      </c>
      <c r="AG39">
        <v>0</v>
      </c>
      <c r="AH39">
        <v>250</v>
      </c>
      <c r="AI39">
        <v>249.82056320000001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48</v>
      </c>
      <c r="AS39">
        <v>48</v>
      </c>
      <c r="AT39">
        <v>48</v>
      </c>
      <c r="AU39">
        <v>48</v>
      </c>
      <c r="AV39">
        <v>48</v>
      </c>
      <c r="AW39">
        <v>48</v>
      </c>
      <c r="AX39">
        <v>0</v>
      </c>
      <c r="AY39">
        <v>288</v>
      </c>
      <c r="AZ39">
        <v>287.71583429999998</v>
      </c>
    </row>
    <row r="40" spans="1:52" x14ac:dyDescent="0.25">
      <c r="A40" t="s">
        <v>6</v>
      </c>
      <c r="B40" t="s">
        <v>101</v>
      </c>
      <c r="C40">
        <v>6</v>
      </c>
      <c r="D40">
        <v>6</v>
      </c>
      <c r="E40">
        <v>6</v>
      </c>
      <c r="F40">
        <v>6</v>
      </c>
      <c r="G40">
        <v>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31</v>
      </c>
      <c r="R40">
        <v>30.759903860000001</v>
      </c>
      <c r="T40">
        <v>7</v>
      </c>
      <c r="U40">
        <v>7</v>
      </c>
      <c r="V40">
        <v>7</v>
      </c>
      <c r="W40">
        <v>7</v>
      </c>
      <c r="X40">
        <v>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35</v>
      </c>
      <c r="AI40">
        <v>34.984135360000003</v>
      </c>
      <c r="AK40">
        <v>7</v>
      </c>
      <c r="AL40">
        <v>7</v>
      </c>
      <c r="AM40">
        <v>7</v>
      </c>
      <c r="AN40">
        <v>7</v>
      </c>
      <c r="AO40">
        <v>7</v>
      </c>
      <c r="AP40">
        <v>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39</v>
      </c>
      <c r="AZ40">
        <v>39.208366849999997</v>
      </c>
    </row>
    <row r="41" spans="1:52" x14ac:dyDescent="0.25">
      <c r="B41" t="s">
        <v>102</v>
      </c>
      <c r="C41">
        <v>70</v>
      </c>
      <c r="D41">
        <v>70</v>
      </c>
      <c r="E41">
        <v>70</v>
      </c>
      <c r="F41">
        <v>70</v>
      </c>
      <c r="G41">
        <v>71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351</v>
      </c>
      <c r="R41">
        <v>351.29550610000001</v>
      </c>
      <c r="T41">
        <v>78</v>
      </c>
      <c r="U41">
        <v>78</v>
      </c>
      <c r="V41">
        <v>78</v>
      </c>
      <c r="W41">
        <v>78</v>
      </c>
      <c r="X41">
        <v>78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390</v>
      </c>
      <c r="AI41">
        <v>389.9794617</v>
      </c>
      <c r="AK41">
        <v>72</v>
      </c>
      <c r="AL41">
        <v>72</v>
      </c>
      <c r="AM41">
        <v>72</v>
      </c>
      <c r="AN41">
        <v>72</v>
      </c>
      <c r="AO41">
        <v>71</v>
      </c>
      <c r="AP41">
        <v>70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429</v>
      </c>
      <c r="AZ41">
        <v>428.66341740000001</v>
      </c>
    </row>
    <row r="42" spans="1:52" x14ac:dyDescent="0.25">
      <c r="B42" t="s">
        <v>103</v>
      </c>
      <c r="C42">
        <v>29</v>
      </c>
      <c r="D42">
        <v>29</v>
      </c>
      <c r="E42">
        <v>29</v>
      </c>
      <c r="F42">
        <v>29</v>
      </c>
      <c r="G42">
        <v>30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146</v>
      </c>
      <c r="R42">
        <v>145.8586555</v>
      </c>
      <c r="T42">
        <v>31</v>
      </c>
      <c r="U42">
        <v>31</v>
      </c>
      <c r="V42">
        <v>31</v>
      </c>
      <c r="W42">
        <v>31</v>
      </c>
      <c r="X42">
        <v>33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157</v>
      </c>
      <c r="AI42">
        <v>156.88018439999999</v>
      </c>
      <c r="AK42">
        <v>28</v>
      </c>
      <c r="AL42">
        <v>28</v>
      </c>
      <c r="AM42">
        <v>28</v>
      </c>
      <c r="AN42">
        <v>28</v>
      </c>
      <c r="AO42">
        <v>28</v>
      </c>
      <c r="AP42">
        <v>28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168</v>
      </c>
      <c r="AZ42">
        <v>167.90171330000001</v>
      </c>
    </row>
    <row r="43" spans="1:52" x14ac:dyDescent="0.25">
      <c r="B43" t="s">
        <v>104</v>
      </c>
      <c r="C43">
        <v>0</v>
      </c>
      <c r="D43">
        <v>0</v>
      </c>
      <c r="E43">
        <v>0</v>
      </c>
      <c r="F43">
        <v>0</v>
      </c>
      <c r="G43">
        <v>0</v>
      </c>
      <c r="H43">
        <v>163</v>
      </c>
      <c r="I43">
        <v>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169</v>
      </c>
      <c r="R43">
        <v>169.09592939999999</v>
      </c>
      <c r="T43">
        <v>0</v>
      </c>
      <c r="U43">
        <v>0</v>
      </c>
      <c r="V43">
        <v>0</v>
      </c>
      <c r="W43">
        <v>0</v>
      </c>
      <c r="X43">
        <v>0</v>
      </c>
      <c r="Y43">
        <v>110</v>
      </c>
      <c r="Z43">
        <v>87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197</v>
      </c>
      <c r="AI43">
        <v>197.27858430000001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161</v>
      </c>
      <c r="AR43">
        <v>64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225</v>
      </c>
      <c r="AZ43">
        <v>225.46123919999999</v>
      </c>
    </row>
    <row r="44" spans="1:52" x14ac:dyDescent="0.25">
      <c r="B44" t="s">
        <v>105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9</v>
      </c>
      <c r="J44">
        <v>9</v>
      </c>
      <c r="K44">
        <v>9</v>
      </c>
      <c r="L44">
        <v>9</v>
      </c>
      <c r="M44">
        <v>9</v>
      </c>
      <c r="N44">
        <v>9</v>
      </c>
      <c r="O44">
        <v>0</v>
      </c>
      <c r="P44">
        <v>0</v>
      </c>
      <c r="Q44">
        <v>54</v>
      </c>
      <c r="R44">
        <v>54.070163129999997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10</v>
      </c>
      <c r="AA44">
        <v>9</v>
      </c>
      <c r="AB44">
        <v>10</v>
      </c>
      <c r="AC44">
        <v>9</v>
      </c>
      <c r="AD44">
        <v>10</v>
      </c>
      <c r="AE44">
        <v>9</v>
      </c>
      <c r="AF44">
        <v>0</v>
      </c>
      <c r="AG44">
        <v>0</v>
      </c>
      <c r="AH44">
        <v>57</v>
      </c>
      <c r="AI44">
        <v>57.449548329999999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11</v>
      </c>
      <c r="AX44">
        <v>0</v>
      </c>
      <c r="AY44">
        <v>61</v>
      </c>
      <c r="AZ44">
        <v>60.82893352</v>
      </c>
    </row>
    <row r="45" spans="1:52" x14ac:dyDescent="0.25">
      <c r="B45" t="s">
        <v>106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60</v>
      </c>
      <c r="J45">
        <v>60</v>
      </c>
      <c r="K45">
        <v>60</v>
      </c>
      <c r="L45">
        <v>60</v>
      </c>
      <c r="M45">
        <v>60</v>
      </c>
      <c r="N45">
        <v>61</v>
      </c>
      <c r="O45">
        <v>0</v>
      </c>
      <c r="P45">
        <v>0</v>
      </c>
      <c r="Q45">
        <v>361</v>
      </c>
      <c r="R45">
        <v>360.84576759999999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71</v>
      </c>
      <c r="AA45">
        <v>71</v>
      </c>
      <c r="AB45">
        <v>71</v>
      </c>
      <c r="AC45">
        <v>70</v>
      </c>
      <c r="AD45">
        <v>71</v>
      </c>
      <c r="AE45">
        <v>71</v>
      </c>
      <c r="AF45">
        <v>0</v>
      </c>
      <c r="AG45">
        <v>0</v>
      </c>
      <c r="AH45">
        <v>425</v>
      </c>
      <c r="AI45">
        <v>425.37014809999999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82</v>
      </c>
      <c r="AS45">
        <v>82</v>
      </c>
      <c r="AT45">
        <v>81</v>
      </c>
      <c r="AU45">
        <v>82</v>
      </c>
      <c r="AV45">
        <v>82</v>
      </c>
      <c r="AW45">
        <v>81</v>
      </c>
      <c r="AX45">
        <v>0</v>
      </c>
      <c r="AY45">
        <v>490</v>
      </c>
      <c r="AZ45">
        <v>489.8945286</v>
      </c>
    </row>
    <row r="46" spans="1:52" x14ac:dyDescent="0.25">
      <c r="P46">
        <v>-1672</v>
      </c>
      <c r="Q46" s="121">
        <v>1672</v>
      </c>
      <c r="R46">
        <v>1671.6465350000001</v>
      </c>
      <c r="AG46">
        <v>-1910</v>
      </c>
      <c r="AH46" s="121">
        <v>1910</v>
      </c>
      <c r="AI46">
        <v>1909.767386</v>
      </c>
      <c r="AY46" s="121">
        <v>2148</v>
      </c>
      <c r="AZ46">
        <v>2147.888238</v>
      </c>
    </row>
    <row r="47" spans="1:52" x14ac:dyDescent="0.25">
      <c r="A47" t="s">
        <v>113</v>
      </c>
    </row>
    <row r="48" spans="1:52" x14ac:dyDescent="0.25">
      <c r="B48" t="s">
        <v>11</v>
      </c>
      <c r="C48">
        <v>1</v>
      </c>
      <c r="D48">
        <v>2</v>
      </c>
      <c r="E48">
        <v>3</v>
      </c>
      <c r="F48">
        <v>4</v>
      </c>
      <c r="G48">
        <v>5</v>
      </c>
      <c r="I48">
        <v>7</v>
      </c>
      <c r="J48">
        <v>8</v>
      </c>
      <c r="K48">
        <v>9</v>
      </c>
      <c r="L48">
        <v>10</v>
      </c>
      <c r="M48">
        <v>11</v>
      </c>
      <c r="N48">
        <v>12</v>
      </c>
      <c r="O48">
        <v>13</v>
      </c>
      <c r="T48">
        <v>1</v>
      </c>
      <c r="U48">
        <v>2</v>
      </c>
      <c r="V48">
        <v>3</v>
      </c>
      <c r="W48">
        <v>4</v>
      </c>
      <c r="X48">
        <v>5</v>
      </c>
      <c r="Z48">
        <v>7</v>
      </c>
      <c r="AA48">
        <v>8</v>
      </c>
      <c r="AB48">
        <v>9</v>
      </c>
      <c r="AC48">
        <v>10</v>
      </c>
      <c r="AD48">
        <v>11</v>
      </c>
      <c r="AE48">
        <v>12</v>
      </c>
      <c r="AF48">
        <v>13</v>
      </c>
      <c r="AK48">
        <v>1</v>
      </c>
      <c r="AL48">
        <v>2</v>
      </c>
      <c r="AM48">
        <v>3</v>
      </c>
      <c r="AN48">
        <v>4</v>
      </c>
      <c r="AO48">
        <v>4</v>
      </c>
      <c r="AQ48">
        <v>7</v>
      </c>
      <c r="AR48">
        <v>8</v>
      </c>
      <c r="AS48">
        <v>9</v>
      </c>
      <c r="AT48">
        <v>10</v>
      </c>
      <c r="AU48">
        <v>11</v>
      </c>
      <c r="AV48">
        <v>12</v>
      </c>
      <c r="AW48">
        <v>13</v>
      </c>
    </row>
    <row r="49" spans="1:52" x14ac:dyDescent="0.25">
      <c r="A49" t="s">
        <v>5</v>
      </c>
      <c r="B49" t="s">
        <v>101</v>
      </c>
      <c r="C49">
        <v>2</v>
      </c>
      <c r="D49">
        <v>2</v>
      </c>
      <c r="E49">
        <v>2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8</v>
      </c>
      <c r="R49">
        <v>7.8056640640000001</v>
      </c>
      <c r="T49">
        <v>2</v>
      </c>
      <c r="U49">
        <v>2</v>
      </c>
      <c r="V49">
        <v>2</v>
      </c>
      <c r="W49">
        <v>2</v>
      </c>
      <c r="X49">
        <v>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10</v>
      </c>
      <c r="AI49">
        <v>10.28656193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3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13</v>
      </c>
      <c r="AZ49">
        <v>12.76745979</v>
      </c>
    </row>
    <row r="50" spans="1:52" x14ac:dyDescent="0.25">
      <c r="B50" t="s">
        <v>102</v>
      </c>
      <c r="C50">
        <v>26</v>
      </c>
      <c r="D50">
        <v>26</v>
      </c>
      <c r="E50">
        <v>26</v>
      </c>
      <c r="F50">
        <v>26</v>
      </c>
      <c r="G50">
        <v>28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132</v>
      </c>
      <c r="R50">
        <v>131.75372429999999</v>
      </c>
      <c r="T50">
        <v>31</v>
      </c>
      <c r="U50">
        <v>31</v>
      </c>
      <c r="V50">
        <v>31</v>
      </c>
      <c r="W50">
        <v>31</v>
      </c>
      <c r="X50">
        <v>30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154</v>
      </c>
      <c r="AI50">
        <v>154.4728728</v>
      </c>
      <c r="AK50">
        <v>30</v>
      </c>
      <c r="AL50">
        <v>30</v>
      </c>
      <c r="AM50">
        <v>30</v>
      </c>
      <c r="AN50">
        <v>30</v>
      </c>
      <c r="AO50">
        <v>30</v>
      </c>
      <c r="AP50">
        <v>27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177</v>
      </c>
      <c r="AZ50">
        <v>177.19202129999999</v>
      </c>
    </row>
    <row r="51" spans="1:52" x14ac:dyDescent="0.25">
      <c r="B51" t="s">
        <v>103</v>
      </c>
      <c r="C51">
        <v>15</v>
      </c>
      <c r="D51">
        <v>15</v>
      </c>
      <c r="E51">
        <v>15</v>
      </c>
      <c r="F51">
        <v>15</v>
      </c>
      <c r="G51">
        <v>17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77</v>
      </c>
      <c r="R51">
        <v>77.170128160000004</v>
      </c>
      <c r="T51">
        <v>17</v>
      </c>
      <c r="U51">
        <v>17</v>
      </c>
      <c r="V51">
        <v>17</v>
      </c>
      <c r="W51">
        <v>17</v>
      </c>
      <c r="X51">
        <v>16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84</v>
      </c>
      <c r="AI51">
        <v>83.643089599999996</v>
      </c>
      <c r="AK51">
        <v>15</v>
      </c>
      <c r="AL51">
        <v>15</v>
      </c>
      <c r="AM51">
        <v>15</v>
      </c>
      <c r="AN51">
        <v>15</v>
      </c>
      <c r="AO51">
        <v>15</v>
      </c>
      <c r="AP51">
        <v>15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90</v>
      </c>
      <c r="AZ51">
        <v>90.116051040000002</v>
      </c>
    </row>
    <row r="52" spans="1:52" x14ac:dyDescent="0.25">
      <c r="B52" t="s">
        <v>104</v>
      </c>
      <c r="C52">
        <v>0</v>
      </c>
      <c r="D52">
        <v>0</v>
      </c>
      <c r="E52">
        <v>0</v>
      </c>
      <c r="F52">
        <v>0</v>
      </c>
      <c r="G52">
        <v>0</v>
      </c>
      <c r="N52">
        <v>0</v>
      </c>
      <c r="O52">
        <v>0</v>
      </c>
      <c r="Q52">
        <v>99</v>
      </c>
      <c r="R52">
        <v>99.310307750000007</v>
      </c>
      <c r="T52">
        <v>0</v>
      </c>
      <c r="U52">
        <v>0</v>
      </c>
      <c r="V52">
        <v>0</v>
      </c>
      <c r="W52">
        <v>0</v>
      </c>
      <c r="X52">
        <v>0</v>
      </c>
      <c r="AE52">
        <v>0</v>
      </c>
      <c r="AF52">
        <v>0</v>
      </c>
      <c r="AH52">
        <v>116</v>
      </c>
      <c r="AI52">
        <v>115.8620257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W52">
        <v>0</v>
      </c>
      <c r="AY52">
        <v>132</v>
      </c>
      <c r="AZ52">
        <v>132.4137437</v>
      </c>
    </row>
    <row r="53" spans="1:52" x14ac:dyDescent="0.25">
      <c r="B53" t="s">
        <v>105</v>
      </c>
      <c r="C53">
        <v>0</v>
      </c>
      <c r="D53">
        <v>0</v>
      </c>
      <c r="E53">
        <v>0</v>
      </c>
      <c r="F53">
        <v>0</v>
      </c>
      <c r="G53">
        <v>0</v>
      </c>
      <c r="H53">
        <v>5</v>
      </c>
      <c r="I53">
        <v>5</v>
      </c>
      <c r="J53">
        <v>6</v>
      </c>
      <c r="K53">
        <v>5</v>
      </c>
      <c r="L53">
        <v>5</v>
      </c>
      <c r="M53">
        <v>6</v>
      </c>
      <c r="N53">
        <v>0</v>
      </c>
      <c r="O53">
        <v>0</v>
      </c>
      <c r="P53">
        <v>0</v>
      </c>
      <c r="Q53">
        <v>32</v>
      </c>
      <c r="R53">
        <v>31.755492629999999</v>
      </c>
      <c r="T53">
        <v>0</v>
      </c>
      <c r="U53">
        <v>0</v>
      </c>
      <c r="V53">
        <v>0</v>
      </c>
      <c r="W53">
        <v>0</v>
      </c>
      <c r="X53">
        <v>0</v>
      </c>
      <c r="Y53">
        <v>6</v>
      </c>
      <c r="Z53">
        <v>6</v>
      </c>
      <c r="AA53">
        <v>5</v>
      </c>
      <c r="AB53">
        <v>6</v>
      </c>
      <c r="AC53">
        <v>6</v>
      </c>
      <c r="AD53">
        <v>5</v>
      </c>
      <c r="AE53">
        <v>0</v>
      </c>
      <c r="AF53">
        <v>0</v>
      </c>
      <c r="AG53">
        <v>0</v>
      </c>
      <c r="AH53">
        <v>34</v>
      </c>
      <c r="AI53">
        <v>33.740210920000003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0</v>
      </c>
      <c r="AX53">
        <v>0</v>
      </c>
      <c r="AY53">
        <v>36</v>
      </c>
      <c r="AZ53">
        <v>35.724929209999999</v>
      </c>
    </row>
    <row r="54" spans="1:52" x14ac:dyDescent="0.25">
      <c r="B54" t="s">
        <v>106</v>
      </c>
      <c r="C54">
        <v>0</v>
      </c>
      <c r="D54">
        <v>0</v>
      </c>
      <c r="E54">
        <v>0</v>
      </c>
      <c r="F54">
        <v>0</v>
      </c>
      <c r="G54">
        <v>0</v>
      </c>
      <c r="H54">
        <v>35</v>
      </c>
      <c r="I54">
        <v>35</v>
      </c>
      <c r="J54">
        <v>36</v>
      </c>
      <c r="K54">
        <v>35</v>
      </c>
      <c r="L54">
        <v>35</v>
      </c>
      <c r="M54">
        <v>36</v>
      </c>
      <c r="N54">
        <v>0</v>
      </c>
      <c r="O54">
        <v>0</v>
      </c>
      <c r="P54">
        <v>0</v>
      </c>
      <c r="Q54">
        <v>212</v>
      </c>
      <c r="R54">
        <v>211.92529210000001</v>
      </c>
      <c r="T54">
        <v>0</v>
      </c>
      <c r="U54">
        <v>0</v>
      </c>
      <c r="V54">
        <v>0</v>
      </c>
      <c r="W54">
        <v>0</v>
      </c>
      <c r="X54">
        <v>0</v>
      </c>
      <c r="Y54">
        <v>42</v>
      </c>
      <c r="Z54">
        <v>41</v>
      </c>
      <c r="AA54">
        <v>42</v>
      </c>
      <c r="AB54">
        <v>41</v>
      </c>
      <c r="AC54">
        <v>42</v>
      </c>
      <c r="AD54">
        <v>42</v>
      </c>
      <c r="AE54">
        <v>0</v>
      </c>
      <c r="AF54">
        <v>0</v>
      </c>
      <c r="AG54">
        <v>0</v>
      </c>
      <c r="AH54">
        <v>250</v>
      </c>
      <c r="AI54">
        <v>249.82056320000001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48</v>
      </c>
      <c r="AR54">
        <v>48</v>
      </c>
      <c r="AS54">
        <v>48</v>
      </c>
      <c r="AT54">
        <v>48</v>
      </c>
      <c r="AU54">
        <v>48</v>
      </c>
      <c r="AV54">
        <v>48</v>
      </c>
      <c r="AW54">
        <v>0</v>
      </c>
      <c r="AX54">
        <v>0</v>
      </c>
      <c r="AY54">
        <v>288</v>
      </c>
      <c r="AZ54">
        <v>287.71583429999998</v>
      </c>
    </row>
    <row r="55" spans="1:52" x14ac:dyDescent="0.25">
      <c r="A55" t="s">
        <v>6</v>
      </c>
      <c r="B55" t="s">
        <v>101</v>
      </c>
      <c r="C55">
        <v>6</v>
      </c>
      <c r="D55">
        <v>6</v>
      </c>
      <c r="E55">
        <v>6</v>
      </c>
      <c r="F55">
        <v>6</v>
      </c>
      <c r="G55">
        <v>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31</v>
      </c>
      <c r="R55">
        <v>30.759903860000001</v>
      </c>
      <c r="T55">
        <v>7</v>
      </c>
      <c r="U55">
        <v>7</v>
      </c>
      <c r="V55">
        <v>7</v>
      </c>
      <c r="W55">
        <v>7</v>
      </c>
      <c r="X55">
        <v>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35</v>
      </c>
      <c r="AI55">
        <v>34.984135360000003</v>
      </c>
      <c r="AK55">
        <v>7</v>
      </c>
      <c r="AL55">
        <v>7</v>
      </c>
      <c r="AM55">
        <v>7</v>
      </c>
      <c r="AN55">
        <v>7</v>
      </c>
      <c r="AO55">
        <v>7</v>
      </c>
      <c r="AP55">
        <v>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39</v>
      </c>
      <c r="AZ55">
        <v>39.208366849999997</v>
      </c>
    </row>
    <row r="56" spans="1:52" x14ac:dyDescent="0.25">
      <c r="B56" t="s">
        <v>102</v>
      </c>
      <c r="C56">
        <v>70</v>
      </c>
      <c r="D56">
        <v>70</v>
      </c>
      <c r="E56">
        <v>70</v>
      </c>
      <c r="F56">
        <v>70</v>
      </c>
      <c r="G56">
        <v>71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351</v>
      </c>
      <c r="R56">
        <v>351.29550610000001</v>
      </c>
      <c r="T56">
        <v>78</v>
      </c>
      <c r="U56">
        <v>78</v>
      </c>
      <c r="V56">
        <v>78</v>
      </c>
      <c r="W56">
        <v>78</v>
      </c>
      <c r="X56">
        <v>78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390</v>
      </c>
      <c r="AI56">
        <v>389.9794617</v>
      </c>
      <c r="AK56">
        <v>72</v>
      </c>
      <c r="AL56">
        <v>72</v>
      </c>
      <c r="AM56">
        <v>72</v>
      </c>
      <c r="AN56">
        <v>72</v>
      </c>
      <c r="AO56">
        <v>71</v>
      </c>
      <c r="AP56">
        <v>70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429</v>
      </c>
      <c r="AZ56">
        <v>428.66341740000001</v>
      </c>
    </row>
    <row r="57" spans="1:52" x14ac:dyDescent="0.25">
      <c r="B57" t="s">
        <v>103</v>
      </c>
      <c r="C57">
        <v>29</v>
      </c>
      <c r="D57">
        <v>29</v>
      </c>
      <c r="E57">
        <v>29</v>
      </c>
      <c r="F57">
        <v>29</v>
      </c>
      <c r="G57">
        <v>30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146</v>
      </c>
      <c r="R57">
        <v>145.8586555</v>
      </c>
      <c r="T57">
        <v>31</v>
      </c>
      <c r="U57">
        <v>31</v>
      </c>
      <c r="V57">
        <v>31</v>
      </c>
      <c r="W57">
        <v>31</v>
      </c>
      <c r="X57">
        <v>33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157</v>
      </c>
      <c r="AI57">
        <v>156.88018439999999</v>
      </c>
      <c r="AK57">
        <v>28</v>
      </c>
      <c r="AL57">
        <v>28</v>
      </c>
      <c r="AM57">
        <v>28</v>
      </c>
      <c r="AN57">
        <v>28</v>
      </c>
      <c r="AO57">
        <v>28</v>
      </c>
      <c r="AP57">
        <v>28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168</v>
      </c>
      <c r="AZ57">
        <v>167.90171330000001</v>
      </c>
    </row>
    <row r="58" spans="1:52" x14ac:dyDescent="0.25">
      <c r="B58" t="s">
        <v>104</v>
      </c>
      <c r="C58">
        <v>0</v>
      </c>
      <c r="D58">
        <v>0</v>
      </c>
      <c r="E58">
        <v>0</v>
      </c>
      <c r="F58">
        <v>0</v>
      </c>
      <c r="G58">
        <v>0</v>
      </c>
      <c r="N58">
        <v>0</v>
      </c>
      <c r="O58">
        <v>0</v>
      </c>
      <c r="Q58">
        <v>169</v>
      </c>
      <c r="R58">
        <v>169.09592939999999</v>
      </c>
      <c r="T58">
        <v>0</v>
      </c>
      <c r="U58">
        <v>0</v>
      </c>
      <c r="V58">
        <v>0</v>
      </c>
      <c r="W58">
        <v>0</v>
      </c>
      <c r="X58">
        <v>0</v>
      </c>
      <c r="AE58">
        <v>0</v>
      </c>
      <c r="AF58">
        <v>0</v>
      </c>
      <c r="AH58">
        <v>197</v>
      </c>
      <c r="AI58">
        <v>197.27858430000001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W58">
        <v>0</v>
      </c>
      <c r="AY58">
        <v>225</v>
      </c>
      <c r="AZ58">
        <v>225.46123919999999</v>
      </c>
    </row>
    <row r="59" spans="1:52" x14ac:dyDescent="0.25">
      <c r="B59" t="s">
        <v>105</v>
      </c>
      <c r="C59">
        <v>0</v>
      </c>
      <c r="D59">
        <v>0</v>
      </c>
      <c r="E59">
        <v>0</v>
      </c>
      <c r="F59">
        <v>0</v>
      </c>
      <c r="G59">
        <v>0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0</v>
      </c>
      <c r="O59">
        <v>0</v>
      </c>
      <c r="P59">
        <v>0</v>
      </c>
      <c r="Q59">
        <v>54</v>
      </c>
      <c r="R59">
        <v>54.070163129999997</v>
      </c>
      <c r="T59">
        <v>0</v>
      </c>
      <c r="U59">
        <v>0</v>
      </c>
      <c r="V59">
        <v>0</v>
      </c>
      <c r="W59">
        <v>0</v>
      </c>
      <c r="X59">
        <v>0</v>
      </c>
      <c r="Y59">
        <v>10</v>
      </c>
      <c r="Z59">
        <v>9</v>
      </c>
      <c r="AA59">
        <v>10</v>
      </c>
      <c r="AB59">
        <v>9</v>
      </c>
      <c r="AC59">
        <v>10</v>
      </c>
      <c r="AD59">
        <v>9</v>
      </c>
      <c r="AE59">
        <v>0</v>
      </c>
      <c r="AF59">
        <v>0</v>
      </c>
      <c r="AG59">
        <v>0</v>
      </c>
      <c r="AH59">
        <v>57</v>
      </c>
      <c r="AI59">
        <v>57.449548329999999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10</v>
      </c>
      <c r="AR59">
        <v>10</v>
      </c>
      <c r="AS59">
        <v>10</v>
      </c>
      <c r="AT59">
        <v>10</v>
      </c>
      <c r="AU59">
        <v>10</v>
      </c>
      <c r="AV59">
        <v>11</v>
      </c>
      <c r="AW59">
        <v>0</v>
      </c>
      <c r="AX59">
        <v>0</v>
      </c>
      <c r="AY59">
        <v>61</v>
      </c>
      <c r="AZ59">
        <v>60.82893352</v>
      </c>
    </row>
    <row r="60" spans="1:52" x14ac:dyDescent="0.25">
      <c r="B60" t="s">
        <v>106</v>
      </c>
      <c r="C60">
        <v>0</v>
      </c>
      <c r="D60">
        <v>0</v>
      </c>
      <c r="E60">
        <v>0</v>
      </c>
      <c r="F60">
        <v>0</v>
      </c>
      <c r="G60">
        <v>0</v>
      </c>
      <c r="H60">
        <v>60</v>
      </c>
      <c r="I60">
        <v>60</v>
      </c>
      <c r="J60">
        <v>60</v>
      </c>
      <c r="K60">
        <v>60</v>
      </c>
      <c r="L60">
        <v>60</v>
      </c>
      <c r="M60">
        <v>61</v>
      </c>
      <c r="N60">
        <v>0</v>
      </c>
      <c r="O60">
        <v>0</v>
      </c>
      <c r="P60">
        <v>0</v>
      </c>
      <c r="Q60">
        <v>361</v>
      </c>
      <c r="R60">
        <v>360.84576759999999</v>
      </c>
      <c r="T60">
        <v>0</v>
      </c>
      <c r="U60">
        <v>0</v>
      </c>
      <c r="V60">
        <v>0</v>
      </c>
      <c r="W60">
        <v>0</v>
      </c>
      <c r="X60">
        <v>0</v>
      </c>
      <c r="Y60">
        <v>71</v>
      </c>
      <c r="Z60">
        <v>71</v>
      </c>
      <c r="AA60">
        <v>71</v>
      </c>
      <c r="AB60">
        <v>71</v>
      </c>
      <c r="AC60">
        <v>71</v>
      </c>
      <c r="AD60">
        <v>70</v>
      </c>
      <c r="AE60">
        <v>0</v>
      </c>
      <c r="AF60">
        <v>0</v>
      </c>
      <c r="AG60">
        <v>0</v>
      </c>
      <c r="AH60">
        <v>425</v>
      </c>
      <c r="AI60">
        <v>425.37014809999999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82</v>
      </c>
      <c r="AR60">
        <v>82</v>
      </c>
      <c r="AS60">
        <v>82</v>
      </c>
      <c r="AT60">
        <v>81</v>
      </c>
      <c r="AU60">
        <v>82</v>
      </c>
      <c r="AV60">
        <v>81</v>
      </c>
      <c r="AW60">
        <v>0</v>
      </c>
      <c r="AX60">
        <v>0</v>
      </c>
      <c r="AY60">
        <v>490</v>
      </c>
      <c r="AZ60">
        <v>489.8945286</v>
      </c>
    </row>
    <row r="61" spans="1:52" x14ac:dyDescent="0.25">
      <c r="P61">
        <v>-1672</v>
      </c>
      <c r="Q61" s="121">
        <v>1672</v>
      </c>
      <c r="R61">
        <v>1671.6465350000001</v>
      </c>
      <c r="AG61">
        <v>-1910</v>
      </c>
      <c r="AH61" s="121">
        <v>1910</v>
      </c>
      <c r="AI61">
        <v>1909.767386</v>
      </c>
      <c r="AY61" s="121">
        <v>2148</v>
      </c>
      <c r="AZ61">
        <v>2147.888238</v>
      </c>
    </row>
    <row r="62" spans="1:52" x14ac:dyDescent="0.25">
      <c r="A62" t="s">
        <v>114</v>
      </c>
    </row>
    <row r="63" spans="1:52" x14ac:dyDescent="0.25">
      <c r="B63" t="s">
        <v>11</v>
      </c>
      <c r="C63">
        <v>1</v>
      </c>
      <c r="D63">
        <v>2</v>
      </c>
      <c r="E63">
        <v>3</v>
      </c>
      <c r="F63">
        <v>4</v>
      </c>
      <c r="G63">
        <v>5</v>
      </c>
      <c r="I63">
        <v>7</v>
      </c>
      <c r="J63">
        <v>8</v>
      </c>
      <c r="K63">
        <v>9</v>
      </c>
      <c r="L63">
        <v>10</v>
      </c>
      <c r="M63">
        <v>11</v>
      </c>
      <c r="N63">
        <v>12</v>
      </c>
      <c r="O63">
        <v>13</v>
      </c>
      <c r="T63">
        <v>1</v>
      </c>
      <c r="U63">
        <v>2</v>
      </c>
      <c r="V63">
        <v>3</v>
      </c>
      <c r="W63">
        <v>4</v>
      </c>
      <c r="X63">
        <v>5</v>
      </c>
      <c r="Z63">
        <v>7</v>
      </c>
      <c r="AA63">
        <v>8</v>
      </c>
      <c r="AB63">
        <v>9</v>
      </c>
      <c r="AC63">
        <v>10</v>
      </c>
      <c r="AD63">
        <v>11</v>
      </c>
      <c r="AE63">
        <v>12</v>
      </c>
      <c r="AF63">
        <v>13</v>
      </c>
      <c r="AK63">
        <v>1</v>
      </c>
      <c r="AL63">
        <v>2</v>
      </c>
      <c r="AM63">
        <v>3</v>
      </c>
      <c r="AN63">
        <v>4</v>
      </c>
      <c r="AO63">
        <v>4</v>
      </c>
      <c r="AQ63">
        <v>7</v>
      </c>
      <c r="AR63">
        <v>8</v>
      </c>
      <c r="AS63">
        <v>9</v>
      </c>
      <c r="AT63">
        <v>10</v>
      </c>
      <c r="AU63">
        <v>11</v>
      </c>
      <c r="AV63">
        <v>12</v>
      </c>
      <c r="AW63">
        <v>13</v>
      </c>
    </row>
    <row r="64" spans="1:52" x14ac:dyDescent="0.25">
      <c r="A64" t="s">
        <v>5</v>
      </c>
      <c r="B64" t="s">
        <v>101</v>
      </c>
      <c r="C64">
        <v>2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8</v>
      </c>
      <c r="R64">
        <v>7.8056640640000001</v>
      </c>
      <c r="T64">
        <v>2</v>
      </c>
      <c r="U64">
        <v>2</v>
      </c>
      <c r="V64">
        <v>2</v>
      </c>
      <c r="W64">
        <v>2</v>
      </c>
      <c r="X64">
        <v>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10</v>
      </c>
      <c r="AI64">
        <v>10.28656193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3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13</v>
      </c>
      <c r="AZ64">
        <v>12.76745979</v>
      </c>
    </row>
    <row r="65" spans="1:52" x14ac:dyDescent="0.25">
      <c r="B65" t="s">
        <v>102</v>
      </c>
      <c r="C65">
        <v>26</v>
      </c>
      <c r="D65">
        <v>26</v>
      </c>
      <c r="E65">
        <v>26</v>
      </c>
      <c r="F65">
        <v>26</v>
      </c>
      <c r="G65">
        <v>28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132</v>
      </c>
      <c r="R65">
        <v>131.75372429999999</v>
      </c>
      <c r="T65">
        <v>31</v>
      </c>
      <c r="U65">
        <v>31</v>
      </c>
      <c r="V65">
        <v>31</v>
      </c>
      <c r="W65">
        <v>31</v>
      </c>
      <c r="X65">
        <v>30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154</v>
      </c>
      <c r="AI65">
        <v>154.4728728</v>
      </c>
      <c r="AK65">
        <v>30</v>
      </c>
      <c r="AL65">
        <v>30</v>
      </c>
      <c r="AM65">
        <v>30</v>
      </c>
      <c r="AN65">
        <v>30</v>
      </c>
      <c r="AO65">
        <v>30</v>
      </c>
      <c r="AP65">
        <v>27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177</v>
      </c>
      <c r="AZ65">
        <v>177.19202129999999</v>
      </c>
    </row>
    <row r="66" spans="1:52" x14ac:dyDescent="0.25">
      <c r="B66" t="s">
        <v>103</v>
      </c>
      <c r="C66">
        <v>15</v>
      </c>
      <c r="D66">
        <v>15</v>
      </c>
      <c r="E66">
        <v>15</v>
      </c>
      <c r="F66">
        <v>15</v>
      </c>
      <c r="G66">
        <v>17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77</v>
      </c>
      <c r="R66">
        <v>77.170128160000004</v>
      </c>
      <c r="T66">
        <v>17</v>
      </c>
      <c r="U66">
        <v>17</v>
      </c>
      <c r="V66">
        <v>17</v>
      </c>
      <c r="W66">
        <v>17</v>
      </c>
      <c r="X66">
        <v>16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84</v>
      </c>
      <c r="AI66">
        <v>83.643089599999996</v>
      </c>
      <c r="AK66">
        <v>15</v>
      </c>
      <c r="AL66">
        <v>15</v>
      </c>
      <c r="AM66">
        <v>15</v>
      </c>
      <c r="AN66">
        <v>15</v>
      </c>
      <c r="AO66">
        <v>15</v>
      </c>
      <c r="AP66">
        <v>15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90</v>
      </c>
      <c r="AZ66">
        <v>90.116051040000002</v>
      </c>
    </row>
    <row r="67" spans="1:52" x14ac:dyDescent="0.25">
      <c r="B67" t="s">
        <v>104</v>
      </c>
      <c r="C67">
        <v>0</v>
      </c>
      <c r="D67">
        <v>0</v>
      </c>
      <c r="E67">
        <v>0</v>
      </c>
      <c r="F67">
        <v>0</v>
      </c>
      <c r="G67">
        <v>0</v>
      </c>
      <c r="H67">
        <v>17</v>
      </c>
      <c r="I67">
        <v>16</v>
      </c>
      <c r="J67">
        <v>17</v>
      </c>
      <c r="K67">
        <v>16</v>
      </c>
      <c r="L67">
        <v>17</v>
      </c>
      <c r="M67">
        <v>16</v>
      </c>
      <c r="N67">
        <v>0</v>
      </c>
      <c r="O67">
        <v>0</v>
      </c>
      <c r="P67">
        <v>0</v>
      </c>
      <c r="Q67">
        <v>99</v>
      </c>
      <c r="R67">
        <v>99.310307750000007</v>
      </c>
      <c r="T67">
        <v>0</v>
      </c>
      <c r="U67">
        <v>0</v>
      </c>
      <c r="V67">
        <v>0</v>
      </c>
      <c r="W67">
        <v>0</v>
      </c>
      <c r="X67">
        <v>0</v>
      </c>
      <c r="Y67">
        <v>19</v>
      </c>
      <c r="Z67">
        <v>19</v>
      </c>
      <c r="AA67">
        <v>20</v>
      </c>
      <c r="AB67">
        <v>19</v>
      </c>
      <c r="AC67">
        <v>19</v>
      </c>
      <c r="AD67">
        <v>20</v>
      </c>
      <c r="AE67">
        <v>0</v>
      </c>
      <c r="AF67">
        <v>0</v>
      </c>
      <c r="AG67">
        <v>0</v>
      </c>
      <c r="AH67">
        <v>116</v>
      </c>
      <c r="AI67">
        <v>115.8620257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22</v>
      </c>
      <c r="AR67">
        <v>22</v>
      </c>
      <c r="AS67">
        <v>22</v>
      </c>
      <c r="AT67">
        <v>22</v>
      </c>
      <c r="AU67">
        <v>22</v>
      </c>
      <c r="AV67">
        <v>22</v>
      </c>
      <c r="AW67">
        <v>0</v>
      </c>
      <c r="AX67">
        <v>0</v>
      </c>
      <c r="AY67">
        <v>132</v>
      </c>
      <c r="AZ67">
        <v>132.4137437</v>
      </c>
    </row>
    <row r="68" spans="1:52" x14ac:dyDescent="0.25">
      <c r="B68" t="s">
        <v>105</v>
      </c>
      <c r="C68">
        <v>0</v>
      </c>
      <c r="D68">
        <v>0</v>
      </c>
      <c r="E68">
        <v>0</v>
      </c>
      <c r="F68">
        <v>0</v>
      </c>
      <c r="G68">
        <v>0</v>
      </c>
      <c r="H68">
        <v>5</v>
      </c>
      <c r="I68">
        <v>5</v>
      </c>
      <c r="J68">
        <v>6</v>
      </c>
      <c r="K68">
        <v>5</v>
      </c>
      <c r="L68">
        <v>5</v>
      </c>
      <c r="M68">
        <v>6</v>
      </c>
      <c r="N68">
        <v>0</v>
      </c>
      <c r="O68">
        <v>0</v>
      </c>
      <c r="P68">
        <v>0</v>
      </c>
      <c r="Q68">
        <v>32</v>
      </c>
      <c r="R68">
        <v>31.755492629999999</v>
      </c>
      <c r="T68">
        <v>0</v>
      </c>
      <c r="U68">
        <v>0</v>
      </c>
      <c r="V68">
        <v>0</v>
      </c>
      <c r="W68">
        <v>0</v>
      </c>
      <c r="X68">
        <v>0</v>
      </c>
      <c r="Y68">
        <v>6</v>
      </c>
      <c r="Z68">
        <v>6</v>
      </c>
      <c r="AA68">
        <v>5</v>
      </c>
      <c r="AB68">
        <v>6</v>
      </c>
      <c r="AC68">
        <v>6</v>
      </c>
      <c r="AD68">
        <v>5</v>
      </c>
      <c r="AE68">
        <v>0</v>
      </c>
      <c r="AF68">
        <v>0</v>
      </c>
      <c r="AG68">
        <v>0</v>
      </c>
      <c r="AH68">
        <v>34</v>
      </c>
      <c r="AI68">
        <v>33.740210920000003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0</v>
      </c>
      <c r="AX68">
        <v>0</v>
      </c>
      <c r="AY68">
        <v>36</v>
      </c>
      <c r="AZ68">
        <v>35.724929209999999</v>
      </c>
    </row>
    <row r="69" spans="1:52" x14ac:dyDescent="0.25">
      <c r="B69" t="s">
        <v>106</v>
      </c>
      <c r="C69">
        <v>0</v>
      </c>
      <c r="D69">
        <v>0</v>
      </c>
      <c r="E69">
        <v>0</v>
      </c>
      <c r="F69">
        <v>0</v>
      </c>
      <c r="G69">
        <v>0</v>
      </c>
      <c r="H69">
        <v>35</v>
      </c>
      <c r="I69">
        <v>35</v>
      </c>
      <c r="J69">
        <v>36</v>
      </c>
      <c r="K69">
        <v>35</v>
      </c>
      <c r="L69">
        <v>35</v>
      </c>
      <c r="M69">
        <v>36</v>
      </c>
      <c r="N69">
        <v>0</v>
      </c>
      <c r="O69">
        <v>0</v>
      </c>
      <c r="P69">
        <v>0</v>
      </c>
      <c r="Q69">
        <v>212</v>
      </c>
      <c r="R69">
        <v>211.92529210000001</v>
      </c>
      <c r="T69">
        <v>0</v>
      </c>
      <c r="U69">
        <v>0</v>
      </c>
      <c r="V69">
        <v>0</v>
      </c>
      <c r="W69">
        <v>0</v>
      </c>
      <c r="X69">
        <v>0</v>
      </c>
      <c r="Y69">
        <v>42</v>
      </c>
      <c r="Z69">
        <v>42</v>
      </c>
      <c r="AA69">
        <v>41</v>
      </c>
      <c r="AB69">
        <v>42</v>
      </c>
      <c r="AC69">
        <v>42</v>
      </c>
      <c r="AD69">
        <v>41</v>
      </c>
      <c r="AE69">
        <v>0</v>
      </c>
      <c r="AF69">
        <v>0</v>
      </c>
      <c r="AG69">
        <v>0</v>
      </c>
      <c r="AH69">
        <v>250</v>
      </c>
      <c r="AI69">
        <v>249.82056320000001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48</v>
      </c>
      <c r="AR69">
        <v>48</v>
      </c>
      <c r="AS69">
        <v>48</v>
      </c>
      <c r="AT69">
        <v>48</v>
      </c>
      <c r="AU69">
        <v>48</v>
      </c>
      <c r="AV69">
        <v>48</v>
      </c>
      <c r="AW69">
        <v>0</v>
      </c>
      <c r="AX69">
        <v>0</v>
      </c>
      <c r="AY69">
        <v>288</v>
      </c>
      <c r="AZ69">
        <v>287.71583429999998</v>
      </c>
    </row>
    <row r="70" spans="1:52" x14ac:dyDescent="0.25">
      <c r="A70" t="s">
        <v>6</v>
      </c>
      <c r="B70" t="s">
        <v>101</v>
      </c>
      <c r="C70">
        <v>6</v>
      </c>
      <c r="D70">
        <v>6</v>
      </c>
      <c r="E70">
        <v>6</v>
      </c>
      <c r="F70">
        <v>6</v>
      </c>
      <c r="G70">
        <v>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31</v>
      </c>
      <c r="R70">
        <v>30.759903860000001</v>
      </c>
      <c r="T70">
        <v>7</v>
      </c>
      <c r="U70">
        <v>7</v>
      </c>
      <c r="V70">
        <v>7</v>
      </c>
      <c r="W70">
        <v>7</v>
      </c>
      <c r="X70">
        <v>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35</v>
      </c>
      <c r="AI70">
        <v>34.984135360000003</v>
      </c>
      <c r="AK70">
        <v>7</v>
      </c>
      <c r="AL70">
        <v>7</v>
      </c>
      <c r="AM70">
        <v>7</v>
      </c>
      <c r="AN70">
        <v>7</v>
      </c>
      <c r="AO70">
        <v>7</v>
      </c>
      <c r="AP70">
        <v>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39</v>
      </c>
      <c r="AZ70">
        <v>39.208366849999997</v>
      </c>
    </row>
    <row r="71" spans="1:52" x14ac:dyDescent="0.25">
      <c r="B71" t="s">
        <v>102</v>
      </c>
      <c r="C71">
        <v>70</v>
      </c>
      <c r="D71">
        <v>70</v>
      </c>
      <c r="E71">
        <v>70</v>
      </c>
      <c r="F71">
        <v>70</v>
      </c>
      <c r="G71">
        <v>71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351</v>
      </c>
      <c r="R71">
        <v>351.29550610000001</v>
      </c>
      <c r="T71">
        <v>78</v>
      </c>
      <c r="U71">
        <v>78</v>
      </c>
      <c r="V71">
        <v>78</v>
      </c>
      <c r="W71">
        <v>78</v>
      </c>
      <c r="X71">
        <v>78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390</v>
      </c>
      <c r="AI71">
        <v>389.9794617</v>
      </c>
      <c r="AK71">
        <v>72</v>
      </c>
      <c r="AL71">
        <v>72</v>
      </c>
      <c r="AM71">
        <v>72</v>
      </c>
      <c r="AN71">
        <v>72</v>
      </c>
      <c r="AO71">
        <v>71</v>
      </c>
      <c r="AP71">
        <v>70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429</v>
      </c>
      <c r="AZ71">
        <v>428.66341740000001</v>
      </c>
    </row>
    <row r="72" spans="1:52" x14ac:dyDescent="0.25">
      <c r="B72" t="s">
        <v>103</v>
      </c>
      <c r="C72">
        <v>29</v>
      </c>
      <c r="D72">
        <v>29</v>
      </c>
      <c r="E72">
        <v>29</v>
      </c>
      <c r="F72">
        <v>29</v>
      </c>
      <c r="G72">
        <v>30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146</v>
      </c>
      <c r="R72">
        <v>145.8586555</v>
      </c>
      <c r="T72">
        <v>31</v>
      </c>
      <c r="U72">
        <v>31</v>
      </c>
      <c r="V72">
        <v>31</v>
      </c>
      <c r="W72">
        <v>31</v>
      </c>
      <c r="X72">
        <v>33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157</v>
      </c>
      <c r="AI72">
        <v>156.88018439999999</v>
      </c>
      <c r="AK72">
        <v>28</v>
      </c>
      <c r="AL72">
        <v>28</v>
      </c>
      <c r="AM72">
        <v>28</v>
      </c>
      <c r="AN72">
        <v>28</v>
      </c>
      <c r="AO72">
        <v>28</v>
      </c>
      <c r="AP72">
        <v>28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168</v>
      </c>
      <c r="AZ72">
        <v>167.90171330000001</v>
      </c>
    </row>
    <row r="73" spans="1:52" x14ac:dyDescent="0.25">
      <c r="B73" t="s">
        <v>104</v>
      </c>
      <c r="C73">
        <v>0</v>
      </c>
      <c r="D73">
        <v>0</v>
      </c>
      <c r="E73">
        <v>0</v>
      </c>
      <c r="F73">
        <v>0</v>
      </c>
      <c r="G73">
        <v>0</v>
      </c>
      <c r="H73">
        <v>28</v>
      </c>
      <c r="I73">
        <v>28</v>
      </c>
      <c r="J73">
        <v>28</v>
      </c>
      <c r="K73">
        <v>28</v>
      </c>
      <c r="L73">
        <v>28</v>
      </c>
      <c r="M73">
        <v>29</v>
      </c>
      <c r="N73">
        <v>0</v>
      </c>
      <c r="O73">
        <v>0</v>
      </c>
      <c r="P73">
        <v>0</v>
      </c>
      <c r="Q73">
        <v>169</v>
      </c>
      <c r="R73">
        <v>169.09592939999999</v>
      </c>
      <c r="T73">
        <v>0</v>
      </c>
      <c r="U73">
        <v>0</v>
      </c>
      <c r="V73">
        <v>0</v>
      </c>
      <c r="W73">
        <v>0</v>
      </c>
      <c r="X73">
        <v>0</v>
      </c>
      <c r="Y73">
        <v>33</v>
      </c>
      <c r="Z73">
        <v>33</v>
      </c>
      <c r="AA73">
        <v>33</v>
      </c>
      <c r="AB73">
        <v>32</v>
      </c>
      <c r="AC73">
        <v>33</v>
      </c>
      <c r="AD73">
        <v>33</v>
      </c>
      <c r="AE73">
        <v>0</v>
      </c>
      <c r="AF73">
        <v>0</v>
      </c>
      <c r="AG73">
        <v>0</v>
      </c>
      <c r="AH73">
        <v>197</v>
      </c>
      <c r="AI73">
        <v>197.27858430000001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38</v>
      </c>
      <c r="AR73">
        <v>37</v>
      </c>
      <c r="AS73">
        <v>38</v>
      </c>
      <c r="AT73">
        <v>37</v>
      </c>
      <c r="AU73">
        <v>38</v>
      </c>
      <c r="AV73">
        <v>37</v>
      </c>
      <c r="AW73">
        <v>0</v>
      </c>
      <c r="AX73">
        <v>0</v>
      </c>
      <c r="AY73">
        <v>225</v>
      </c>
      <c r="AZ73">
        <v>225.46123919999999</v>
      </c>
    </row>
    <row r="74" spans="1:52" x14ac:dyDescent="0.25">
      <c r="B74" t="s">
        <v>105</v>
      </c>
      <c r="C74">
        <v>0</v>
      </c>
      <c r="D74">
        <v>0</v>
      </c>
      <c r="E74">
        <v>0</v>
      </c>
      <c r="F74">
        <v>0</v>
      </c>
      <c r="G74">
        <v>0</v>
      </c>
      <c r="H74">
        <v>9</v>
      </c>
      <c r="I74">
        <v>9</v>
      </c>
      <c r="J74">
        <v>9</v>
      </c>
      <c r="K74">
        <v>9</v>
      </c>
      <c r="L74">
        <v>9</v>
      </c>
      <c r="M74">
        <v>9</v>
      </c>
      <c r="N74">
        <v>0</v>
      </c>
      <c r="O74">
        <v>0</v>
      </c>
      <c r="P74">
        <v>0</v>
      </c>
      <c r="Q74">
        <v>54</v>
      </c>
      <c r="R74">
        <v>54.070163129999997</v>
      </c>
      <c r="T74">
        <v>0</v>
      </c>
      <c r="U74">
        <v>0</v>
      </c>
      <c r="V74">
        <v>0</v>
      </c>
      <c r="W74">
        <v>0</v>
      </c>
      <c r="X74">
        <v>0</v>
      </c>
      <c r="Y74">
        <v>10</v>
      </c>
      <c r="Z74">
        <v>9</v>
      </c>
      <c r="AA74">
        <v>10</v>
      </c>
      <c r="AB74">
        <v>9</v>
      </c>
      <c r="AC74">
        <v>10</v>
      </c>
      <c r="AD74">
        <v>9</v>
      </c>
      <c r="AE74">
        <v>0</v>
      </c>
      <c r="AF74">
        <v>0</v>
      </c>
      <c r="AG74">
        <v>0</v>
      </c>
      <c r="AH74">
        <v>57</v>
      </c>
      <c r="AI74">
        <v>57.449548329999999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11</v>
      </c>
      <c r="AW74">
        <v>0</v>
      </c>
      <c r="AX74">
        <v>0</v>
      </c>
      <c r="AY74">
        <v>61</v>
      </c>
      <c r="AZ74">
        <v>60.82893352</v>
      </c>
    </row>
    <row r="75" spans="1:52" x14ac:dyDescent="0.25">
      <c r="B75" t="s">
        <v>106</v>
      </c>
      <c r="C75">
        <v>0</v>
      </c>
      <c r="D75">
        <v>0</v>
      </c>
      <c r="E75">
        <v>0</v>
      </c>
      <c r="F75">
        <v>0</v>
      </c>
      <c r="G75">
        <v>0</v>
      </c>
      <c r="H75">
        <v>60</v>
      </c>
      <c r="I75">
        <v>60</v>
      </c>
      <c r="J75">
        <v>60</v>
      </c>
      <c r="K75">
        <v>60</v>
      </c>
      <c r="L75">
        <v>60</v>
      </c>
      <c r="M75">
        <v>61</v>
      </c>
      <c r="N75">
        <v>0</v>
      </c>
      <c r="O75">
        <v>0</v>
      </c>
      <c r="P75">
        <v>0</v>
      </c>
      <c r="Q75">
        <v>361</v>
      </c>
      <c r="R75">
        <v>360.84576759999999</v>
      </c>
      <c r="T75">
        <v>0</v>
      </c>
      <c r="U75">
        <v>0</v>
      </c>
      <c r="V75">
        <v>0</v>
      </c>
      <c r="W75">
        <v>0</v>
      </c>
      <c r="X75">
        <v>0</v>
      </c>
      <c r="Y75">
        <v>71</v>
      </c>
      <c r="Z75">
        <v>71</v>
      </c>
      <c r="AA75">
        <v>71</v>
      </c>
      <c r="AB75">
        <v>71</v>
      </c>
      <c r="AC75">
        <v>71</v>
      </c>
      <c r="AD75">
        <v>79</v>
      </c>
      <c r="AE75">
        <v>0</v>
      </c>
      <c r="AF75">
        <v>0</v>
      </c>
      <c r="AG75">
        <v>9</v>
      </c>
      <c r="AH75">
        <v>425</v>
      </c>
      <c r="AI75">
        <v>425.37014809999999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82</v>
      </c>
      <c r="AR75">
        <v>82</v>
      </c>
      <c r="AS75">
        <v>81</v>
      </c>
      <c r="AT75">
        <v>82</v>
      </c>
      <c r="AU75">
        <v>82</v>
      </c>
      <c r="AV75">
        <v>81</v>
      </c>
      <c r="AW75">
        <v>0</v>
      </c>
      <c r="AX75">
        <v>0</v>
      </c>
      <c r="AY75">
        <v>490</v>
      </c>
      <c r="AZ75">
        <v>489.8945286</v>
      </c>
    </row>
    <row r="76" spans="1:52" x14ac:dyDescent="0.25">
      <c r="P76">
        <v>-1672</v>
      </c>
      <c r="Q76" s="121">
        <v>1672</v>
      </c>
      <c r="R76">
        <v>1671.6465350000001</v>
      </c>
      <c r="AG76">
        <v>-1910</v>
      </c>
      <c r="AH76" s="121">
        <v>1910</v>
      </c>
      <c r="AI76">
        <v>1909.767386</v>
      </c>
      <c r="AX76">
        <v>-2148</v>
      </c>
      <c r="AY76" s="121">
        <v>2148</v>
      </c>
      <c r="AZ76">
        <v>2147.888238</v>
      </c>
    </row>
    <row r="77" spans="1:52" x14ac:dyDescent="0.25">
      <c r="A77" t="s">
        <v>115</v>
      </c>
    </row>
    <row r="78" spans="1:52" x14ac:dyDescent="0.25">
      <c r="B78" t="s">
        <v>11</v>
      </c>
      <c r="C78">
        <v>1</v>
      </c>
      <c r="D78">
        <v>2</v>
      </c>
      <c r="E78">
        <v>3</v>
      </c>
      <c r="F78">
        <v>4</v>
      </c>
      <c r="G78">
        <v>5</v>
      </c>
      <c r="H78">
        <v>6</v>
      </c>
      <c r="I78">
        <v>7</v>
      </c>
      <c r="J78">
        <v>8</v>
      </c>
      <c r="K78">
        <v>9</v>
      </c>
      <c r="L78">
        <v>10</v>
      </c>
      <c r="M78">
        <v>11</v>
      </c>
      <c r="N78">
        <v>12</v>
      </c>
      <c r="O78">
        <v>13</v>
      </c>
      <c r="T78">
        <v>1</v>
      </c>
      <c r="U78">
        <v>2</v>
      </c>
      <c r="V78">
        <v>3</v>
      </c>
      <c r="W78">
        <v>4</v>
      </c>
      <c r="X78">
        <v>5</v>
      </c>
      <c r="Y78">
        <v>6</v>
      </c>
      <c r="Z78">
        <v>7</v>
      </c>
      <c r="AA78">
        <v>8</v>
      </c>
      <c r="AB78">
        <v>9</v>
      </c>
      <c r="AC78">
        <v>10</v>
      </c>
      <c r="AD78">
        <v>11</v>
      </c>
      <c r="AE78">
        <v>12</v>
      </c>
      <c r="AF78">
        <v>13</v>
      </c>
      <c r="AK78">
        <v>1</v>
      </c>
      <c r="AL78">
        <v>2</v>
      </c>
      <c r="AM78">
        <v>3</v>
      </c>
      <c r="AN78">
        <v>4</v>
      </c>
      <c r="AO78">
        <v>5</v>
      </c>
      <c r="AP78">
        <v>6</v>
      </c>
      <c r="AQ78">
        <v>7</v>
      </c>
      <c r="AR78">
        <v>8</v>
      </c>
      <c r="AS78">
        <v>9</v>
      </c>
      <c r="AT78">
        <v>10</v>
      </c>
      <c r="AU78">
        <v>11</v>
      </c>
      <c r="AV78">
        <v>12</v>
      </c>
      <c r="AW78">
        <v>13</v>
      </c>
    </row>
    <row r="79" spans="1:52" x14ac:dyDescent="0.25">
      <c r="A79" t="s">
        <v>5</v>
      </c>
      <c r="B79" t="s">
        <v>101</v>
      </c>
      <c r="C79">
        <v>8</v>
      </c>
      <c r="D79">
        <v>0</v>
      </c>
      <c r="E79">
        <v>0</v>
      </c>
      <c r="F79">
        <v>0</v>
      </c>
      <c r="G79">
        <v>0</v>
      </c>
      <c r="P79">
        <v>0</v>
      </c>
      <c r="Q79">
        <v>8</v>
      </c>
      <c r="R79">
        <v>7.8056640640000001</v>
      </c>
      <c r="T79">
        <v>8</v>
      </c>
      <c r="U79">
        <v>2</v>
      </c>
      <c r="V79">
        <v>0</v>
      </c>
      <c r="W79">
        <v>0</v>
      </c>
      <c r="X79">
        <v>0</v>
      </c>
      <c r="Y79">
        <v>0</v>
      </c>
      <c r="AG79">
        <v>0</v>
      </c>
      <c r="AH79">
        <v>10</v>
      </c>
      <c r="AI79">
        <v>10.28656193</v>
      </c>
      <c r="AK79">
        <v>9</v>
      </c>
      <c r="AL79">
        <v>4</v>
      </c>
      <c r="AM79">
        <v>0</v>
      </c>
      <c r="AN79">
        <v>0</v>
      </c>
      <c r="AO79">
        <v>0</v>
      </c>
      <c r="AP79">
        <v>0</v>
      </c>
      <c r="AX79">
        <v>0</v>
      </c>
      <c r="AY79">
        <v>13</v>
      </c>
      <c r="AZ79">
        <v>12.76745979</v>
      </c>
    </row>
    <row r="80" spans="1:52" x14ac:dyDescent="0.25">
      <c r="B80" t="s">
        <v>102</v>
      </c>
      <c r="C80">
        <v>62</v>
      </c>
      <c r="D80">
        <v>66</v>
      </c>
      <c r="E80">
        <v>4</v>
      </c>
      <c r="F80">
        <v>0</v>
      </c>
      <c r="G80">
        <v>0</v>
      </c>
      <c r="P80">
        <v>0</v>
      </c>
      <c r="Q80">
        <v>132</v>
      </c>
      <c r="R80">
        <v>131.75372429999999</v>
      </c>
      <c r="T80">
        <v>62</v>
      </c>
      <c r="U80">
        <v>62</v>
      </c>
      <c r="V80">
        <v>30</v>
      </c>
      <c r="W80">
        <v>0</v>
      </c>
      <c r="X80">
        <v>0</v>
      </c>
      <c r="Y80">
        <v>0</v>
      </c>
      <c r="AG80">
        <v>0</v>
      </c>
      <c r="AH80">
        <v>154</v>
      </c>
      <c r="AI80">
        <v>154.4728728</v>
      </c>
      <c r="AK80">
        <v>62</v>
      </c>
      <c r="AL80">
        <v>62</v>
      </c>
      <c r="AM80">
        <v>53</v>
      </c>
      <c r="AN80">
        <v>0</v>
      </c>
      <c r="AO80">
        <v>0</v>
      </c>
      <c r="AP80">
        <v>0</v>
      </c>
      <c r="AX80">
        <v>0</v>
      </c>
      <c r="AY80">
        <v>177</v>
      </c>
      <c r="AZ80">
        <v>177.19202129999999</v>
      </c>
    </row>
    <row r="81" spans="1:52" x14ac:dyDescent="0.25">
      <c r="B81" t="s">
        <v>103</v>
      </c>
      <c r="C81">
        <v>7</v>
      </c>
      <c r="D81">
        <v>7</v>
      </c>
      <c r="E81">
        <v>7</v>
      </c>
      <c r="F81">
        <v>17</v>
      </c>
      <c r="G81">
        <v>39</v>
      </c>
      <c r="P81">
        <v>0</v>
      </c>
      <c r="Q81">
        <v>77</v>
      </c>
      <c r="R81">
        <v>77.170128160000004</v>
      </c>
      <c r="T81">
        <v>7</v>
      </c>
      <c r="U81">
        <v>8</v>
      </c>
      <c r="V81">
        <v>7</v>
      </c>
      <c r="W81">
        <v>15</v>
      </c>
      <c r="X81">
        <v>15</v>
      </c>
      <c r="Y81">
        <v>32</v>
      </c>
      <c r="AG81">
        <v>0</v>
      </c>
      <c r="AH81">
        <v>84</v>
      </c>
      <c r="AI81">
        <v>83.643089599999996</v>
      </c>
      <c r="AK81">
        <v>7</v>
      </c>
      <c r="AL81">
        <v>7</v>
      </c>
      <c r="AM81">
        <v>7</v>
      </c>
      <c r="AN81">
        <v>14</v>
      </c>
      <c r="AO81">
        <v>14</v>
      </c>
      <c r="AP81">
        <v>41</v>
      </c>
      <c r="AX81">
        <v>0</v>
      </c>
      <c r="AY81">
        <v>90</v>
      </c>
      <c r="AZ81">
        <v>90.116051040000002</v>
      </c>
    </row>
    <row r="82" spans="1:52" x14ac:dyDescent="0.25">
      <c r="B82" t="s">
        <v>104</v>
      </c>
      <c r="P82">
        <v>0</v>
      </c>
      <c r="Q82">
        <v>0</v>
      </c>
      <c r="R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G82">
        <v>0</v>
      </c>
      <c r="AH82">
        <v>0</v>
      </c>
      <c r="AI82">
        <v>0</v>
      </c>
      <c r="AX82">
        <v>0</v>
      </c>
      <c r="AY82">
        <v>0</v>
      </c>
      <c r="AZ82">
        <v>0</v>
      </c>
    </row>
    <row r="83" spans="1:52" x14ac:dyDescent="0.25">
      <c r="B83" t="s">
        <v>105</v>
      </c>
      <c r="P83">
        <v>0</v>
      </c>
      <c r="Q83">
        <v>0</v>
      </c>
      <c r="R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G83">
        <v>0</v>
      </c>
      <c r="AH83">
        <v>0</v>
      </c>
      <c r="AI83">
        <v>0</v>
      </c>
      <c r="AX83">
        <v>0</v>
      </c>
      <c r="AY83">
        <v>0</v>
      </c>
      <c r="AZ83">
        <v>0</v>
      </c>
    </row>
    <row r="84" spans="1:52" x14ac:dyDescent="0.25">
      <c r="B84" t="s">
        <v>106</v>
      </c>
      <c r="P84">
        <v>0</v>
      </c>
      <c r="Q84">
        <v>0</v>
      </c>
      <c r="R84">
        <v>0</v>
      </c>
      <c r="T84">
        <v>0</v>
      </c>
      <c r="U84">
        <v>0</v>
      </c>
      <c r="V84">
        <v>0</v>
      </c>
      <c r="W84">
        <v>0</v>
      </c>
      <c r="Y84">
        <v>0</v>
      </c>
      <c r="AG84">
        <v>0</v>
      </c>
      <c r="AH84">
        <v>0</v>
      </c>
      <c r="AI84">
        <v>0</v>
      </c>
      <c r="AX84">
        <v>0</v>
      </c>
      <c r="AY84">
        <v>0</v>
      </c>
      <c r="AZ84">
        <v>0</v>
      </c>
    </row>
    <row r="85" spans="1:52" x14ac:dyDescent="0.25">
      <c r="A85" t="s">
        <v>6</v>
      </c>
      <c r="B85" t="s">
        <v>101</v>
      </c>
      <c r="C85">
        <v>10</v>
      </c>
      <c r="D85">
        <v>10</v>
      </c>
      <c r="E85">
        <v>10</v>
      </c>
      <c r="F85">
        <v>1</v>
      </c>
      <c r="G85">
        <v>0</v>
      </c>
      <c r="P85">
        <v>0</v>
      </c>
      <c r="Q85">
        <v>31</v>
      </c>
      <c r="R85">
        <v>30.759903860000001</v>
      </c>
      <c r="T85">
        <v>10</v>
      </c>
      <c r="U85">
        <v>10</v>
      </c>
      <c r="V85">
        <v>10</v>
      </c>
      <c r="W85">
        <v>5</v>
      </c>
      <c r="X85">
        <v>0</v>
      </c>
      <c r="Y85">
        <v>0</v>
      </c>
      <c r="AG85">
        <v>0</v>
      </c>
      <c r="AH85">
        <v>35</v>
      </c>
      <c r="AI85">
        <v>34.984135360000003</v>
      </c>
      <c r="AK85">
        <v>10</v>
      </c>
      <c r="AL85">
        <v>10</v>
      </c>
      <c r="AM85">
        <v>10</v>
      </c>
      <c r="AN85">
        <v>9</v>
      </c>
      <c r="AO85">
        <v>0</v>
      </c>
      <c r="AP85">
        <v>0</v>
      </c>
      <c r="AX85">
        <v>0</v>
      </c>
      <c r="AY85">
        <v>39</v>
      </c>
      <c r="AZ85">
        <v>39.208366849999997</v>
      </c>
    </row>
    <row r="86" spans="1:52" x14ac:dyDescent="0.25">
      <c r="B86" t="s">
        <v>102</v>
      </c>
      <c r="C86">
        <v>72</v>
      </c>
      <c r="D86">
        <v>75</v>
      </c>
      <c r="E86">
        <v>76</v>
      </c>
      <c r="F86">
        <v>128</v>
      </c>
      <c r="G86">
        <v>0</v>
      </c>
      <c r="P86">
        <v>0</v>
      </c>
      <c r="Q86">
        <v>351</v>
      </c>
      <c r="R86">
        <v>351.29550610000001</v>
      </c>
      <c r="T86">
        <v>72</v>
      </c>
      <c r="U86">
        <v>72</v>
      </c>
      <c r="V86">
        <v>78</v>
      </c>
      <c r="W86">
        <v>152</v>
      </c>
      <c r="X86">
        <v>16</v>
      </c>
      <c r="Y86">
        <v>0</v>
      </c>
      <c r="AG86">
        <v>0</v>
      </c>
      <c r="AH86">
        <v>390</v>
      </c>
      <c r="AI86">
        <v>389.9794617</v>
      </c>
      <c r="AK86">
        <v>72</v>
      </c>
      <c r="AL86">
        <v>72</v>
      </c>
      <c r="AM86">
        <v>77</v>
      </c>
      <c r="AN86">
        <v>134</v>
      </c>
      <c r="AO86">
        <v>74</v>
      </c>
      <c r="AP86">
        <v>0</v>
      </c>
      <c r="AX86">
        <v>0</v>
      </c>
      <c r="AY86">
        <v>429</v>
      </c>
      <c r="AZ86">
        <v>428.66341740000001</v>
      </c>
    </row>
    <row r="87" spans="1:52" x14ac:dyDescent="0.25">
      <c r="B87" t="s">
        <v>103</v>
      </c>
      <c r="C87">
        <v>8</v>
      </c>
      <c r="D87">
        <v>9</v>
      </c>
      <c r="E87">
        <v>9</v>
      </c>
      <c r="F87">
        <v>19</v>
      </c>
      <c r="G87">
        <v>101</v>
      </c>
      <c r="P87">
        <v>0</v>
      </c>
      <c r="Q87">
        <v>146</v>
      </c>
      <c r="R87">
        <v>145.8586555</v>
      </c>
      <c r="T87">
        <v>8</v>
      </c>
      <c r="U87">
        <v>8</v>
      </c>
      <c r="V87">
        <v>9</v>
      </c>
      <c r="W87">
        <v>17</v>
      </c>
      <c r="X87">
        <v>18</v>
      </c>
      <c r="Y87">
        <v>97</v>
      </c>
      <c r="AG87">
        <v>0</v>
      </c>
      <c r="AH87">
        <v>157</v>
      </c>
      <c r="AI87">
        <v>156.88018439999999</v>
      </c>
      <c r="AK87">
        <v>8</v>
      </c>
      <c r="AL87">
        <v>8</v>
      </c>
      <c r="AM87">
        <v>9</v>
      </c>
      <c r="AN87">
        <v>15</v>
      </c>
      <c r="AO87">
        <v>17</v>
      </c>
      <c r="AP87">
        <v>111</v>
      </c>
      <c r="AX87">
        <v>0</v>
      </c>
      <c r="AY87">
        <v>168</v>
      </c>
      <c r="AZ87">
        <v>167.90171330000001</v>
      </c>
    </row>
    <row r="88" spans="1:52" x14ac:dyDescent="0.25">
      <c r="B88" t="s">
        <v>104</v>
      </c>
      <c r="C88">
        <v>0</v>
      </c>
      <c r="D88">
        <v>0</v>
      </c>
      <c r="E88">
        <v>0</v>
      </c>
      <c r="F88">
        <v>0</v>
      </c>
      <c r="G88">
        <v>0</v>
      </c>
      <c r="P88">
        <v>0</v>
      </c>
      <c r="Q88">
        <v>0</v>
      </c>
      <c r="R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G88">
        <v>0</v>
      </c>
      <c r="AH88">
        <v>0</v>
      </c>
      <c r="AI88">
        <v>0</v>
      </c>
      <c r="AX88">
        <v>0</v>
      </c>
      <c r="AY88">
        <v>0</v>
      </c>
      <c r="AZ88">
        <v>0</v>
      </c>
    </row>
    <row r="89" spans="1:52" x14ac:dyDescent="0.25">
      <c r="B89" t="s">
        <v>105</v>
      </c>
      <c r="C89">
        <v>0</v>
      </c>
      <c r="D89">
        <v>0</v>
      </c>
      <c r="E89">
        <v>0</v>
      </c>
      <c r="F89">
        <v>0</v>
      </c>
      <c r="G89">
        <v>0</v>
      </c>
      <c r="P89">
        <v>0</v>
      </c>
      <c r="Q89">
        <v>0</v>
      </c>
      <c r="R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G89">
        <v>0</v>
      </c>
      <c r="AH89">
        <v>0</v>
      </c>
      <c r="AI89">
        <v>0</v>
      </c>
      <c r="AX89">
        <v>0</v>
      </c>
      <c r="AY89">
        <v>0</v>
      </c>
      <c r="AZ89">
        <v>0</v>
      </c>
    </row>
    <row r="90" spans="1:52" x14ac:dyDescent="0.25">
      <c r="B90" t="s">
        <v>106</v>
      </c>
      <c r="C90">
        <v>0</v>
      </c>
      <c r="D90">
        <v>0</v>
      </c>
      <c r="E90">
        <v>0</v>
      </c>
      <c r="F90">
        <v>0</v>
      </c>
      <c r="G90">
        <v>0</v>
      </c>
      <c r="P90">
        <v>0</v>
      </c>
      <c r="Q90">
        <v>0</v>
      </c>
      <c r="R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G90">
        <v>0</v>
      </c>
      <c r="AH90">
        <v>0</v>
      </c>
      <c r="AI90">
        <v>0</v>
      </c>
      <c r="AX90">
        <v>0</v>
      </c>
      <c r="AY90">
        <v>0</v>
      </c>
      <c r="AZ90">
        <v>0</v>
      </c>
    </row>
    <row r="91" spans="1:52" x14ac:dyDescent="0.25">
      <c r="P91">
        <v>-745</v>
      </c>
      <c r="Q91">
        <v>745</v>
      </c>
      <c r="R91">
        <v>744.64358200000004</v>
      </c>
      <c r="AG91">
        <v>-830</v>
      </c>
      <c r="AH91">
        <v>830</v>
      </c>
      <c r="AI91">
        <v>830.24630579999996</v>
      </c>
      <c r="AX91">
        <v>-916</v>
      </c>
      <c r="AY91">
        <v>916</v>
      </c>
      <c r="AZ91">
        <v>915.84902969999996</v>
      </c>
    </row>
    <row r="92" spans="1:52" x14ac:dyDescent="0.25">
      <c r="R92">
        <v>0</v>
      </c>
      <c r="AH92">
        <v>0</v>
      </c>
      <c r="AY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29DF-2D7D-45CC-9267-DE1B30AB48E8}">
  <dimension ref="B1:Q33"/>
  <sheetViews>
    <sheetView workbookViewId="0">
      <selection activeCell="J10" sqref="J10"/>
    </sheetView>
  </sheetViews>
  <sheetFormatPr defaultRowHeight="15" x14ac:dyDescent="0.25"/>
  <cols>
    <col min="4" max="4" width="14.5703125" bestFit="1" customWidth="1"/>
    <col min="9" max="9" width="20" bestFit="1" customWidth="1"/>
    <col min="10" max="10" width="12.5703125" bestFit="1" customWidth="1"/>
    <col min="15" max="15" width="21.85546875" bestFit="1" customWidth="1"/>
    <col min="16" max="16" width="20" bestFit="1" customWidth="1"/>
    <col min="17" max="17" width="23.140625" bestFit="1" customWidth="1"/>
    <col min="18" max="18" width="10.85546875" bestFit="1" customWidth="1"/>
  </cols>
  <sheetData>
    <row r="1" spans="2:13" x14ac:dyDescent="0.25">
      <c r="E1" t="s">
        <v>67</v>
      </c>
      <c r="G1" t="s">
        <v>70</v>
      </c>
      <c r="H1" t="s">
        <v>68</v>
      </c>
    </row>
    <row r="2" spans="2:13" x14ac:dyDescent="0.25">
      <c r="D2" t="s">
        <v>65</v>
      </c>
      <c r="E2" s="35" t="s">
        <v>66</v>
      </c>
      <c r="G2" s="35" t="s">
        <v>69</v>
      </c>
      <c r="H2" s="35" t="s">
        <v>71</v>
      </c>
      <c r="I2" s="35" t="s">
        <v>85</v>
      </c>
    </row>
    <row r="3" spans="2:13" x14ac:dyDescent="0.25">
      <c r="B3" t="s">
        <v>57</v>
      </c>
      <c r="E3" s="2">
        <v>0.36380000000000001</v>
      </c>
      <c r="G3" s="35">
        <v>0.32</v>
      </c>
      <c r="H3" s="35">
        <v>0.18</v>
      </c>
      <c r="I3" s="30">
        <f>G3-H3</f>
        <v>0.14000000000000001</v>
      </c>
      <c r="J3" s="46">
        <f>H3/I3</f>
        <v>1.2857142857142856</v>
      </c>
    </row>
    <row r="4" spans="2:13" x14ac:dyDescent="0.25">
      <c r="G4" s="35"/>
      <c r="H4" s="35"/>
      <c r="K4" t="s">
        <v>73</v>
      </c>
      <c r="L4" t="s">
        <v>74</v>
      </c>
      <c r="M4" t="s">
        <v>72</v>
      </c>
    </row>
    <row r="5" spans="2:13" x14ac:dyDescent="0.25">
      <c r="B5" t="s">
        <v>58</v>
      </c>
      <c r="G5" s="35">
        <v>0.34</v>
      </c>
      <c r="H5" s="35">
        <v>0.2</v>
      </c>
      <c r="K5">
        <f>0.1441</f>
        <v>0.14410000000000001</v>
      </c>
      <c r="L5">
        <v>0.25850000000000001</v>
      </c>
      <c r="M5">
        <f>(K5+L5)/L5</f>
        <v>1.5574468085106383</v>
      </c>
    </row>
    <row r="6" spans="2:13" x14ac:dyDescent="0.25">
      <c r="B6" t="s">
        <v>59</v>
      </c>
      <c r="E6" s="35">
        <v>0.27550000000000002</v>
      </c>
      <c r="G6" s="35">
        <v>0.28000000000000003</v>
      </c>
      <c r="H6" s="35">
        <v>0.16</v>
      </c>
      <c r="K6">
        <v>6.08E-2</v>
      </c>
      <c r="L6">
        <v>0.15540000000000001</v>
      </c>
      <c r="M6">
        <f>(K6+L6)/L6</f>
        <v>1.3912483912483913</v>
      </c>
    </row>
    <row r="7" spans="2:13" x14ac:dyDescent="0.25">
      <c r="B7" t="s">
        <v>60</v>
      </c>
      <c r="G7" s="35">
        <v>0.28000000000000003</v>
      </c>
      <c r="H7" s="35">
        <v>0.16</v>
      </c>
    </row>
    <row r="8" spans="2:13" x14ac:dyDescent="0.25">
      <c r="B8" t="s">
        <v>61</v>
      </c>
      <c r="E8" s="35">
        <v>0.50580000000000003</v>
      </c>
      <c r="G8" s="35">
        <v>0.34</v>
      </c>
      <c r="H8" s="35">
        <v>0.19</v>
      </c>
      <c r="L8" t="s">
        <v>75</v>
      </c>
      <c r="M8" s="37">
        <f>AVERAGE(M5:M6)</f>
        <v>1.4743475998795148</v>
      </c>
    </row>
    <row r="9" spans="2:13" x14ac:dyDescent="0.25">
      <c r="B9" t="s">
        <v>62</v>
      </c>
      <c r="E9" s="35">
        <v>0.18770000000000001</v>
      </c>
      <c r="G9" s="35">
        <v>0.28999999999999998</v>
      </c>
      <c r="H9" s="35">
        <v>0.17</v>
      </c>
    </row>
    <row r="10" spans="2:13" x14ac:dyDescent="0.25">
      <c r="B10" t="s">
        <v>63</v>
      </c>
      <c r="E10" s="35">
        <v>0.36709999999999998</v>
      </c>
      <c r="G10" s="35">
        <v>0.33</v>
      </c>
      <c r="H10" s="35">
        <v>0.19</v>
      </c>
    </row>
    <row r="11" spans="2:13" x14ac:dyDescent="0.25">
      <c r="B11" t="s">
        <v>64</v>
      </c>
      <c r="E11" s="35">
        <v>0.5202</v>
      </c>
      <c r="G11" s="35">
        <v>0.32</v>
      </c>
      <c r="H11" s="35">
        <v>0.18</v>
      </c>
    </row>
    <row r="14" spans="2:13" x14ac:dyDescent="0.25">
      <c r="B14" t="s">
        <v>81</v>
      </c>
      <c r="D14" s="33">
        <f>((G3-H3)+2*H3)*Popn!H22</f>
        <v>112031423.39057843</v>
      </c>
      <c r="F14" t="s">
        <v>83</v>
      </c>
      <c r="G14" s="30">
        <f>100%-H14</f>
        <v>0.28000000000000003</v>
      </c>
      <c r="H14" s="44">
        <f>(H3*2)/(H3*2+(G3-H3))</f>
        <v>0.72</v>
      </c>
    </row>
    <row r="18" spans="8:17" x14ac:dyDescent="0.25">
      <c r="N18" t="s">
        <v>80</v>
      </c>
    </row>
    <row r="19" spans="8:17" x14ac:dyDescent="0.25">
      <c r="I19" t="s">
        <v>11</v>
      </c>
      <c r="J19" t="s">
        <v>27</v>
      </c>
      <c r="K19" t="s">
        <v>25</v>
      </c>
      <c r="L19" t="s">
        <v>56</v>
      </c>
      <c r="M19" t="s">
        <v>84</v>
      </c>
    </row>
    <row r="20" spans="8:17" x14ac:dyDescent="0.25">
      <c r="H20" t="s">
        <v>5</v>
      </c>
      <c r="I20" t="s">
        <v>22</v>
      </c>
      <c r="J20" s="40">
        <f>N20*$O$26*K20</f>
        <v>5716058.6312323399</v>
      </c>
      <c r="K20" s="32">
        <f>'Vers 2'!I38</f>
        <v>4447016.3001431488</v>
      </c>
      <c r="L20" s="45">
        <f t="shared" ref="L20:L22" si="0">($H$14*J20)/(2*K20)</f>
        <v>0.46273298057787704</v>
      </c>
      <c r="M20" s="45">
        <f>($G$14*J20)/K20</f>
        <v>0.35990342933834885</v>
      </c>
      <c r="N20">
        <f>$M$8*N26</f>
        <v>1.4743475998795148</v>
      </c>
      <c r="P20" s="46">
        <f>L20/M20</f>
        <v>1.2857142857142856</v>
      </c>
    </row>
    <row r="21" spans="8:17" x14ac:dyDescent="0.25">
      <c r="I21" t="s">
        <v>23</v>
      </c>
      <c r="J21" s="40">
        <f t="shared" ref="J21:J22" si="1">N21*$O$26*K21</f>
        <v>41541727.200945042</v>
      </c>
      <c r="K21" s="32">
        <f>'Vers 2'!I39</f>
        <v>40724136.768097505</v>
      </c>
      <c r="L21" s="45">
        <f>($H$14*J21)/(2*K21)</f>
        <v>0.36722747194130062</v>
      </c>
      <c r="M21" s="45">
        <f>($G$14*J21)/K21</f>
        <v>0.28562136706545604</v>
      </c>
      <c r="N21">
        <f t="shared" ref="N21:N22" si="2">$M$8*N27</f>
        <v>1.1700504709872486</v>
      </c>
      <c r="P21" s="46">
        <f t="shared" ref="P21:P22" si="3">L21/M21</f>
        <v>1.2857142857142856</v>
      </c>
    </row>
    <row r="22" spans="8:17" x14ac:dyDescent="0.25">
      <c r="I22" s="27" t="s">
        <v>21</v>
      </c>
      <c r="J22" s="40">
        <f t="shared" si="1"/>
        <v>4731715.2634574072</v>
      </c>
      <c r="K22" s="32">
        <f>'Vers 2'!I40</f>
        <v>11602801.340801064</v>
      </c>
      <c r="L22" s="45">
        <f t="shared" si="0"/>
        <v>0.1468108816837729</v>
      </c>
      <c r="M22" s="45">
        <f t="shared" ref="M21:M22" si="4">($G$14*J22)/K22</f>
        <v>0.11418624130960116</v>
      </c>
      <c r="N22">
        <f t="shared" si="2"/>
        <v>0.46776495329197276</v>
      </c>
      <c r="P22" s="46">
        <f t="shared" si="3"/>
        <v>1.2857142857142856</v>
      </c>
    </row>
    <row r="23" spans="8:17" x14ac:dyDescent="0.25">
      <c r="I23" s="1" t="s">
        <v>9</v>
      </c>
      <c r="K23" s="32">
        <f>'Vers 2'!I41</f>
        <v>14834500.179531109</v>
      </c>
      <c r="L23" s="1"/>
      <c r="M23" s="1"/>
      <c r="P23" s="46"/>
    </row>
    <row r="24" spans="8:17" x14ac:dyDescent="0.25">
      <c r="I24" s="1" t="s">
        <v>24</v>
      </c>
      <c r="J24" s="1"/>
      <c r="K24" s="32">
        <f>'Vers 2'!I42</f>
        <v>4447016.3001431488</v>
      </c>
      <c r="L24" s="1"/>
      <c r="M24" s="1"/>
    </row>
    <row r="25" spans="8:17" x14ac:dyDescent="0.25">
      <c r="I25" t="s">
        <v>55</v>
      </c>
      <c r="K25" s="32">
        <f>'Vers 2'!I43</f>
        <v>40724136.768097505</v>
      </c>
    </row>
    <row r="26" spans="8:17" x14ac:dyDescent="0.25">
      <c r="H26" t="s">
        <v>6</v>
      </c>
      <c r="I26" t="s">
        <v>22</v>
      </c>
      <c r="J26" s="40">
        <f>N26*$O$26*K26</f>
        <v>6601393.3762986325</v>
      </c>
      <c r="K26" s="32">
        <f>'Vers 2'!I44</f>
        <v>7571946.6732167117</v>
      </c>
      <c r="L26" s="45">
        <f>($H$14*J26)/(2*K26)</f>
        <v>0.3138560951404486</v>
      </c>
      <c r="M26" s="45">
        <f>($G$14*J26)/K26</f>
        <v>0.24411029622034894</v>
      </c>
      <c r="N26">
        <f>Popn!M3</f>
        <v>1</v>
      </c>
      <c r="O26" s="39">
        <f>D14/(SUMPRODUCT(K20:K22,N20:N22)+SUMPRODUCT(K26:K28,N26:N28))</f>
        <v>0.87182248650124616</v>
      </c>
      <c r="P26" s="46">
        <f>L26/M26</f>
        <v>1.2857142857142856</v>
      </c>
      <c r="Q26" s="33"/>
    </row>
    <row r="27" spans="8:17" x14ac:dyDescent="0.25">
      <c r="I27" t="s">
        <v>23</v>
      </c>
      <c r="J27" s="40">
        <f t="shared" ref="J27:J28" si="5">N27*$O$26*K27</f>
        <v>47975939.44994241</v>
      </c>
      <c r="K27" s="32">
        <f>'Vers 2'!I45</f>
        <v>69341097.740274146</v>
      </c>
      <c r="L27" s="45">
        <f t="shared" ref="L27:L28" si="6">($H$14*J27)/(2*K27)</f>
        <v>0.24907794604970418</v>
      </c>
      <c r="M27" s="45">
        <f>($G$14*J27)/K27</f>
        <v>0.19372729137199213</v>
      </c>
      <c r="N27">
        <f>Popn!M4</f>
        <v>0.79360557244632557</v>
      </c>
      <c r="P27" s="46">
        <f t="shared" ref="P27:P28" si="7">L27/M27</f>
        <v>1.2857142857142858</v>
      </c>
    </row>
    <row r="28" spans="8:17" x14ac:dyDescent="0.25">
      <c r="I28" s="27" t="s">
        <v>21</v>
      </c>
      <c r="J28" s="40">
        <f t="shared" si="5"/>
        <v>5464589.4687026059</v>
      </c>
      <c r="K28" s="32">
        <f>'Vers 2'!I46</f>
        <v>19756121.201904517</v>
      </c>
      <c r="L28" s="45">
        <f>($H$14*J28)/(2*K28)</f>
        <v>9.9576844494317654E-2</v>
      </c>
      <c r="M28" s="45">
        <f t="shared" ref="M27:M28" si="8">($G$14*J28)/K28</f>
        <v>7.7448656828913748E-2</v>
      </c>
      <c r="N28">
        <f>Popn!M5</f>
        <v>0.31726911166009902</v>
      </c>
      <c r="P28" s="46">
        <f t="shared" si="7"/>
        <v>1.2857142857142854</v>
      </c>
    </row>
    <row r="29" spans="8:17" x14ac:dyDescent="0.25">
      <c r="I29" s="1" t="s">
        <v>9</v>
      </c>
      <c r="J29" s="1"/>
      <c r="K29" s="32">
        <f>'Vers 2'!I47</f>
        <v>25258743.548931349</v>
      </c>
      <c r="L29" s="1"/>
      <c r="M29" s="1"/>
    </row>
    <row r="30" spans="8:17" x14ac:dyDescent="0.25">
      <c r="I30" s="1" t="s">
        <v>24</v>
      </c>
      <c r="J30" s="1"/>
      <c r="K30" s="32">
        <f>'Vers 2'!I48</f>
        <v>7571946.6732167117</v>
      </c>
      <c r="L30" s="1"/>
      <c r="M30" s="1"/>
    </row>
    <row r="31" spans="8:17" x14ac:dyDescent="0.25">
      <c r="I31" t="s">
        <v>14</v>
      </c>
      <c r="J31" s="1"/>
      <c r="K31" s="32">
        <f>'Vers 2'!I49</f>
        <v>69341097.740274146</v>
      </c>
      <c r="L31" s="1"/>
      <c r="M31" s="1"/>
    </row>
    <row r="33" spans="9:10" x14ac:dyDescent="0.25">
      <c r="I33" s="41" t="s">
        <v>82</v>
      </c>
      <c r="J33" s="42">
        <f>SUM(J20:J22,J26:J28)-D14</f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40075BD224AE449FF701EAD4713FC4" ma:contentTypeVersion="13" ma:contentTypeDescription="Create a new document." ma:contentTypeScope="" ma:versionID="9c5438ebce28973e49267e40e61d2f6e">
  <xsd:schema xmlns:xsd="http://www.w3.org/2001/XMLSchema" xmlns:xs="http://www.w3.org/2001/XMLSchema" xmlns:p="http://schemas.microsoft.com/office/2006/metadata/properties" xmlns:ns2="da7c69ca-badc-4474-8fea-05c5fde18741" xmlns:ns3="66ee2525-5f9a-41dd-bf04-d22476b56099" targetNamespace="http://schemas.microsoft.com/office/2006/metadata/properties" ma:root="true" ma:fieldsID="c9030c124d72b706cd1f01ed2abdadf5" ns2:_="" ns3:_="">
    <xsd:import namespace="da7c69ca-badc-4474-8fea-05c5fde18741"/>
    <xsd:import namespace="66ee2525-5f9a-41dd-bf04-d22476b56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7c69ca-badc-4474-8fea-05c5fde187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e2525-5f9a-41dd-bf04-d22476b5609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D60A27-FF8C-4555-8F6F-C22516EBA3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7B2C2-86EF-4BA9-83A4-A8822A8188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7c69ca-badc-4474-8fea-05c5fde18741"/>
    <ds:schemaRef ds:uri="66ee2525-5f9a-41dd-bf04-d22476b56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D326C7-CF94-4B20-AC80-326EE248EF9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 1</vt:lpstr>
      <vt:lpstr>Popn</vt:lpstr>
      <vt:lpstr>Vers 2</vt:lpstr>
      <vt:lpstr>Init Vaccine</vt:lpstr>
      <vt:lpstr>Scenarios for Tim</vt:lpstr>
      <vt:lpstr>Static Sheet</vt:lpstr>
      <vt:lpstr>Urban Rural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Blakely</dc:creator>
  <cp:lastModifiedBy>Tim Wilson</cp:lastModifiedBy>
  <dcterms:created xsi:type="dcterms:W3CDTF">2021-11-15T00:36:23Z</dcterms:created>
  <dcterms:modified xsi:type="dcterms:W3CDTF">2021-12-10T01:23:48Z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0x010100D140075BD224AE449FF701EAD4713FC4</vt:lpwstr>
  </property>
</Properties>
</file>