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gram Data\flask-html\模板表\"/>
    </mc:Choice>
  </mc:AlternateContent>
  <xr:revisionPtr revIDLastSave="0" documentId="13_ncr:1_{BCABE163-6887-42E3-BC17-AE44CFFC4AC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C20" i="1"/>
  <c r="G22" i="1"/>
  <c r="C65" i="1" s="1"/>
  <c r="I22" i="1"/>
  <c r="G23" i="1"/>
  <c r="I23" i="1"/>
  <c r="G24" i="1"/>
  <c r="I24" i="1"/>
  <c r="G25" i="1"/>
  <c r="I25" i="1"/>
  <c r="E68" i="1" s="1"/>
  <c r="B65" i="1"/>
  <c r="D65" i="1"/>
  <c r="E65" i="1"/>
  <c r="B66" i="1"/>
  <c r="C66" i="1"/>
  <c r="G66" i="1" s="1"/>
  <c r="D66" i="1"/>
  <c r="D64" i="1" s="1"/>
  <c r="E66" i="1"/>
  <c r="B67" i="1"/>
  <c r="C67" i="1"/>
  <c r="G67" i="1" s="1"/>
  <c r="D67" i="1"/>
  <c r="E67" i="1"/>
  <c r="B68" i="1"/>
  <c r="C68" i="1"/>
  <c r="G68" i="1" s="1"/>
  <c r="D68" i="1"/>
  <c r="B70" i="1"/>
  <c r="F70" i="1"/>
  <c r="G70" i="1"/>
  <c r="B71" i="1"/>
  <c r="F71" i="1"/>
  <c r="G71" i="1" s="1"/>
  <c r="B72" i="1"/>
  <c r="F72" i="1"/>
  <c r="F69" i="1" s="1"/>
  <c r="C83" i="1"/>
  <c r="D83" i="1" s="1"/>
  <c r="C85" i="1"/>
  <c r="D85" i="1" s="1"/>
  <c r="C86" i="1"/>
  <c r="D86" i="1" s="1"/>
  <c r="C87" i="1"/>
  <c r="D87" i="1" s="1"/>
  <c r="C88" i="1"/>
  <c r="D88" i="1" s="1"/>
  <c r="C89" i="1"/>
  <c r="D89" i="1" s="1"/>
  <c r="C91" i="1"/>
  <c r="D91" i="1" s="1"/>
  <c r="C114" i="1"/>
  <c r="E115" i="1"/>
  <c r="E122" i="1"/>
  <c r="F122" i="1"/>
  <c r="D176" i="1"/>
  <c r="E176" i="1"/>
  <c r="D180" i="1"/>
  <c r="E180" i="1"/>
  <c r="D185" i="1"/>
  <c r="F187" i="1" s="1"/>
  <c r="F188" i="1" s="1"/>
  <c r="I187" i="1"/>
  <c r="D215" i="1"/>
  <c r="E216" i="1" s="1"/>
  <c r="F216" i="1"/>
  <c r="H216" i="1"/>
  <c r="I216" i="1"/>
  <c r="I222" i="1" s="1"/>
  <c r="J216" i="1"/>
  <c r="J222" i="1" s="1"/>
  <c r="D218" i="1"/>
  <c r="F219" i="1" s="1"/>
  <c r="E219" i="1"/>
  <c r="E220" i="1" s="1"/>
  <c r="F220" i="1" s="1"/>
  <c r="G220" i="1" s="1"/>
  <c r="H220" i="1" s="1"/>
  <c r="I220" i="1" s="1"/>
  <c r="J220" i="1" s="1"/>
  <c r="G219" i="1"/>
  <c r="H219" i="1"/>
  <c r="I219" i="1"/>
  <c r="J219" i="1"/>
  <c r="C221" i="1"/>
  <c r="H222" i="1"/>
  <c r="J125" i="1" s="1"/>
  <c r="D274" i="1"/>
  <c r="E274" i="1"/>
  <c r="F274" i="1"/>
  <c r="G274" i="1"/>
  <c r="G275" i="1" s="1"/>
  <c r="H274" i="1"/>
  <c r="I274" i="1"/>
  <c r="F275" i="1"/>
  <c r="I275" i="1" s="1"/>
  <c r="F298" i="1"/>
  <c r="G298" i="1"/>
  <c r="H298" i="1"/>
  <c r="I298" i="1"/>
  <c r="J298" i="1"/>
  <c r="K298" i="1"/>
  <c r="D334" i="1"/>
  <c r="E334" i="1"/>
  <c r="F334" i="1"/>
  <c r="G334" i="1"/>
  <c r="H334" i="1"/>
  <c r="I334" i="1"/>
  <c r="F335" i="1"/>
  <c r="G364" i="1"/>
  <c r="H364" i="1"/>
  <c r="I364" i="1"/>
  <c r="J364" i="1"/>
  <c r="K364" i="1"/>
  <c r="L364" i="1"/>
  <c r="C367" i="1"/>
  <c r="C368" i="1"/>
  <c r="L371" i="1"/>
  <c r="G397" i="1"/>
  <c r="H397" i="1"/>
  <c r="I397" i="1"/>
  <c r="J397" i="1"/>
  <c r="K397" i="1"/>
  <c r="L397" i="1"/>
  <c r="C400" i="1"/>
  <c r="C401" i="1"/>
  <c r="E432" i="1"/>
  <c r="F432" i="1"/>
  <c r="G432" i="1"/>
  <c r="H432" i="1"/>
  <c r="I432" i="1"/>
  <c r="J432" i="1"/>
  <c r="C434" i="1"/>
  <c r="D434" i="1"/>
  <c r="C443" i="1"/>
  <c r="D443" i="1"/>
  <c r="K302" i="1" l="1"/>
  <c r="L125" i="1"/>
  <c r="G69" i="1"/>
  <c r="C64" i="1"/>
  <c r="G65" i="1"/>
  <c r="K125" i="1"/>
  <c r="J302" i="1"/>
  <c r="F222" i="1"/>
  <c r="E222" i="1"/>
  <c r="E217" i="1"/>
  <c r="E64" i="1"/>
  <c r="C181" i="1" s="1"/>
  <c r="I302" i="1"/>
  <c r="K187" i="1"/>
  <c r="G216" i="1"/>
  <c r="G222" i="1" s="1"/>
  <c r="J187" i="1"/>
  <c r="H187" i="1"/>
  <c r="G187" i="1"/>
  <c r="G188" i="1" s="1"/>
  <c r="H188" i="1" s="1"/>
  <c r="I188" i="1" s="1"/>
  <c r="J188" i="1" s="1"/>
  <c r="K188" i="1" s="1"/>
  <c r="G72" i="1"/>
  <c r="L366" i="1"/>
  <c r="L399" i="1"/>
  <c r="I335" i="1"/>
  <c r="I366" i="1"/>
  <c r="I365" i="1" s="1"/>
  <c r="H275" i="1"/>
  <c r="J399" i="1"/>
  <c r="J398" i="1" s="1"/>
  <c r="E275" i="1"/>
  <c r="I399" i="1"/>
  <c r="I398" i="1" s="1"/>
  <c r="G335" i="1"/>
  <c r="D275" i="1"/>
  <c r="J366" i="1"/>
  <c r="J365" i="1" s="1"/>
  <c r="I248" i="1"/>
  <c r="F245" i="1"/>
  <c r="F244" i="1"/>
  <c r="G86" i="1" s="1"/>
  <c r="F243" i="1"/>
  <c r="I242" i="1"/>
  <c r="H242" i="1"/>
  <c r="G242" i="1"/>
  <c r="F242" i="1"/>
  <c r="E242" i="1"/>
  <c r="D242" i="1"/>
  <c r="F182" i="1" l="1"/>
  <c r="G182" i="1"/>
  <c r="H182" i="1"/>
  <c r="I182" i="1"/>
  <c r="J182" i="1"/>
  <c r="K182" i="1"/>
  <c r="F183" i="1"/>
  <c r="G183" i="1" s="1"/>
  <c r="H183" i="1" s="1"/>
  <c r="I183" i="1" s="1"/>
  <c r="J183" i="1" s="1"/>
  <c r="K183" i="1" s="1"/>
  <c r="G64" i="1"/>
  <c r="F217" i="1"/>
  <c r="E223" i="1"/>
  <c r="E440" i="1" s="1"/>
  <c r="G125" i="1"/>
  <c r="F302" i="1"/>
  <c r="I125" i="1"/>
  <c r="H302" i="1"/>
  <c r="F277" i="1"/>
  <c r="F278" i="1" s="1"/>
  <c r="G91" i="1"/>
  <c r="G85" i="1"/>
  <c r="H125" i="1"/>
  <c r="G302" i="1"/>
  <c r="D335" i="1"/>
  <c r="G399" i="1"/>
  <c r="C275" i="1"/>
  <c r="G366" i="1"/>
  <c r="K366" i="1"/>
  <c r="K365" i="1" s="1"/>
  <c r="K399" i="1"/>
  <c r="K398" i="1" s="1"/>
  <c r="H335" i="1"/>
  <c r="E335" i="1"/>
  <c r="H399" i="1"/>
  <c r="H398" i="1" s="1"/>
  <c r="H366" i="1"/>
  <c r="H365" i="1" s="1"/>
  <c r="E248" i="1"/>
  <c r="G248" i="1"/>
  <c r="D248" i="1"/>
  <c r="H248" i="1"/>
  <c r="D244" i="1"/>
  <c r="E86" i="1" s="1"/>
  <c r="I245" i="1"/>
  <c r="E244" i="1"/>
  <c r="F86" i="1" s="1"/>
  <c r="G244" i="1"/>
  <c r="H86" i="1" s="1"/>
  <c r="H244" i="1"/>
  <c r="I86" i="1" s="1"/>
  <c r="D243" i="1"/>
  <c r="I244" i="1"/>
  <c r="J86" i="1" s="1"/>
  <c r="E243" i="1"/>
  <c r="D245" i="1"/>
  <c r="G243" i="1"/>
  <c r="E245" i="1"/>
  <c r="H243" i="1"/>
  <c r="I243" i="1"/>
  <c r="G245" i="1"/>
  <c r="H245" i="1"/>
  <c r="G217" i="1" l="1"/>
  <c r="F223" i="1"/>
  <c r="F440" i="1" s="1"/>
  <c r="G444" i="1"/>
  <c r="G90" i="1"/>
  <c r="F76" i="1"/>
  <c r="G76" i="1" s="1"/>
  <c r="G73" i="1"/>
  <c r="F75" i="1" s="1"/>
  <c r="H277" i="1"/>
  <c r="H279" i="1" s="1"/>
  <c r="I91" i="1"/>
  <c r="I85" i="1"/>
  <c r="F279" i="1"/>
  <c r="F276" i="1" s="1"/>
  <c r="C302" i="1"/>
  <c r="J85" i="1"/>
  <c r="J91" i="1"/>
  <c r="D125" i="1"/>
  <c r="D277" i="1"/>
  <c r="D278" i="1" s="1"/>
  <c r="E91" i="1"/>
  <c r="E85" i="1"/>
  <c r="H91" i="1"/>
  <c r="H85" i="1"/>
  <c r="E277" i="1"/>
  <c r="E278" i="1" s="1"/>
  <c r="F91" i="1"/>
  <c r="F85" i="1"/>
  <c r="D279" i="1"/>
  <c r="G365" i="1"/>
  <c r="C366" i="1"/>
  <c r="G398" i="1"/>
  <c r="C399" i="1"/>
  <c r="C335" i="1"/>
  <c r="I277" i="1"/>
  <c r="G277" i="1"/>
  <c r="F248" i="1"/>
  <c r="C248" i="1" s="1"/>
  <c r="C244" i="1"/>
  <c r="C245" i="1"/>
  <c r="C243" i="1"/>
  <c r="I373" i="1" l="1"/>
  <c r="I407" i="1"/>
  <c r="F336" i="1"/>
  <c r="H444" i="1"/>
  <c r="H90" i="1"/>
  <c r="F90" i="1"/>
  <c r="F444" i="1"/>
  <c r="E279" i="1"/>
  <c r="C279" i="1" s="1"/>
  <c r="E444" i="1"/>
  <c r="E90" i="1"/>
  <c r="H278" i="1"/>
  <c r="H276" i="1" s="1"/>
  <c r="H217" i="1"/>
  <c r="G223" i="1"/>
  <c r="G440" i="1" s="1"/>
  <c r="I90" i="1"/>
  <c r="I444" i="1"/>
  <c r="F74" i="1"/>
  <c r="G75" i="1"/>
  <c r="C277" i="1"/>
  <c r="J444" i="1"/>
  <c r="J90" i="1"/>
  <c r="H336" i="1"/>
  <c r="K373" i="1"/>
  <c r="K407" i="1"/>
  <c r="C398" i="1"/>
  <c r="G279" i="1"/>
  <c r="G278" i="1"/>
  <c r="G276" i="1" s="1"/>
  <c r="C365" i="1"/>
  <c r="I279" i="1"/>
  <c r="I278" i="1"/>
  <c r="I276" i="1" s="1"/>
  <c r="D276" i="1"/>
  <c r="I217" i="1" l="1"/>
  <c r="H223" i="1"/>
  <c r="H440" i="1" s="1"/>
  <c r="C278" i="1"/>
  <c r="E276" i="1"/>
  <c r="G74" i="1"/>
  <c r="G336" i="1"/>
  <c r="J373" i="1"/>
  <c r="J407" i="1"/>
  <c r="L407" i="1"/>
  <c r="I336" i="1"/>
  <c r="L373" i="1"/>
  <c r="G373" i="1"/>
  <c r="C276" i="1"/>
  <c r="G407" i="1"/>
  <c r="D336" i="1"/>
  <c r="G77" i="1" l="1"/>
  <c r="H373" i="1"/>
  <c r="E336" i="1"/>
  <c r="C336" i="1" s="1"/>
  <c r="H407" i="1"/>
  <c r="C407" i="1"/>
  <c r="C373" i="1"/>
  <c r="J217" i="1"/>
  <c r="J223" i="1" s="1"/>
  <c r="J440" i="1" s="1"/>
  <c r="I223" i="1"/>
  <c r="I440" i="1" s="1"/>
  <c r="H77" i="1" l="1"/>
  <c r="D147" i="1"/>
  <c r="E147" i="1"/>
  <c r="H70" i="1"/>
  <c r="H68" i="1"/>
  <c r="H67" i="1"/>
  <c r="H71" i="1"/>
  <c r="H66" i="1"/>
  <c r="H72" i="1"/>
  <c r="H65" i="1"/>
  <c r="H69" i="1"/>
  <c r="H64" i="1"/>
  <c r="H76" i="1"/>
  <c r="H75" i="1"/>
  <c r="H74" i="1"/>
  <c r="C147" i="1" l="1"/>
  <c r="D309" i="1"/>
  <c r="D155" i="1"/>
  <c r="E309" i="1"/>
  <c r="E155" i="1"/>
  <c r="E152" i="1" s="1"/>
  <c r="E151" i="1"/>
  <c r="E403" i="1" l="1"/>
  <c r="E402" i="1" s="1"/>
  <c r="E409" i="1" s="1"/>
  <c r="E305" i="1"/>
  <c r="F116" i="1"/>
  <c r="E116" i="1"/>
  <c r="C155" i="1"/>
  <c r="D156" i="1"/>
  <c r="C309" i="1"/>
  <c r="D151" i="1"/>
  <c r="D152" i="1"/>
  <c r="C152" i="1" s="1"/>
  <c r="E156" i="1" l="1"/>
  <c r="C156" i="1"/>
  <c r="D148" i="1"/>
  <c r="D154" i="1"/>
  <c r="D403" i="1"/>
  <c r="D305" i="1"/>
  <c r="C448" i="1"/>
  <c r="C447" i="1" s="1"/>
  <c r="D448" i="1"/>
  <c r="D447" i="1" s="1"/>
  <c r="E421" i="1"/>
  <c r="E412" i="1"/>
  <c r="E148" i="1" l="1"/>
  <c r="E154" i="1"/>
  <c r="E423" i="1"/>
  <c r="D303" i="1"/>
  <c r="D402" i="1"/>
  <c r="D310" i="1"/>
  <c r="E117" i="1"/>
  <c r="C148" i="1"/>
  <c r="C177" i="1" s="1"/>
  <c r="D146" i="1"/>
  <c r="D150" i="1"/>
  <c r="F115" i="1" l="1"/>
  <c r="E121" i="1"/>
  <c r="E303" i="1"/>
  <c r="E299" i="1" s="1"/>
  <c r="E150" i="1"/>
  <c r="D409" i="1"/>
  <c r="D370" i="1"/>
  <c r="C441" i="1"/>
  <c r="C433" i="1" s="1"/>
  <c r="D441" i="1"/>
  <c r="D433" i="1" s="1"/>
  <c r="E310" i="1"/>
  <c r="E308" i="1" s="1"/>
  <c r="F117" i="1"/>
  <c r="E146" i="1"/>
  <c r="E370" i="1" s="1"/>
  <c r="E369" i="1" s="1"/>
  <c r="E375" i="1" s="1"/>
  <c r="D308" i="1"/>
  <c r="D299" i="1"/>
  <c r="C303" i="1"/>
  <c r="G178" i="1"/>
  <c r="G192" i="1" s="1"/>
  <c r="H178" i="1"/>
  <c r="H192" i="1" s="1"/>
  <c r="I178" i="1"/>
  <c r="I192" i="1" s="1"/>
  <c r="J178" i="1"/>
  <c r="J192" i="1" s="1"/>
  <c r="C191" i="1"/>
  <c r="K178" i="1"/>
  <c r="K192" i="1" s="1"/>
  <c r="F178" i="1"/>
  <c r="F192" i="1" s="1"/>
  <c r="J301" i="1" l="1"/>
  <c r="K124" i="1"/>
  <c r="H246" i="1"/>
  <c r="H247" i="1"/>
  <c r="L124" i="1"/>
  <c r="K301" i="1"/>
  <c r="I247" i="1"/>
  <c r="I246" i="1"/>
  <c r="H301" i="1"/>
  <c r="I124" i="1"/>
  <c r="F246" i="1"/>
  <c r="F247" i="1"/>
  <c r="D412" i="1"/>
  <c r="D410" i="1"/>
  <c r="E410" i="1" s="1"/>
  <c r="D421" i="1"/>
  <c r="D422" i="1" s="1"/>
  <c r="E422" i="1" s="1"/>
  <c r="C310" i="1"/>
  <c r="E314" i="1"/>
  <c r="E315" i="1" s="1"/>
  <c r="I301" i="1"/>
  <c r="J124" i="1"/>
  <c r="G246" i="1"/>
  <c r="G247" i="1"/>
  <c r="C370" i="1"/>
  <c r="D369" i="1"/>
  <c r="G124" i="1"/>
  <c r="F301" i="1"/>
  <c r="D246" i="1"/>
  <c r="D247" i="1"/>
  <c r="E377" i="1"/>
  <c r="E390" i="1" s="1"/>
  <c r="E388" i="1"/>
  <c r="C446" i="1"/>
  <c r="C442" i="1" s="1"/>
  <c r="F121" i="1"/>
  <c r="H124" i="1"/>
  <c r="G301" i="1"/>
  <c r="E246" i="1"/>
  <c r="E247" i="1"/>
  <c r="D314" i="1"/>
  <c r="F179" i="1"/>
  <c r="G87" i="1" l="1"/>
  <c r="F250" i="1"/>
  <c r="G89" i="1" s="1"/>
  <c r="G437" i="1" s="1"/>
  <c r="F254" i="1"/>
  <c r="C247" i="1"/>
  <c r="E87" i="1"/>
  <c r="C246" i="1"/>
  <c r="D250" i="1"/>
  <c r="D254" i="1"/>
  <c r="C301" i="1"/>
  <c r="F193" i="1"/>
  <c r="E439" i="1" s="1"/>
  <c r="G179" i="1"/>
  <c r="D315" i="1"/>
  <c r="G120" i="1"/>
  <c r="G115" i="1"/>
  <c r="D446" i="1"/>
  <c r="D442" i="1" s="1"/>
  <c r="J87" i="1"/>
  <c r="I250" i="1"/>
  <c r="J89" i="1" s="1"/>
  <c r="J437" i="1" s="1"/>
  <c r="I254" i="1"/>
  <c r="I87" i="1"/>
  <c r="H250" i="1"/>
  <c r="I89" i="1" s="1"/>
  <c r="I437" i="1" s="1"/>
  <c r="H254" i="1"/>
  <c r="H87" i="1"/>
  <c r="G250" i="1"/>
  <c r="H89" i="1" s="1"/>
  <c r="H437" i="1" s="1"/>
  <c r="G254" i="1"/>
  <c r="D124" i="1"/>
  <c r="F87" i="1"/>
  <c r="E250" i="1"/>
  <c r="F89" i="1" s="1"/>
  <c r="F437" i="1" s="1"/>
  <c r="D375" i="1"/>
  <c r="D423" i="1"/>
  <c r="D424" i="1" s="1"/>
  <c r="E424" i="1" s="1"/>
  <c r="D413" i="1"/>
  <c r="E413" i="1" s="1"/>
  <c r="D376" i="1" l="1"/>
  <c r="E376" i="1" s="1"/>
  <c r="D388" i="1"/>
  <c r="D389" i="1" s="1"/>
  <c r="E389" i="1" s="1"/>
  <c r="D377" i="1"/>
  <c r="E89" i="1"/>
  <c r="E437" i="1" s="1"/>
  <c r="C250" i="1"/>
  <c r="C254" i="1" s="1"/>
  <c r="J83" i="1"/>
  <c r="J88" i="1"/>
  <c r="J84" i="1" s="1"/>
  <c r="J436" i="1" s="1"/>
  <c r="L372" i="1"/>
  <c r="L406" i="1"/>
  <c r="E84" i="1"/>
  <c r="E436" i="1" s="1"/>
  <c r="I83" i="1"/>
  <c r="I88" i="1"/>
  <c r="K372" i="1"/>
  <c r="K406" i="1"/>
  <c r="I84" i="1"/>
  <c r="I436" i="1" s="1"/>
  <c r="G119" i="1"/>
  <c r="G121" i="1" s="1"/>
  <c r="G83" i="1"/>
  <c r="G88" i="1"/>
  <c r="I372" i="1"/>
  <c r="I406" i="1"/>
  <c r="H83" i="1"/>
  <c r="H88" i="1"/>
  <c r="H84" i="1" s="1"/>
  <c r="H436" i="1" s="1"/>
  <c r="J372" i="1"/>
  <c r="J406" i="1"/>
  <c r="G405" i="1"/>
  <c r="H179" i="1"/>
  <c r="G193" i="1"/>
  <c r="F439" i="1" s="1"/>
  <c r="E83" i="1"/>
  <c r="E88" i="1"/>
  <c r="G406" i="1"/>
  <c r="G372" i="1"/>
  <c r="E254" i="1"/>
  <c r="G84" i="1"/>
  <c r="G436" i="1" s="1"/>
  <c r="E446" i="1" l="1"/>
  <c r="H120" i="1"/>
  <c r="H119" i="1"/>
  <c r="H121" i="1"/>
  <c r="J435" i="1"/>
  <c r="J82" i="1"/>
  <c r="J92" i="1" s="1"/>
  <c r="H82" i="1"/>
  <c r="H92" i="1" s="1"/>
  <c r="H435" i="1"/>
  <c r="I435" i="1"/>
  <c r="I82" i="1"/>
  <c r="I92" i="1" s="1"/>
  <c r="G404" i="1"/>
  <c r="F313" i="1"/>
  <c r="D390" i="1"/>
  <c r="D391" i="1" s="1"/>
  <c r="E391" i="1" s="1"/>
  <c r="D378" i="1"/>
  <c r="E378" i="1" s="1"/>
  <c r="F83" i="1"/>
  <c r="F88" i="1"/>
  <c r="F84" i="1" s="1"/>
  <c r="F436" i="1" s="1"/>
  <c r="H372" i="1"/>
  <c r="C372" i="1" s="1"/>
  <c r="H406" i="1"/>
  <c r="C406" i="1"/>
  <c r="H193" i="1"/>
  <c r="G439" i="1" s="1"/>
  <c r="I179" i="1"/>
  <c r="E435" i="1"/>
  <c r="E82" i="1"/>
  <c r="E92" i="1" s="1"/>
  <c r="G435" i="1"/>
  <c r="G82" i="1"/>
  <c r="G92" i="1" s="1"/>
  <c r="I93" i="1" l="1"/>
  <c r="I95" i="1"/>
  <c r="I445" i="1"/>
  <c r="I443" i="1" s="1"/>
  <c r="G95" i="1"/>
  <c r="G445" i="1"/>
  <c r="G443" i="1" s="1"/>
  <c r="J445" i="1"/>
  <c r="J443" i="1" s="1"/>
  <c r="L401" i="1"/>
  <c r="K307" i="1"/>
  <c r="C307" i="1" s="1"/>
  <c r="L368" i="1"/>
  <c r="J93" i="1"/>
  <c r="J95" i="1"/>
  <c r="F446" i="1"/>
  <c r="I120" i="1"/>
  <c r="I119" i="1"/>
  <c r="H404" i="1"/>
  <c r="G313" i="1"/>
  <c r="H93" i="1"/>
  <c r="H95" i="1"/>
  <c r="H445" i="1"/>
  <c r="H443" i="1" s="1"/>
  <c r="H405" i="1"/>
  <c r="F435" i="1"/>
  <c r="F82" i="1"/>
  <c r="F92" i="1" s="1"/>
  <c r="G93" i="1" s="1"/>
  <c r="E93" i="1"/>
  <c r="E95" i="1"/>
  <c r="D249" i="1" s="1"/>
  <c r="E445" i="1"/>
  <c r="E443" i="1" s="1"/>
  <c r="I193" i="1"/>
  <c r="H439" i="1" s="1"/>
  <c r="J179" i="1"/>
  <c r="H371" i="1" l="1"/>
  <c r="H149" i="1"/>
  <c r="H311" i="1"/>
  <c r="G94" i="1"/>
  <c r="J94" i="1"/>
  <c r="K371" i="1"/>
  <c r="K149" i="1"/>
  <c r="K311" i="1"/>
  <c r="D251" i="1"/>
  <c r="D252" i="1"/>
  <c r="I371" i="1"/>
  <c r="I149" i="1"/>
  <c r="I311" i="1"/>
  <c r="H94" i="1"/>
  <c r="I404" i="1"/>
  <c r="H313" i="1"/>
  <c r="I121" i="1"/>
  <c r="K179" i="1"/>
  <c r="K193" i="1" s="1"/>
  <c r="J193" i="1"/>
  <c r="I439" i="1" s="1"/>
  <c r="F149" i="1"/>
  <c r="F311" i="1"/>
  <c r="E94" i="1"/>
  <c r="F371" i="1"/>
  <c r="I405" i="1"/>
  <c r="F249" i="1"/>
  <c r="F93" i="1"/>
  <c r="F95" i="1"/>
  <c r="E249" i="1" s="1"/>
  <c r="F445" i="1"/>
  <c r="F443" i="1" s="1"/>
  <c r="I94" i="1"/>
  <c r="J371" i="1"/>
  <c r="J149" i="1"/>
  <c r="J311" i="1"/>
  <c r="K304" i="1" l="1"/>
  <c r="K157" i="1"/>
  <c r="K154" i="1" s="1"/>
  <c r="D337" i="1"/>
  <c r="D253" i="1"/>
  <c r="K146" i="1"/>
  <c r="K153" i="1"/>
  <c r="K151" i="1" s="1"/>
  <c r="D255" i="1"/>
  <c r="G446" i="1"/>
  <c r="J120" i="1"/>
  <c r="J119" i="1"/>
  <c r="J121" i="1" s="1"/>
  <c r="G371" i="1"/>
  <c r="G149" i="1"/>
  <c r="G311" i="1"/>
  <c r="F94" i="1"/>
  <c r="C371" i="1"/>
  <c r="F369" i="1"/>
  <c r="I304" i="1"/>
  <c r="I157" i="1"/>
  <c r="I154" i="1" s="1"/>
  <c r="H304" i="1"/>
  <c r="H157" i="1"/>
  <c r="H154" i="1" s="1"/>
  <c r="J304" i="1"/>
  <c r="J157" i="1"/>
  <c r="J154" i="1" s="1"/>
  <c r="E251" i="1"/>
  <c r="E252" i="1"/>
  <c r="F304" i="1"/>
  <c r="F157" i="1"/>
  <c r="L400" i="1"/>
  <c r="L398" i="1" s="1"/>
  <c r="K306" i="1"/>
  <c r="C306" i="1" s="1"/>
  <c r="L367" i="1"/>
  <c r="L365" i="1" s="1"/>
  <c r="J439" i="1"/>
  <c r="C311" i="1"/>
  <c r="I146" i="1"/>
  <c r="H146" i="1"/>
  <c r="F252" i="1"/>
  <c r="F251" i="1"/>
  <c r="J146" i="1"/>
  <c r="F153" i="1"/>
  <c r="F146" i="1"/>
  <c r="C149" i="1"/>
  <c r="H446" i="1" l="1"/>
  <c r="K120" i="1"/>
  <c r="K119" i="1"/>
  <c r="F151" i="1"/>
  <c r="J405" i="1"/>
  <c r="G249" i="1"/>
  <c r="F337" i="1"/>
  <c r="F338" i="1" s="1"/>
  <c r="F253" i="1"/>
  <c r="F255" i="1" s="1"/>
  <c r="K150" i="1"/>
  <c r="K305" i="1"/>
  <c r="L403" i="1"/>
  <c r="H153" i="1"/>
  <c r="H151" i="1" s="1"/>
  <c r="J404" i="1"/>
  <c r="I313" i="1"/>
  <c r="F154" i="1"/>
  <c r="G304" i="1"/>
  <c r="G157" i="1"/>
  <c r="G154" i="1" s="1"/>
  <c r="C304" i="1"/>
  <c r="D338" i="1"/>
  <c r="J153" i="1"/>
  <c r="J151" i="1" s="1"/>
  <c r="F375" i="1"/>
  <c r="I153" i="1"/>
  <c r="I151" i="1" s="1"/>
  <c r="G146" i="1"/>
  <c r="C146" i="1"/>
  <c r="E337" i="1"/>
  <c r="E338" i="1" s="1"/>
  <c r="E253" i="1"/>
  <c r="E255" i="1" s="1"/>
  <c r="H123" i="1" l="1"/>
  <c r="H122" i="1" s="1"/>
  <c r="H126" i="1"/>
  <c r="G300" i="1"/>
  <c r="E339" i="1"/>
  <c r="E340" i="1"/>
  <c r="G251" i="1"/>
  <c r="G252" i="1"/>
  <c r="I126" i="1"/>
  <c r="I123" i="1"/>
  <c r="I122" i="1" s="1"/>
  <c r="F339" i="1"/>
  <c r="H300" i="1"/>
  <c r="H299" i="1" s="1"/>
  <c r="F340" i="1"/>
  <c r="F305" i="1"/>
  <c r="G403" i="1"/>
  <c r="F403" i="1"/>
  <c r="F150" i="1"/>
  <c r="E448" i="1"/>
  <c r="C154" i="1"/>
  <c r="F388" i="1"/>
  <c r="F389" i="1" s="1"/>
  <c r="F377" i="1"/>
  <c r="F376" i="1"/>
  <c r="C157" i="1"/>
  <c r="J150" i="1"/>
  <c r="J305" i="1"/>
  <c r="K403" i="1"/>
  <c r="H150" i="1"/>
  <c r="H305" i="1"/>
  <c r="I403" i="1"/>
  <c r="J313" i="1"/>
  <c r="K404" i="1"/>
  <c r="G123" i="1"/>
  <c r="G126" i="1"/>
  <c r="D339" i="1"/>
  <c r="F300" i="1"/>
  <c r="K405" i="1"/>
  <c r="H249" i="1"/>
  <c r="G153" i="1"/>
  <c r="I150" i="1"/>
  <c r="I305" i="1"/>
  <c r="J403" i="1"/>
  <c r="K121" i="1"/>
  <c r="H252" i="1" l="1"/>
  <c r="H251" i="1"/>
  <c r="F341" i="1"/>
  <c r="I127" i="1"/>
  <c r="I408" i="1"/>
  <c r="H312" i="1"/>
  <c r="H308" i="1" s="1"/>
  <c r="H314" i="1" s="1"/>
  <c r="I374" i="1"/>
  <c r="I369" i="1" s="1"/>
  <c r="I375" i="1" s="1"/>
  <c r="F299" i="1"/>
  <c r="D340" i="1"/>
  <c r="F312" i="1"/>
  <c r="G408" i="1"/>
  <c r="G374" i="1"/>
  <c r="G337" i="1"/>
  <c r="G253" i="1"/>
  <c r="G255" i="1" s="1"/>
  <c r="I446" i="1"/>
  <c r="L119" i="1"/>
  <c r="L121" i="1" s="1"/>
  <c r="J446" i="1" s="1"/>
  <c r="L120" i="1"/>
  <c r="G122" i="1"/>
  <c r="E341" i="1"/>
  <c r="H127" i="1"/>
  <c r="G312" i="1"/>
  <c r="G308" i="1" s="1"/>
  <c r="H374" i="1"/>
  <c r="H369" i="1" s="1"/>
  <c r="H375" i="1" s="1"/>
  <c r="H408" i="1"/>
  <c r="G151" i="1"/>
  <c r="C153" i="1"/>
  <c r="F402" i="1"/>
  <c r="F390" i="1"/>
  <c r="F391" i="1" s="1"/>
  <c r="F378" i="1"/>
  <c r="G402" i="1"/>
  <c r="G409" i="1" s="1"/>
  <c r="I402" i="1"/>
  <c r="I409" i="1" s="1"/>
  <c r="I421" i="1" s="1"/>
  <c r="F409" i="1" l="1"/>
  <c r="L405" i="1"/>
  <c r="I249" i="1"/>
  <c r="D120" i="1"/>
  <c r="F308" i="1"/>
  <c r="G127" i="1"/>
  <c r="D341" i="1"/>
  <c r="G338" i="1"/>
  <c r="G305" i="1"/>
  <c r="G150" i="1"/>
  <c r="C150" i="1" s="1"/>
  <c r="H403" i="1"/>
  <c r="I448" i="1"/>
  <c r="J448" i="1"/>
  <c r="G448" i="1"/>
  <c r="G447" i="1" s="1"/>
  <c r="G442" i="1" s="1"/>
  <c r="H448" i="1"/>
  <c r="C151" i="1"/>
  <c r="F448" i="1"/>
  <c r="F447" i="1" s="1"/>
  <c r="F442" i="1" s="1"/>
  <c r="I412" i="1"/>
  <c r="I423" i="1" s="1"/>
  <c r="K313" i="1"/>
  <c r="C313" i="1" s="1"/>
  <c r="L404" i="1"/>
  <c r="D119" i="1"/>
  <c r="G421" i="1"/>
  <c r="G412" i="1"/>
  <c r="G423" i="1" s="1"/>
  <c r="I388" i="1"/>
  <c r="I377" i="1"/>
  <c r="I390" i="1" s="1"/>
  <c r="E342" i="1"/>
  <c r="F449" i="1" s="1"/>
  <c r="E343" i="1"/>
  <c r="F450" i="1" s="1"/>
  <c r="E344" i="1"/>
  <c r="G369" i="1"/>
  <c r="F343" i="1"/>
  <c r="G450" i="1" s="1"/>
  <c r="F342" i="1"/>
  <c r="G449" i="1" s="1"/>
  <c r="F344" i="1"/>
  <c r="H377" i="1"/>
  <c r="H390" i="1" s="1"/>
  <c r="H388" i="1"/>
  <c r="H337" i="1"/>
  <c r="H338" i="1" s="1"/>
  <c r="H253" i="1"/>
  <c r="H255" i="1" s="1"/>
  <c r="F314" i="1"/>
  <c r="K126" i="1" l="1"/>
  <c r="K123" i="1"/>
  <c r="K122" i="1" s="1"/>
  <c r="H339" i="1"/>
  <c r="J300" i="1"/>
  <c r="J299" i="1" s="1"/>
  <c r="H340" i="1"/>
  <c r="H402" i="1"/>
  <c r="C403" i="1"/>
  <c r="I251" i="1"/>
  <c r="I252" i="1"/>
  <c r="C249" i="1"/>
  <c r="G299" i="1"/>
  <c r="C305" i="1"/>
  <c r="F315" i="1"/>
  <c r="D343" i="1"/>
  <c r="D342" i="1"/>
  <c r="D344" i="1"/>
  <c r="G375" i="1"/>
  <c r="J123" i="1"/>
  <c r="J126" i="1"/>
  <c r="I300" i="1"/>
  <c r="G339" i="1"/>
  <c r="G340" i="1"/>
  <c r="F421" i="1"/>
  <c r="F422" i="1" s="1"/>
  <c r="F412" i="1"/>
  <c r="F410" i="1"/>
  <c r="F423" i="1" l="1"/>
  <c r="F424" i="1" s="1"/>
  <c r="F413" i="1"/>
  <c r="E449" i="1"/>
  <c r="J314" i="1"/>
  <c r="I337" i="1"/>
  <c r="I253" i="1"/>
  <c r="C253" i="1" s="1"/>
  <c r="C251" i="1"/>
  <c r="H409" i="1"/>
  <c r="J122" i="1"/>
  <c r="E438" i="1"/>
  <c r="E434" i="1" s="1"/>
  <c r="J312" i="1"/>
  <c r="J308" i="1" s="1"/>
  <c r="K408" i="1"/>
  <c r="K374" i="1"/>
  <c r="K369" i="1" s="1"/>
  <c r="K375" i="1" s="1"/>
  <c r="E450" i="1"/>
  <c r="I299" i="1"/>
  <c r="G410" i="1"/>
  <c r="H410" i="1" s="1"/>
  <c r="I410" i="1" s="1"/>
  <c r="F416" i="1" a="1"/>
  <c r="F416" i="1" s="1"/>
  <c r="E345" i="1"/>
  <c r="F431" i="1" s="1"/>
  <c r="F345" i="1"/>
  <c r="G431" i="1" s="1"/>
  <c r="D345" i="1"/>
  <c r="E431" i="1" s="1"/>
  <c r="G422" i="1"/>
  <c r="G341" i="1"/>
  <c r="J127" i="1"/>
  <c r="H341" i="1"/>
  <c r="K127" i="1"/>
  <c r="G377" i="1"/>
  <c r="G388" i="1"/>
  <c r="G389" i="1" s="1"/>
  <c r="G376" i="1"/>
  <c r="G314" i="1"/>
  <c r="C252" i="1"/>
  <c r="J408" i="1"/>
  <c r="I312" i="1"/>
  <c r="J374" i="1"/>
  <c r="G342" i="1" l="1"/>
  <c r="G343" i="1"/>
  <c r="G344" i="1"/>
  <c r="I338" i="1"/>
  <c r="C337" i="1"/>
  <c r="E447" i="1"/>
  <c r="E442" i="1" s="1"/>
  <c r="K402" i="1"/>
  <c r="K409" i="1" s="1"/>
  <c r="K421" i="1" s="1"/>
  <c r="G315" i="1"/>
  <c r="G413" i="1"/>
  <c r="H376" i="1"/>
  <c r="I376" i="1" s="1"/>
  <c r="F383" i="1" a="1"/>
  <c r="F383" i="1" s="1"/>
  <c r="F384" i="1" a="1"/>
  <c r="F384" i="1" s="1"/>
  <c r="H389" i="1"/>
  <c r="I389" i="1" s="1"/>
  <c r="G390" i="1"/>
  <c r="G391" i="1" s="1"/>
  <c r="G378" i="1"/>
  <c r="I308" i="1"/>
  <c r="J402" i="1"/>
  <c r="C408" i="1"/>
  <c r="H343" i="1"/>
  <c r="I450" i="1" s="1"/>
  <c r="H342" i="1"/>
  <c r="I449" i="1" s="1"/>
  <c r="I447" i="1" s="1"/>
  <c r="I442" i="1" s="1"/>
  <c r="H344" i="1"/>
  <c r="K377" i="1"/>
  <c r="K390" i="1" s="1"/>
  <c r="K388" i="1"/>
  <c r="E453" i="1"/>
  <c r="E433" i="1"/>
  <c r="E452" i="1" s="1"/>
  <c r="E454" i="1"/>
  <c r="J369" i="1"/>
  <c r="C374" i="1"/>
  <c r="I255" i="1"/>
  <c r="H421" i="1"/>
  <c r="H422" i="1" s="1"/>
  <c r="H412" i="1"/>
  <c r="G424" i="1"/>
  <c r="I422" i="1" l="1"/>
  <c r="F417" i="1" a="1"/>
  <c r="F417" i="1" s="1"/>
  <c r="F438" i="1"/>
  <c r="F434" i="1" s="1"/>
  <c r="H315" i="1"/>
  <c r="H423" i="1"/>
  <c r="H424" i="1" s="1"/>
  <c r="L126" i="1"/>
  <c r="L123" i="1"/>
  <c r="I340" i="1"/>
  <c r="I339" i="1"/>
  <c r="K300" i="1"/>
  <c r="C338" i="1"/>
  <c r="G345" i="1"/>
  <c r="H431" i="1" s="1"/>
  <c r="H345" i="1"/>
  <c r="I431" i="1" s="1"/>
  <c r="K412" i="1"/>
  <c r="K423" i="1" s="1"/>
  <c r="J409" i="1"/>
  <c r="C402" i="1"/>
  <c r="J375" i="1"/>
  <c r="C369" i="1"/>
  <c r="I314" i="1"/>
  <c r="H450" i="1"/>
  <c r="H378" i="1"/>
  <c r="I378" i="1" s="1"/>
  <c r="E383" i="1" a="1"/>
  <c r="E383" i="1" s="1"/>
  <c r="H449" i="1"/>
  <c r="H447" i="1" s="1"/>
  <c r="H442" i="1" s="1"/>
  <c r="H391" i="1"/>
  <c r="I391" i="1" s="1"/>
  <c r="E384" i="1" a="1"/>
  <c r="E384" i="1" s="1"/>
  <c r="H413" i="1"/>
  <c r="I413" i="1" s="1"/>
  <c r="I424" i="1" l="1"/>
  <c r="E417" i="1" a="1"/>
  <c r="E417" i="1" s="1"/>
  <c r="I341" i="1"/>
  <c r="L127" i="1"/>
  <c r="C340" i="1"/>
  <c r="J421" i="1"/>
  <c r="J412" i="1"/>
  <c r="J410" i="1"/>
  <c r="K410" i="1" s="1"/>
  <c r="C409" i="1"/>
  <c r="J388" i="1"/>
  <c r="J389" i="1" s="1"/>
  <c r="K389" i="1" s="1"/>
  <c r="J377" i="1"/>
  <c r="C375" i="1"/>
  <c r="I315" i="1"/>
  <c r="G438" i="1"/>
  <c r="G434" i="1" s="1"/>
  <c r="J376" i="1"/>
  <c r="K376" i="1" s="1"/>
  <c r="F453" i="1"/>
  <c r="F454" i="1"/>
  <c r="F433" i="1"/>
  <c r="F452" i="1" s="1"/>
  <c r="L122" i="1"/>
  <c r="D123" i="1"/>
  <c r="D122" i="1" s="1"/>
  <c r="J378" i="1"/>
  <c r="K378" i="1" s="1"/>
  <c r="K299" i="1"/>
  <c r="C300" i="1"/>
  <c r="J422" i="1"/>
  <c r="K422" i="1" s="1"/>
  <c r="K312" i="1"/>
  <c r="L374" i="1"/>
  <c r="L369" i="1" s="1"/>
  <c r="L375" i="1" s="1"/>
  <c r="L408" i="1"/>
  <c r="C339" i="1"/>
  <c r="E416" i="1" a="1"/>
  <c r="E416" i="1" s="1"/>
  <c r="K308" i="1" l="1"/>
  <c r="C308" i="1" s="1"/>
  <c r="C312" i="1"/>
  <c r="L377" i="1"/>
  <c r="L390" i="1" s="1"/>
  <c r="L388" i="1"/>
  <c r="L389" i="1" s="1"/>
  <c r="J423" i="1"/>
  <c r="C412" i="1"/>
  <c r="L402" i="1"/>
  <c r="L409" i="1" s="1"/>
  <c r="L412" i="1" s="1"/>
  <c r="J315" i="1"/>
  <c r="H438" i="1"/>
  <c r="H434" i="1" s="1"/>
  <c r="K314" i="1"/>
  <c r="C314" i="1" s="1"/>
  <c r="C299" i="1"/>
  <c r="G453" i="1"/>
  <c r="G433" i="1"/>
  <c r="G452" i="1" s="1"/>
  <c r="G454" i="1"/>
  <c r="F386" i="1"/>
  <c r="I343" i="1"/>
  <c r="I342" i="1"/>
  <c r="C341" i="1"/>
  <c r="L376" i="1"/>
  <c r="J413" i="1"/>
  <c r="K413" i="1" s="1"/>
  <c r="F385" i="1"/>
  <c r="L378" i="1"/>
  <c r="J390" i="1"/>
  <c r="J391" i="1" s="1"/>
  <c r="K391" i="1" s="1"/>
  <c r="E385" i="1"/>
  <c r="E386" i="1"/>
  <c r="C377" i="1"/>
  <c r="J424" i="1"/>
  <c r="K424" i="1" s="1"/>
  <c r="L423" i="1" l="1"/>
  <c r="L424" i="1" s="1"/>
  <c r="E418" i="1"/>
  <c r="E419" i="1"/>
  <c r="I438" i="1"/>
  <c r="I434" i="1" s="1"/>
  <c r="K315" i="1"/>
  <c r="J438" i="1" s="1"/>
  <c r="J434" i="1" s="1"/>
  <c r="J450" i="1"/>
  <c r="C343" i="1"/>
  <c r="J449" i="1"/>
  <c r="J447" i="1" s="1"/>
  <c r="J442" i="1" s="1"/>
  <c r="C342" i="1"/>
  <c r="C344" i="1" s="1"/>
  <c r="I344" i="1"/>
  <c r="I345" i="1" s="1"/>
  <c r="J431" i="1" s="1"/>
  <c r="L391" i="1"/>
  <c r="L421" i="1"/>
  <c r="L422" i="1" s="1"/>
  <c r="F418" i="1"/>
  <c r="F419" i="1"/>
  <c r="L410" i="1"/>
  <c r="L413" i="1"/>
  <c r="H433" i="1"/>
  <c r="H452" i="1" s="1"/>
  <c r="H453" i="1"/>
  <c r="H454" i="1"/>
  <c r="I454" i="1" l="1"/>
  <c r="I433" i="1"/>
  <c r="I452" i="1" s="1"/>
  <c r="I453" i="1"/>
  <c r="J454" i="1"/>
  <c r="J433" i="1"/>
  <c r="J452" i="1" s="1"/>
  <c r="J453" i="1"/>
</calcChain>
</file>

<file path=xl/sharedStrings.xml><?xml version="1.0" encoding="utf-8"?>
<sst xmlns="http://schemas.openxmlformats.org/spreadsheetml/2006/main" count="569" uniqueCount="287">
  <si>
    <t>projectname</t>
  </si>
  <si>
    <t>缺失</t>
  </si>
  <si>
    <t>projectplace</t>
  </si>
  <si>
    <t>示例</t>
  </si>
  <si>
    <t>projectind</t>
  </si>
  <si>
    <t>input1</t>
  </si>
  <si>
    <t>input2</t>
  </si>
  <si>
    <t>productionloads</t>
  </si>
  <si>
    <t>benchmarkyield</t>
  </si>
  <si>
    <t>benchmark_s_paybackperiod</t>
  </si>
  <si>
    <t>4.5</t>
  </si>
  <si>
    <t>benchmark_d_paybackperiod</t>
  </si>
  <si>
    <t>5</t>
  </si>
  <si>
    <t>install_rate</t>
  </si>
  <si>
    <t>trans_rate</t>
  </si>
  <si>
    <t>pre_rate</t>
  </si>
  <si>
    <t>preup_rate</t>
  </si>
  <si>
    <t>建设投资年度投资占比</t>
  </si>
  <si>
    <t>1</t>
  </si>
  <si>
    <t>建设投资资金筹措计划（万元）</t>
  </si>
  <si>
    <t>2</t>
  </si>
  <si>
    <t>附表2流动资金估算</t>
  </si>
  <si>
    <t>工程费用基础数据</t>
  </si>
  <si>
    <t>days1</t>
  </si>
  <si>
    <t>60</t>
  </si>
  <si>
    <t>主要项目</t>
  </si>
  <si>
    <t>9000</t>
  </si>
  <si>
    <t>400</t>
  </si>
  <si>
    <t>days2</t>
  </si>
  <si>
    <t>30</t>
  </si>
  <si>
    <t>辅助项目</t>
  </si>
  <si>
    <t>2000</t>
  </si>
  <si>
    <t>days3</t>
  </si>
  <si>
    <t>3</t>
  </si>
  <si>
    <t>公共工程</t>
  </si>
  <si>
    <t>1000</t>
  </si>
  <si>
    <t>days4</t>
  </si>
  <si>
    <t>20</t>
  </si>
  <si>
    <t>4</t>
  </si>
  <si>
    <t>环境工程</t>
  </si>
  <si>
    <t>days5</t>
  </si>
  <si>
    <t>其它费用基础数据</t>
  </si>
  <si>
    <t>days6</t>
  </si>
  <si>
    <t>土地征用费</t>
  </si>
  <si>
    <t>days7</t>
  </si>
  <si>
    <t>开办费</t>
  </si>
  <si>
    <t>days8</t>
  </si>
  <si>
    <t>专利技术使用费</t>
  </si>
  <si>
    <t>days9</t>
  </si>
  <si>
    <t>附表3：借款还本付息表基础数据</t>
  </si>
  <si>
    <t>长期借款利率</t>
  </si>
  <si>
    <t>还款方式</t>
  </si>
  <si>
    <t>等额本金</t>
  </si>
  <si>
    <t>还款年限</t>
  </si>
  <si>
    <t>depreciationMethod</t>
  </si>
  <si>
    <t>residualValue</t>
  </si>
  <si>
    <t>dep_year2</t>
  </si>
  <si>
    <t>dep_year1</t>
  </si>
  <si>
    <t>dep_year3</t>
  </si>
  <si>
    <t>res_rate2</t>
  </si>
  <si>
    <t>res_rate1</t>
  </si>
  <si>
    <t>amo_year1</t>
  </si>
  <si>
    <t>amo_year2</t>
  </si>
  <si>
    <t>production1</t>
  </si>
  <si>
    <t>production2</t>
  </si>
  <si>
    <t>production3</t>
  </si>
  <si>
    <t>production4</t>
  </si>
  <si>
    <t>production5</t>
  </si>
  <si>
    <t>production6</t>
  </si>
  <si>
    <t>production7</t>
  </si>
  <si>
    <t>production8</t>
  </si>
  <si>
    <t>production9</t>
  </si>
  <si>
    <t>production10</t>
  </si>
  <si>
    <t>production11</t>
  </si>
  <si>
    <t>production12</t>
  </si>
  <si>
    <t>production13</t>
  </si>
  <si>
    <t>production14</t>
  </si>
  <si>
    <t>production15</t>
  </si>
  <si>
    <t>production16</t>
  </si>
  <si>
    <t>附表1 : 建设投资估算表</t>
  </si>
  <si>
    <t>单位：万元</t>
  </si>
  <si>
    <t>序号</t>
  </si>
  <si>
    <t>工程或费用名称</t>
  </si>
  <si>
    <t>建筑工程</t>
  </si>
  <si>
    <t>设备工程</t>
  </si>
  <si>
    <t>安装工程</t>
  </si>
  <si>
    <t>其他费用</t>
  </si>
  <si>
    <t>合计</t>
  </si>
  <si>
    <t>占总值比</t>
  </si>
  <si>
    <t>第一部分：工程费用</t>
  </si>
  <si>
    <t>1.1</t>
  </si>
  <si>
    <t>1.2</t>
  </si>
  <si>
    <t>1.3</t>
  </si>
  <si>
    <t>1.4</t>
  </si>
  <si>
    <t>第二部分：其他费用</t>
  </si>
  <si>
    <t>2.1</t>
  </si>
  <si>
    <t>2.2</t>
  </si>
  <si>
    <t>2.3</t>
  </si>
  <si>
    <t>第一、二部分费用合计</t>
  </si>
  <si>
    <t>预备费用</t>
  </si>
  <si>
    <t>3.1</t>
  </si>
  <si>
    <t>基本预备费</t>
  </si>
  <si>
    <t>3.2</t>
  </si>
  <si>
    <t>涨价预备费</t>
  </si>
  <si>
    <t>建设投资合计（1+2+3）</t>
  </si>
  <si>
    <t>附表2：流动资金估算</t>
  </si>
  <si>
    <t>项目</t>
  </si>
  <si>
    <t>最低周转天数</t>
  </si>
  <si>
    <t>最低周转次数</t>
  </si>
  <si>
    <t>投产期</t>
  </si>
  <si>
    <t>达产期</t>
  </si>
  <si>
    <t>流动资产</t>
  </si>
  <si>
    <t>应收帐款</t>
  </si>
  <si>
    <t>存   货</t>
  </si>
  <si>
    <t>1.2.1</t>
  </si>
  <si>
    <t>原材料</t>
  </si>
  <si>
    <t>1.2.2</t>
  </si>
  <si>
    <t>燃料动力</t>
  </si>
  <si>
    <t>1.2.3</t>
  </si>
  <si>
    <t>在产品</t>
  </si>
  <si>
    <t>1.2.4</t>
  </si>
  <si>
    <t>产成品</t>
  </si>
  <si>
    <t>现 金</t>
  </si>
  <si>
    <t>流动负债</t>
  </si>
  <si>
    <t>应付帐款</t>
  </si>
  <si>
    <t>流动资金</t>
  </si>
  <si>
    <t>流动资金本年增加额</t>
  </si>
  <si>
    <t>流动资金借款（本年）</t>
  </si>
  <si>
    <t>6</t>
  </si>
  <si>
    <t>流动资金利息</t>
  </si>
  <si>
    <t>附表3：借款还本付息表</t>
  </si>
  <si>
    <t>利率</t>
  </si>
  <si>
    <t>建设期</t>
  </si>
  <si>
    <t>借款及还本付息</t>
  </si>
  <si>
    <t>年初借款本息和</t>
  </si>
  <si>
    <t>当期借款</t>
  </si>
  <si>
    <t>当期应计利息</t>
  </si>
  <si>
    <t>当期还本付息</t>
  </si>
  <si>
    <t>1.4.1</t>
  </si>
  <si>
    <t>其中：还本</t>
  </si>
  <si>
    <t>1.4.2</t>
  </si>
  <si>
    <t>付息</t>
  </si>
  <si>
    <t>1.5</t>
  </si>
  <si>
    <t>期末借款余额</t>
  </si>
  <si>
    <t>偿还借款本金资金来源</t>
  </si>
  <si>
    <t>利润</t>
  </si>
  <si>
    <t>折旧</t>
  </si>
  <si>
    <t>摊销</t>
  </si>
  <si>
    <t>利息备付率</t>
  </si>
  <si>
    <t>偿债备付率</t>
  </si>
  <si>
    <t>附表4：投资使用计划与资金筹措表</t>
  </si>
  <si>
    <t>资金总额</t>
  </si>
  <si>
    <t>建设投资</t>
  </si>
  <si>
    <t>建设期利息</t>
  </si>
  <si>
    <t>资金筹措</t>
  </si>
  <si>
    <t>项目资本金</t>
  </si>
  <si>
    <t>2.1.1</t>
  </si>
  <si>
    <t>用于建设投资</t>
  </si>
  <si>
    <t>2.1.2</t>
  </si>
  <si>
    <t>用于流动资金</t>
  </si>
  <si>
    <t>债务资金</t>
  </si>
  <si>
    <t>2.2.1</t>
  </si>
  <si>
    <t>2.2.2</t>
  </si>
  <si>
    <t>用于建设期利息</t>
  </si>
  <si>
    <t>2.2.3</t>
  </si>
  <si>
    <t>附表5：固定资产折旧估算表</t>
  </si>
  <si>
    <t>原值</t>
  </si>
  <si>
    <t>折旧年限</t>
  </si>
  <si>
    <t>残值率</t>
  </si>
  <si>
    <t>折旧费</t>
  </si>
  <si>
    <t>净值</t>
  </si>
  <si>
    <t>3.3</t>
  </si>
  <si>
    <t>固定资产合计</t>
  </si>
  <si>
    <t>4.1</t>
  </si>
  <si>
    <t>4.2</t>
  </si>
  <si>
    <t>4.3</t>
  </si>
  <si>
    <t>备注</t>
  </si>
  <si>
    <t>建筑工程包含预备费和建设期利息</t>
  </si>
  <si>
    <t>设备工程包含安装工程费</t>
  </si>
  <si>
    <t>附表6：无形资产及其他资产摊销表</t>
  </si>
  <si>
    <t>摊销年限</t>
  </si>
  <si>
    <t>无形资产</t>
  </si>
  <si>
    <t>摊销费</t>
  </si>
  <si>
    <t>其他资产</t>
  </si>
  <si>
    <t>无形资产及其他资产合计</t>
  </si>
  <si>
    <t>摊销合计</t>
  </si>
  <si>
    <t>净值合计</t>
  </si>
  <si>
    <t>附表7：总成本费用估算表</t>
  </si>
  <si>
    <t>生产负荷（%）</t>
  </si>
  <si>
    <t>外购原材料</t>
  </si>
  <si>
    <t>外购燃料动力</t>
  </si>
  <si>
    <t>工资及福利费</t>
  </si>
  <si>
    <t>修理费</t>
  </si>
  <si>
    <t>7</t>
  </si>
  <si>
    <t>利息支出</t>
  </si>
  <si>
    <t>8</t>
  </si>
  <si>
    <t>9</t>
  </si>
  <si>
    <t>总成本费用</t>
  </si>
  <si>
    <t>9.1</t>
  </si>
  <si>
    <t>固定成本</t>
  </si>
  <si>
    <t>9.2</t>
  </si>
  <si>
    <t>可变成本</t>
  </si>
  <si>
    <t>9.3</t>
  </si>
  <si>
    <t>经营成本</t>
  </si>
  <si>
    <t>10</t>
  </si>
  <si>
    <t>盈亏平衡点（%）</t>
  </si>
  <si>
    <t>附表8：营业收入、营业税金及附加表</t>
  </si>
  <si>
    <t>营业收入</t>
  </si>
  <si>
    <t>营业税金及附加</t>
  </si>
  <si>
    <t>增值税（17%）</t>
  </si>
  <si>
    <t>城市维护建设税（4%）</t>
  </si>
  <si>
    <t>教育费附加（2%）</t>
  </si>
  <si>
    <t>附表9：资金来源与运用表1</t>
  </si>
  <si>
    <t>资金来源</t>
  </si>
  <si>
    <t>利润总额</t>
  </si>
  <si>
    <t>长期借款</t>
  </si>
  <si>
    <t>流动资金借款</t>
  </si>
  <si>
    <t>1.6</t>
  </si>
  <si>
    <t>自有资金</t>
  </si>
  <si>
    <t>1.7</t>
  </si>
  <si>
    <t>回收固定资产余值</t>
  </si>
  <si>
    <t>1.8</t>
  </si>
  <si>
    <t>回收流动资金</t>
  </si>
  <si>
    <t>资金应用</t>
  </si>
  <si>
    <t>2.4</t>
  </si>
  <si>
    <t>所得税</t>
  </si>
  <si>
    <t>2.6</t>
  </si>
  <si>
    <t>长期借款本金偿还</t>
  </si>
  <si>
    <t>盈余资金</t>
  </si>
  <si>
    <t>累计盈余资金</t>
  </si>
  <si>
    <t>附表10：损益表</t>
  </si>
  <si>
    <t>利润总额（1-2-3）</t>
  </si>
  <si>
    <t>税后利润（4-5）</t>
  </si>
  <si>
    <t>可供分配利润</t>
  </si>
  <si>
    <t>7.1</t>
  </si>
  <si>
    <t>盈余公积金</t>
  </si>
  <si>
    <t>7.2</t>
  </si>
  <si>
    <t>盈余公益金</t>
  </si>
  <si>
    <t>7.3</t>
  </si>
  <si>
    <t>未分配利润(7-7.1-7.2)</t>
  </si>
  <si>
    <t>累计未分配利润</t>
  </si>
  <si>
    <t>附表11-1：现金流量表（全部投资)</t>
  </si>
  <si>
    <t>现金流入</t>
  </si>
  <si>
    <t>现金流出</t>
  </si>
  <si>
    <t>2.5</t>
  </si>
  <si>
    <t>净现金流量</t>
  </si>
  <si>
    <t>累计现金流量</t>
  </si>
  <si>
    <t>所得税前净现金流量</t>
  </si>
  <si>
    <t>所得税前累计净现金流量</t>
  </si>
  <si>
    <t>指标计算</t>
  </si>
  <si>
    <t>税前</t>
  </si>
  <si>
    <t>税后</t>
  </si>
  <si>
    <t>静态回收期（年）</t>
  </si>
  <si>
    <t>（从建设期算起）</t>
  </si>
  <si>
    <t>动态回收期（年）</t>
  </si>
  <si>
    <t>内部收益率</t>
  </si>
  <si>
    <t>净现值（万元）</t>
  </si>
  <si>
    <t>附表11-2：现金流量表（自有资金)</t>
  </si>
  <si>
    <t>借款本金偿还</t>
  </si>
  <si>
    <t>借款利息支付</t>
  </si>
  <si>
    <t>所得税前</t>
  </si>
  <si>
    <t>附表12：资产负债表</t>
  </si>
  <si>
    <t>资产</t>
  </si>
  <si>
    <t>流动资产总额</t>
  </si>
  <si>
    <t>1.1.1</t>
  </si>
  <si>
    <t>1.1.2</t>
  </si>
  <si>
    <t>存货</t>
  </si>
  <si>
    <t>1.1.3</t>
  </si>
  <si>
    <t>现金</t>
  </si>
  <si>
    <t>1.1.4</t>
  </si>
  <si>
    <t>固定资产净值</t>
  </si>
  <si>
    <t>无形及递延资产净值</t>
  </si>
  <si>
    <t>在建工程</t>
  </si>
  <si>
    <t>负债及所有者权益</t>
  </si>
  <si>
    <t>流动负债总额</t>
  </si>
  <si>
    <t>所有者权益</t>
  </si>
  <si>
    <t>2.3.1</t>
  </si>
  <si>
    <t>累计资本金</t>
  </si>
  <si>
    <t>2.3.2</t>
  </si>
  <si>
    <t>累计盈余公积金</t>
  </si>
  <si>
    <t>2.3.3</t>
  </si>
  <si>
    <t>累计盈余公益金</t>
  </si>
  <si>
    <t>2.3.4</t>
  </si>
  <si>
    <t>计算指标</t>
  </si>
  <si>
    <t>资产负债率</t>
  </si>
  <si>
    <t>流动比率</t>
  </si>
  <si>
    <t>速动比率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</si>
</sst>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4"/>
  <sheetViews>
    <sheetView tabSelected="1" workbookViewId="0">
      <selection activeCell="G27" sqref="G27"/>
    </sheetView>
  </sheetViews>
  <sheetFormatPr defaultRowHeight="13.5" x14ac:dyDescent="0.15"/>
  <sheetData>
    <row r="1" spans="1:12" x14ac:dyDescent="0.15">
      <c r="A1" s="1">
        <v>1</v>
      </c>
      <c r="B1" s="1" t="s">
        <v>0</v>
      </c>
      <c r="C1" s="1" t="s">
        <v>1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15">
      <c r="A2" s="1">
        <v>2</v>
      </c>
      <c r="B2" s="1" t="s">
        <v>2</v>
      </c>
      <c r="C2" s="1" t="s">
        <v>3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15">
      <c r="A3" s="1">
        <v>3</v>
      </c>
      <c r="B3" s="1" t="s">
        <v>4</v>
      </c>
      <c r="C3" s="1" t="s">
        <v>3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15">
      <c r="A4" s="1">
        <v>4</v>
      </c>
      <c r="B4" s="1" t="s">
        <v>5</v>
      </c>
      <c r="C4" s="1">
        <v>8</v>
      </c>
      <c r="D4" s="1"/>
      <c r="E4" s="1"/>
      <c r="F4" s="1"/>
      <c r="G4" s="1"/>
      <c r="H4" s="1"/>
      <c r="I4" s="1"/>
      <c r="J4" s="1"/>
      <c r="K4" s="1"/>
      <c r="L4" s="1"/>
    </row>
    <row r="5" spans="1:12" x14ac:dyDescent="0.15">
      <c r="A5" s="1">
        <v>5</v>
      </c>
      <c r="B5" s="1" t="s">
        <v>6</v>
      </c>
      <c r="C5" s="1">
        <v>2</v>
      </c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A6" s="1">
        <v>6</v>
      </c>
      <c r="B6" s="1" t="s">
        <v>7</v>
      </c>
      <c r="C6" s="1">
        <v>0.6</v>
      </c>
      <c r="D6" s="1">
        <v>0.8</v>
      </c>
      <c r="E6" s="1">
        <v>1</v>
      </c>
      <c r="F6" s="1">
        <v>1</v>
      </c>
      <c r="G6" s="1">
        <v>1</v>
      </c>
      <c r="H6" s="1">
        <v>1</v>
      </c>
      <c r="I6" s="1"/>
      <c r="J6" s="1"/>
      <c r="K6" s="1"/>
      <c r="L6" s="1"/>
    </row>
    <row r="7" spans="1:12" x14ac:dyDescent="0.15">
      <c r="A7" s="1">
        <v>7</v>
      </c>
      <c r="B7" s="1" t="s">
        <v>8</v>
      </c>
      <c r="C7" s="1">
        <v>0.1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15">
      <c r="A8" s="1">
        <v>8</v>
      </c>
      <c r="B8" s="1" t="s">
        <v>9</v>
      </c>
      <c r="C8" s="1" t="s">
        <v>10</v>
      </c>
      <c r="D8" s="1"/>
      <c r="E8" s="1"/>
      <c r="F8" s="1"/>
      <c r="G8" s="1"/>
      <c r="H8" s="1"/>
      <c r="I8" s="1"/>
      <c r="J8" s="1"/>
      <c r="K8" s="1"/>
      <c r="L8" s="1"/>
    </row>
    <row r="9" spans="1:12" x14ac:dyDescent="0.15">
      <c r="A9" s="1">
        <v>9</v>
      </c>
      <c r="B9" s="1" t="s">
        <v>11</v>
      </c>
      <c r="C9" s="1" t="s">
        <v>12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>
        <v>10</v>
      </c>
      <c r="B10" s="1" t="s">
        <v>13</v>
      </c>
      <c r="C10" s="1">
        <v>0.1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15">
      <c r="A11" s="1">
        <v>11</v>
      </c>
      <c r="B11" s="1" t="s">
        <v>14</v>
      </c>
      <c r="C11" s="1">
        <v>0.05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15">
      <c r="A12" s="1">
        <v>12</v>
      </c>
      <c r="B12" s="1" t="s">
        <v>15</v>
      </c>
      <c r="C12" s="1">
        <v>0.08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15">
      <c r="A13" s="1">
        <v>13</v>
      </c>
      <c r="B13" s="1" t="s">
        <v>16</v>
      </c>
      <c r="C13" s="1">
        <v>0.09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15">
      <c r="A14" s="1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15">
      <c r="A15" s="1"/>
      <c r="B15" s="1" t="s">
        <v>18</v>
      </c>
      <c r="C15" s="1">
        <v>2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15">
      <c r="A16" s="1"/>
      <c r="B16" s="1">
        <v>0.46</v>
      </c>
      <c r="C16" s="1">
        <v>0.54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15">
      <c r="A17" s="1" t="s">
        <v>19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15">
      <c r="A18" s="1"/>
      <c r="B18" s="1" t="s">
        <v>18</v>
      </c>
      <c r="C18" s="1" t="s">
        <v>20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15">
      <c r="A19" s="1"/>
      <c r="B19" s="1">
        <v>0.55000000000000004</v>
      </c>
      <c r="C19" s="1">
        <v>0.45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15">
      <c r="A20" s="1"/>
      <c r="B20" s="1">
        <f>1-B19</f>
        <v>0.44999999999999996</v>
      </c>
      <c r="C20" s="1">
        <f>1-C19</f>
        <v>0.55000000000000004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15">
      <c r="A21" s="1" t="s">
        <v>21</v>
      </c>
      <c r="B21" s="1"/>
      <c r="C21" s="1"/>
      <c r="D21" s="1"/>
      <c r="E21" s="1" t="s">
        <v>22</v>
      </c>
      <c r="F21" s="1"/>
      <c r="G21" s="1"/>
      <c r="H21" s="1"/>
      <c r="I21" s="1"/>
      <c r="J21" s="1"/>
      <c r="K21" s="1"/>
      <c r="L21" s="1"/>
    </row>
    <row r="22" spans="1:12" x14ac:dyDescent="0.15">
      <c r="A22" s="1">
        <v>22</v>
      </c>
      <c r="B22" s="1" t="s">
        <v>23</v>
      </c>
      <c r="C22" s="1" t="s">
        <v>24</v>
      </c>
      <c r="D22" s="1"/>
      <c r="E22" s="1" t="s">
        <v>18</v>
      </c>
      <c r="F22" s="1" t="s">
        <v>25</v>
      </c>
      <c r="G22" s="1">
        <f>J22*K22 / 10000</f>
        <v>360</v>
      </c>
      <c r="H22" s="1">
        <v>800</v>
      </c>
      <c r="I22" s="1">
        <f>H22*C10*(1-C11)</f>
        <v>76</v>
      </c>
      <c r="J22" s="1" t="s">
        <v>26</v>
      </c>
      <c r="K22" s="1" t="s">
        <v>27</v>
      </c>
      <c r="L22" s="1"/>
    </row>
    <row r="23" spans="1:12" x14ac:dyDescent="0.15">
      <c r="A23" s="1">
        <v>23</v>
      </c>
      <c r="B23" s="1" t="s">
        <v>28</v>
      </c>
      <c r="C23" s="1" t="s">
        <v>29</v>
      </c>
      <c r="D23" s="1"/>
      <c r="E23" s="1" t="s">
        <v>20</v>
      </c>
      <c r="F23" s="1" t="s">
        <v>30</v>
      </c>
      <c r="G23" s="1">
        <f>J23*K23 / 10000</f>
        <v>80</v>
      </c>
      <c r="H23" s="1">
        <v>280</v>
      </c>
      <c r="I23" s="1">
        <f>H23*C10*(1-C11)</f>
        <v>26.599999999999998</v>
      </c>
      <c r="J23" s="1" t="s">
        <v>31</v>
      </c>
      <c r="K23" s="1" t="s">
        <v>27</v>
      </c>
      <c r="L23" s="1"/>
    </row>
    <row r="24" spans="1:12" x14ac:dyDescent="0.15">
      <c r="A24" s="1">
        <v>24</v>
      </c>
      <c r="B24" s="1" t="s">
        <v>32</v>
      </c>
      <c r="C24" s="1" t="s">
        <v>29</v>
      </c>
      <c r="D24" s="1"/>
      <c r="E24" s="1" t="s">
        <v>33</v>
      </c>
      <c r="F24" s="1" t="s">
        <v>34</v>
      </c>
      <c r="G24" s="1">
        <f>J24*K24 / 10000</f>
        <v>40</v>
      </c>
      <c r="H24" s="1">
        <v>444</v>
      </c>
      <c r="I24" s="1">
        <f>H24*C10*(1-C11)</f>
        <v>42.180000000000007</v>
      </c>
      <c r="J24" s="1" t="s">
        <v>35</v>
      </c>
      <c r="K24" s="1" t="s">
        <v>27</v>
      </c>
      <c r="L24" s="1"/>
    </row>
    <row r="25" spans="1:12" x14ac:dyDescent="0.15">
      <c r="A25" s="1">
        <v>25</v>
      </c>
      <c r="B25" s="1" t="s">
        <v>36</v>
      </c>
      <c r="C25" s="1" t="s">
        <v>37</v>
      </c>
      <c r="D25" s="1"/>
      <c r="E25" s="1" t="s">
        <v>38</v>
      </c>
      <c r="F25" s="1" t="s">
        <v>39</v>
      </c>
      <c r="G25" s="1">
        <f>J25*K25 / 10000</f>
        <v>40</v>
      </c>
      <c r="H25" s="1">
        <v>33</v>
      </c>
      <c r="I25" s="1">
        <f>H25*C10*(1-C11)</f>
        <v>3.1350000000000002</v>
      </c>
      <c r="J25" s="1" t="s">
        <v>35</v>
      </c>
      <c r="K25" s="1" t="s">
        <v>27</v>
      </c>
      <c r="L25" s="1"/>
    </row>
    <row r="26" spans="1:12" x14ac:dyDescent="0.15">
      <c r="A26" s="1">
        <v>26</v>
      </c>
      <c r="B26" s="1" t="s">
        <v>40</v>
      </c>
      <c r="C26" s="1" t="s">
        <v>29</v>
      </c>
      <c r="D26" s="1"/>
      <c r="E26" s="1" t="s">
        <v>41</v>
      </c>
      <c r="F26" s="1"/>
      <c r="G26" s="1"/>
      <c r="H26" s="1"/>
      <c r="I26" s="1"/>
      <c r="J26" s="1"/>
      <c r="K26" s="1"/>
      <c r="L26" s="1"/>
    </row>
    <row r="27" spans="1:12" x14ac:dyDescent="0.15">
      <c r="A27" s="1">
        <v>27</v>
      </c>
      <c r="B27" s="1" t="s">
        <v>42</v>
      </c>
      <c r="C27" s="1" t="s">
        <v>29</v>
      </c>
      <c r="D27" s="1"/>
      <c r="E27" s="1" t="s">
        <v>18</v>
      </c>
      <c r="F27" s="1" t="s">
        <v>43</v>
      </c>
      <c r="G27" s="1">
        <v>4555</v>
      </c>
      <c r="H27" s="1"/>
      <c r="I27" s="1"/>
      <c r="J27" s="1"/>
      <c r="K27" s="1"/>
      <c r="L27" s="1"/>
    </row>
    <row r="28" spans="1:12" x14ac:dyDescent="0.15">
      <c r="A28" s="1">
        <v>28</v>
      </c>
      <c r="B28" s="1" t="s">
        <v>44</v>
      </c>
      <c r="C28" s="1" t="s">
        <v>24</v>
      </c>
      <c r="D28" s="1"/>
      <c r="E28" s="1" t="s">
        <v>20</v>
      </c>
      <c r="F28" s="1" t="s">
        <v>45</v>
      </c>
      <c r="G28" s="1">
        <v>900</v>
      </c>
      <c r="H28" s="1"/>
      <c r="I28" s="1"/>
      <c r="J28" s="1"/>
      <c r="K28" s="1"/>
      <c r="L28" s="1"/>
    </row>
    <row r="29" spans="1:12" x14ac:dyDescent="0.15">
      <c r="A29" s="1">
        <v>29</v>
      </c>
      <c r="B29" s="1" t="s">
        <v>46</v>
      </c>
      <c r="C29" s="1">
        <v>0.04</v>
      </c>
      <c r="D29" s="1"/>
      <c r="E29" s="1" t="s">
        <v>33</v>
      </c>
      <c r="F29" s="1" t="s">
        <v>47</v>
      </c>
      <c r="G29" s="1">
        <v>2222</v>
      </c>
      <c r="H29" s="1"/>
      <c r="I29" s="1"/>
      <c r="J29" s="1"/>
      <c r="K29" s="1"/>
      <c r="L29" s="1"/>
    </row>
    <row r="30" spans="1:12" x14ac:dyDescent="0.15">
      <c r="A30" s="1">
        <v>30</v>
      </c>
      <c r="B30" s="1" t="s">
        <v>48</v>
      </c>
      <c r="C30" s="1">
        <v>0.7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15">
      <c r="A32" s="1" t="s">
        <v>49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15">
      <c r="A33" s="1"/>
      <c r="B33" s="1" t="s">
        <v>50</v>
      </c>
      <c r="C33" s="1">
        <v>0.05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15">
      <c r="A34" s="1"/>
      <c r="B34" s="1" t="s">
        <v>51</v>
      </c>
      <c r="C34" s="1" t="s">
        <v>52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15">
      <c r="A35" s="1"/>
      <c r="B35" s="1" t="s">
        <v>53</v>
      </c>
      <c r="C35" s="1">
        <v>4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15">
      <c r="A36" s="1"/>
      <c r="B36" s="1" t="s">
        <v>54</v>
      </c>
      <c r="C36" s="1" t="s">
        <v>55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15">
      <c r="A37" s="1"/>
      <c r="B37" s="1" t="s">
        <v>56</v>
      </c>
      <c r="C37" s="1">
        <v>10</v>
      </c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15">
      <c r="A38" s="1"/>
      <c r="B38" s="1" t="s">
        <v>57</v>
      </c>
      <c r="C38" s="1">
        <v>10</v>
      </c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15">
      <c r="A39" s="1"/>
      <c r="B39" s="1" t="s">
        <v>58</v>
      </c>
      <c r="C39" s="1">
        <v>10</v>
      </c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15">
      <c r="A40" s="1"/>
      <c r="B40" s="1" t="s">
        <v>59</v>
      </c>
      <c r="C40" s="1">
        <v>0.1</v>
      </c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 t="s">
        <v>60</v>
      </c>
      <c r="C41" s="1">
        <v>0.1</v>
      </c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 t="s">
        <v>61</v>
      </c>
      <c r="C42" s="1">
        <v>4</v>
      </c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15">
      <c r="A43" s="1"/>
      <c r="B43" s="1" t="s">
        <v>62</v>
      </c>
      <c r="C43" s="1">
        <v>4</v>
      </c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15">
      <c r="A44" s="1"/>
      <c r="B44" s="1" t="s">
        <v>63</v>
      </c>
      <c r="C44" s="1">
        <v>100</v>
      </c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15">
      <c r="A45" s="1"/>
      <c r="B45" s="1" t="s">
        <v>64</v>
      </c>
      <c r="C45" s="1">
        <v>60</v>
      </c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15">
      <c r="A46" s="1"/>
      <c r="B46" s="1" t="s">
        <v>65</v>
      </c>
      <c r="C46" s="1">
        <v>100</v>
      </c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15">
      <c r="A47" s="1"/>
      <c r="B47" s="1" t="s">
        <v>66</v>
      </c>
      <c r="C47" s="1">
        <v>3</v>
      </c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15">
      <c r="A48" s="1"/>
      <c r="B48" s="1" t="s">
        <v>67</v>
      </c>
      <c r="C48" s="1">
        <v>100</v>
      </c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15">
      <c r="A49" s="1"/>
      <c r="B49" s="1" t="s">
        <v>68</v>
      </c>
      <c r="C49" s="1">
        <v>10</v>
      </c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15">
      <c r="A50" s="1"/>
      <c r="B50" s="1" t="s">
        <v>69</v>
      </c>
      <c r="C50" s="1">
        <v>0.2</v>
      </c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15">
      <c r="A51" s="1"/>
      <c r="B51" s="1" t="s">
        <v>70</v>
      </c>
      <c r="C51" s="1">
        <v>0.05</v>
      </c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15">
      <c r="A52" s="1"/>
      <c r="B52" s="1" t="s">
        <v>71</v>
      </c>
      <c r="C52" s="1">
        <v>150</v>
      </c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15">
      <c r="A53" s="1"/>
      <c r="B53" s="1" t="s">
        <v>72</v>
      </c>
      <c r="C53" s="1">
        <v>140</v>
      </c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15">
      <c r="A54" s="1"/>
      <c r="B54" s="1" t="s">
        <v>73</v>
      </c>
      <c r="C54" s="1">
        <v>0.17</v>
      </c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15">
      <c r="A55" s="1"/>
      <c r="B55" s="1" t="s">
        <v>74</v>
      </c>
      <c r="C55" s="1">
        <v>0.04</v>
      </c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15">
      <c r="A56" s="1"/>
      <c r="B56" s="1" t="s">
        <v>75</v>
      </c>
      <c r="C56" s="1">
        <v>0.02</v>
      </c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15">
      <c r="A57" s="1"/>
      <c r="B57" s="1" t="s">
        <v>76</v>
      </c>
      <c r="C57" s="1">
        <v>0.25</v>
      </c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15">
      <c r="A58" s="1"/>
      <c r="B58" s="1" t="s">
        <v>77</v>
      </c>
      <c r="C58" s="1">
        <v>0.1</v>
      </c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15">
      <c r="A59" s="1"/>
      <c r="B59" s="1" t="s">
        <v>78</v>
      </c>
      <c r="C59" s="1">
        <v>0.1</v>
      </c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15">
      <c r="A62" s="3" t="s">
        <v>79</v>
      </c>
      <c r="B62" s="3"/>
      <c r="C62" s="3"/>
      <c r="D62" s="3"/>
      <c r="E62" s="3"/>
      <c r="F62" s="3"/>
      <c r="G62" s="3"/>
      <c r="H62" s="1" t="s">
        <v>80</v>
      </c>
      <c r="I62" s="1"/>
      <c r="J62" s="1"/>
      <c r="K62" s="1"/>
      <c r="L62" s="1"/>
    </row>
    <row r="63" spans="1:12" x14ac:dyDescent="0.15">
      <c r="A63" s="1" t="s">
        <v>81</v>
      </c>
      <c r="B63" s="1" t="s">
        <v>82</v>
      </c>
      <c r="C63" s="1" t="s">
        <v>83</v>
      </c>
      <c r="D63" s="1" t="s">
        <v>84</v>
      </c>
      <c r="E63" s="1" t="s">
        <v>85</v>
      </c>
      <c r="F63" s="1" t="s">
        <v>86</v>
      </c>
      <c r="G63" s="1" t="s">
        <v>87</v>
      </c>
      <c r="H63" s="1" t="s">
        <v>88</v>
      </c>
      <c r="I63" s="1"/>
      <c r="J63" s="1"/>
      <c r="K63" s="1"/>
      <c r="L63" s="1"/>
    </row>
    <row r="64" spans="1:12" x14ac:dyDescent="0.15">
      <c r="A64" s="1" t="s">
        <v>18</v>
      </c>
      <c r="B64" s="1" t="s">
        <v>89</v>
      </c>
      <c r="C64" s="1">
        <f>SUM(C65:C68)</f>
        <v>520</v>
      </c>
      <c r="D64" s="1">
        <f>SUM(D65:D68)</f>
        <v>1557</v>
      </c>
      <c r="E64" s="1">
        <f>SUM(E65:E68)</f>
        <v>147.91499999999999</v>
      </c>
      <c r="F64" s="1"/>
      <c r="G64" s="1">
        <f>SUM(G65:G68)</f>
        <v>2224.915</v>
      </c>
      <c r="H64" s="2">
        <f>G64/G77</f>
        <v>0.20422724226454145</v>
      </c>
      <c r="I64" s="1"/>
      <c r="J64" s="1"/>
      <c r="K64" s="1"/>
      <c r="L64" s="1"/>
    </row>
    <row r="65" spans="1:12" x14ac:dyDescent="0.15">
      <c r="A65" s="1" t="s">
        <v>90</v>
      </c>
      <c r="B65" s="1" t="str">
        <f t="shared" ref="B65:E68" si="0">F22</f>
        <v>主要项目</v>
      </c>
      <c r="C65" s="1">
        <f t="shared" si="0"/>
        <v>360</v>
      </c>
      <c r="D65" s="1">
        <f t="shared" si="0"/>
        <v>800</v>
      </c>
      <c r="E65" s="1">
        <f t="shared" si="0"/>
        <v>76</v>
      </c>
      <c r="F65" s="1"/>
      <c r="G65" s="1">
        <f>C65+D65+E65</f>
        <v>1236</v>
      </c>
      <c r="H65" s="2">
        <f>G65/G77</f>
        <v>0.11345371460886068</v>
      </c>
      <c r="I65" s="1"/>
      <c r="J65" s="1"/>
      <c r="K65" s="1"/>
      <c r="L65" s="1"/>
    </row>
    <row r="66" spans="1:12" x14ac:dyDescent="0.15">
      <c r="A66" s="1" t="s">
        <v>91</v>
      </c>
      <c r="B66" s="1" t="str">
        <f t="shared" si="0"/>
        <v>辅助项目</v>
      </c>
      <c r="C66" s="1">
        <f t="shared" si="0"/>
        <v>80</v>
      </c>
      <c r="D66" s="1">
        <f t="shared" si="0"/>
        <v>280</v>
      </c>
      <c r="E66" s="1">
        <f t="shared" si="0"/>
        <v>26.599999999999998</v>
      </c>
      <c r="F66" s="1"/>
      <c r="G66" s="1">
        <f>C66+D66+E66</f>
        <v>386.6</v>
      </c>
      <c r="H66" s="2">
        <f>G66/G77</f>
        <v>3.5486412676201895E-2</v>
      </c>
      <c r="I66" s="1"/>
      <c r="J66" s="1"/>
      <c r="K66" s="1"/>
      <c r="L66" s="1"/>
    </row>
    <row r="67" spans="1:12" x14ac:dyDescent="0.15">
      <c r="A67" s="1" t="s">
        <v>92</v>
      </c>
      <c r="B67" s="1" t="str">
        <f t="shared" si="0"/>
        <v>公共工程</v>
      </c>
      <c r="C67" s="1">
        <f t="shared" si="0"/>
        <v>40</v>
      </c>
      <c r="D67" s="1">
        <f t="shared" si="0"/>
        <v>444</v>
      </c>
      <c r="E67" s="1">
        <f t="shared" si="0"/>
        <v>42.180000000000007</v>
      </c>
      <c r="F67" s="1"/>
      <c r="G67" s="1">
        <f>C67+D67+E67</f>
        <v>526.18000000000006</v>
      </c>
      <c r="H67" s="2">
        <f>G67/G77</f>
        <v>4.8298604816254302E-2</v>
      </c>
      <c r="I67" s="1"/>
      <c r="J67" s="1"/>
      <c r="K67" s="1"/>
      <c r="L67" s="1"/>
    </row>
    <row r="68" spans="1:12" x14ac:dyDescent="0.15">
      <c r="A68" s="1" t="s">
        <v>93</v>
      </c>
      <c r="B68" s="1" t="str">
        <f t="shared" si="0"/>
        <v>环境工程</v>
      </c>
      <c r="C68" s="1">
        <f t="shared" si="0"/>
        <v>40</v>
      </c>
      <c r="D68" s="1">
        <f t="shared" si="0"/>
        <v>33</v>
      </c>
      <c r="E68" s="1">
        <f t="shared" si="0"/>
        <v>3.1350000000000002</v>
      </c>
      <c r="F68" s="1"/>
      <c r="G68" s="1">
        <f>C68+D68+E68</f>
        <v>76.135000000000005</v>
      </c>
      <c r="H68" s="2">
        <f>G68/G77</f>
        <v>6.9885101632246021E-3</v>
      </c>
      <c r="I68" s="1"/>
      <c r="J68" s="1"/>
      <c r="K68" s="1"/>
      <c r="L68" s="1"/>
    </row>
    <row r="69" spans="1:12" x14ac:dyDescent="0.15">
      <c r="A69" s="1" t="s">
        <v>20</v>
      </c>
      <c r="B69" s="1" t="s">
        <v>94</v>
      </c>
      <c r="C69" s="1"/>
      <c r="D69" s="1"/>
      <c r="E69" s="1"/>
      <c r="F69" s="1">
        <f>SUM(F70:F72)</f>
        <v>7677</v>
      </c>
      <c r="G69" s="1">
        <f>SUM(G70:G72)</f>
        <v>7677</v>
      </c>
      <c r="H69" s="2">
        <f>G69/G77</f>
        <v>0.70467974680600598</v>
      </c>
      <c r="I69" s="1"/>
      <c r="J69" s="1"/>
      <c r="K69" s="1"/>
      <c r="L69" s="1"/>
    </row>
    <row r="70" spans="1:12" x14ac:dyDescent="0.15">
      <c r="A70" s="1" t="s">
        <v>95</v>
      </c>
      <c r="B70" s="1" t="str">
        <f>F27</f>
        <v>土地征用费</v>
      </c>
      <c r="C70" s="1"/>
      <c r="D70" s="1"/>
      <c r="E70" s="1"/>
      <c r="F70" s="1">
        <f>G27</f>
        <v>4555</v>
      </c>
      <c r="G70" s="1">
        <f>F70</f>
        <v>4555</v>
      </c>
      <c r="H70" s="2">
        <f>G70/G77</f>
        <v>0.41810814728427215</v>
      </c>
      <c r="I70" s="1"/>
      <c r="J70" s="1"/>
      <c r="K70" s="1"/>
      <c r="L70" s="1"/>
    </row>
    <row r="71" spans="1:12" x14ac:dyDescent="0.15">
      <c r="A71" s="1" t="s">
        <v>96</v>
      </c>
      <c r="B71" s="1" t="str">
        <f>F28</f>
        <v>开办费</v>
      </c>
      <c r="C71" s="1"/>
      <c r="D71" s="1"/>
      <c r="E71" s="1"/>
      <c r="F71" s="1">
        <f>G28</f>
        <v>900</v>
      </c>
      <c r="G71" s="1">
        <f>F71</f>
        <v>900</v>
      </c>
      <c r="H71" s="2">
        <f>G71/G77</f>
        <v>8.2611928113248065E-2</v>
      </c>
      <c r="I71" s="1"/>
      <c r="J71" s="1"/>
      <c r="K71" s="1"/>
      <c r="L71" s="1"/>
    </row>
    <row r="72" spans="1:12" x14ac:dyDescent="0.15">
      <c r="A72" s="1" t="s">
        <v>97</v>
      </c>
      <c r="B72" s="1" t="str">
        <f>F29</f>
        <v>专利技术使用费</v>
      </c>
      <c r="C72" s="1"/>
      <c r="D72" s="1"/>
      <c r="E72" s="1"/>
      <c r="F72" s="1">
        <f>G29</f>
        <v>2222</v>
      </c>
      <c r="G72" s="1">
        <f>F72</f>
        <v>2222</v>
      </c>
      <c r="H72" s="2">
        <f>G72/G77</f>
        <v>0.20395967140848578</v>
      </c>
      <c r="I72" s="1"/>
      <c r="J72" s="1"/>
      <c r="K72" s="1"/>
      <c r="L72" s="1"/>
    </row>
    <row r="73" spans="1:12" x14ac:dyDescent="0.15">
      <c r="A73" s="1"/>
      <c r="B73" s="1" t="s">
        <v>98</v>
      </c>
      <c r="C73" s="1"/>
      <c r="D73" s="1"/>
      <c r="E73" s="1"/>
      <c r="F73" s="1"/>
      <c r="G73" s="1">
        <f>G64+G69</f>
        <v>9901.9150000000009</v>
      </c>
      <c r="H73" s="1"/>
      <c r="I73" s="1"/>
      <c r="J73" s="1"/>
      <c r="K73" s="1"/>
      <c r="L73" s="1"/>
    </row>
    <row r="74" spans="1:12" x14ac:dyDescent="0.15">
      <c r="A74" s="1" t="s">
        <v>33</v>
      </c>
      <c r="B74" s="1" t="s">
        <v>99</v>
      </c>
      <c r="C74" s="1"/>
      <c r="D74" s="1"/>
      <c r="E74" s="1"/>
      <c r="F74" s="1">
        <f>F75+F76</f>
        <v>992.39555000000007</v>
      </c>
      <c r="G74" s="1">
        <f>G75+G76</f>
        <v>992.39555000000007</v>
      </c>
      <c r="H74" s="2">
        <f>G74/G77</f>
        <v>9.1093010929452531E-2</v>
      </c>
      <c r="I74" s="1"/>
      <c r="J74" s="1"/>
      <c r="K74" s="1"/>
      <c r="L74" s="1"/>
    </row>
    <row r="75" spans="1:12" x14ac:dyDescent="0.15">
      <c r="A75" s="1" t="s">
        <v>100</v>
      </c>
      <c r="B75" s="1" t="s">
        <v>101</v>
      </c>
      <c r="C75" s="1"/>
      <c r="D75" s="1"/>
      <c r="E75" s="1"/>
      <c r="F75" s="1">
        <f>G73* C12</f>
        <v>792.15320000000008</v>
      </c>
      <c r="G75" s="1">
        <f>F75</f>
        <v>792.15320000000008</v>
      </c>
      <c r="H75" s="2">
        <f>G75/G77</f>
        <v>7.2712559125643811E-2</v>
      </c>
      <c r="I75" s="1"/>
      <c r="J75" s="1"/>
      <c r="K75" s="1"/>
      <c r="L75" s="1"/>
    </row>
    <row r="76" spans="1:12" x14ac:dyDescent="0.15">
      <c r="A76" s="1" t="s">
        <v>102</v>
      </c>
      <c r="B76" s="1" t="s">
        <v>103</v>
      </c>
      <c r="C76" s="1"/>
      <c r="D76" s="1"/>
      <c r="E76" s="1"/>
      <c r="F76" s="1">
        <f>G64*C13</f>
        <v>200.24234999999999</v>
      </c>
      <c r="G76" s="1">
        <f>F76</f>
        <v>200.24234999999999</v>
      </c>
      <c r="H76" s="2">
        <f>G76/G77</f>
        <v>1.838045180380873E-2</v>
      </c>
      <c r="I76" s="1"/>
      <c r="J76" s="1"/>
      <c r="K76" s="1"/>
      <c r="L76" s="1"/>
    </row>
    <row r="77" spans="1:12" x14ac:dyDescent="0.15">
      <c r="A77" s="1" t="s">
        <v>38</v>
      </c>
      <c r="B77" s="1" t="s">
        <v>104</v>
      </c>
      <c r="C77" s="1"/>
      <c r="D77" s="1"/>
      <c r="E77" s="1"/>
      <c r="F77" s="1"/>
      <c r="G77" s="1">
        <f>G64+G69+G74</f>
        <v>10894.31055</v>
      </c>
      <c r="H77" s="2">
        <f>G77/G77</f>
        <v>1</v>
      </c>
      <c r="I77" s="1"/>
      <c r="J77" s="1"/>
      <c r="K77" s="1"/>
      <c r="L77" s="1"/>
    </row>
    <row r="78" spans="1:12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15">
      <c r="A79" s="3" t="s">
        <v>105</v>
      </c>
      <c r="B79" s="3"/>
      <c r="C79" s="3"/>
      <c r="D79" s="3"/>
      <c r="E79" s="3"/>
      <c r="F79" s="3"/>
      <c r="G79" s="3"/>
      <c r="H79" s="3"/>
      <c r="I79" s="3"/>
      <c r="J79" s="1" t="s">
        <v>80</v>
      </c>
      <c r="K79" s="1"/>
      <c r="L79" s="1"/>
    </row>
    <row r="80" spans="1:12" x14ac:dyDescent="0.15">
      <c r="A80" s="3" t="s">
        <v>81</v>
      </c>
      <c r="B80" s="3" t="s">
        <v>106</v>
      </c>
      <c r="C80" s="3" t="s">
        <v>107</v>
      </c>
      <c r="D80" s="3" t="s">
        <v>108</v>
      </c>
      <c r="E80" s="3" t="s">
        <v>109</v>
      </c>
      <c r="F80" s="3"/>
      <c r="G80" s="3" t="s">
        <v>110</v>
      </c>
      <c r="H80" s="3"/>
      <c r="I80" s="3"/>
      <c r="J80" s="3"/>
      <c r="K80" s="1"/>
      <c r="L80" s="1"/>
    </row>
    <row r="81" spans="1:12" x14ac:dyDescent="0.15">
      <c r="A81" s="3"/>
      <c r="B81" s="3"/>
      <c r="C81" s="3"/>
      <c r="D81" s="3"/>
      <c r="E81" s="1">
        <v>3</v>
      </c>
      <c r="F81" s="1">
        <v>4</v>
      </c>
      <c r="G81" s="1">
        <v>5</v>
      </c>
      <c r="H81" s="1">
        <v>6</v>
      </c>
      <c r="I81" s="1">
        <v>7</v>
      </c>
      <c r="J81" s="1">
        <v>8</v>
      </c>
      <c r="K81" s="1"/>
      <c r="L81" s="1"/>
    </row>
    <row r="82" spans="1:12" x14ac:dyDescent="0.15">
      <c r="A82" s="1" t="s">
        <v>18</v>
      </c>
      <c r="B82" s="1" t="s">
        <v>111</v>
      </c>
      <c r="C82" s="1"/>
      <c r="D82" s="1"/>
      <c r="E82" s="1">
        <f t="shared" ref="E82:J82" si="1">E83+E84+E89</f>
        <v>1826.7544979405961</v>
      </c>
      <c r="F82" s="1">
        <f t="shared" si="1"/>
        <v>2418.865609051707</v>
      </c>
      <c r="G82" s="1">
        <f t="shared" si="1"/>
        <v>3010.9767201628183</v>
      </c>
      <c r="H82" s="1">
        <f t="shared" si="1"/>
        <v>3010.9767201628183</v>
      </c>
      <c r="I82" s="1">
        <f t="shared" si="1"/>
        <v>3010.9767201628183</v>
      </c>
      <c r="J82" s="1">
        <f t="shared" si="1"/>
        <v>3010.9767201628183</v>
      </c>
      <c r="K82" s="1"/>
      <c r="L82" s="1"/>
    </row>
    <row r="83" spans="1:12" x14ac:dyDescent="0.15">
      <c r="A83" s="1" t="s">
        <v>90</v>
      </c>
      <c r="B83" s="1" t="s">
        <v>112</v>
      </c>
      <c r="C83" s="1" t="str">
        <f>C22</f>
        <v>60</v>
      </c>
      <c r="D83" s="1">
        <f>360/C83</f>
        <v>6</v>
      </c>
      <c r="E83" s="1">
        <f t="shared" ref="E83:J83" si="2">D254/$D$83</f>
        <v>793.88390836428925</v>
      </c>
      <c r="F83" s="1">
        <f t="shared" si="2"/>
        <v>1049.3839083642893</v>
      </c>
      <c r="G83" s="1">
        <f t="shared" si="2"/>
        <v>1304.8839083642893</v>
      </c>
      <c r="H83" s="1">
        <f t="shared" si="2"/>
        <v>1304.8839083642893</v>
      </c>
      <c r="I83" s="1">
        <f t="shared" si="2"/>
        <v>1304.8839083642893</v>
      </c>
      <c r="J83" s="1">
        <f t="shared" si="2"/>
        <v>1304.8839083642893</v>
      </c>
      <c r="K83" s="1"/>
      <c r="L83" s="1"/>
    </row>
    <row r="84" spans="1:12" x14ac:dyDescent="0.15">
      <c r="A84" s="1" t="s">
        <v>91</v>
      </c>
      <c r="B84" s="1" t="s">
        <v>113</v>
      </c>
      <c r="C84" s="1"/>
      <c r="D84" s="1"/>
      <c r="E84" s="1">
        <f t="shared" ref="E84:J84" si="3">E85+E86+E87+E88</f>
        <v>963.96859175810948</v>
      </c>
      <c r="F84" s="1">
        <f t="shared" si="3"/>
        <v>1277.8297028692205</v>
      </c>
      <c r="G84" s="1">
        <f t="shared" si="3"/>
        <v>1591.6908139803318</v>
      </c>
      <c r="H84" s="1">
        <f t="shared" si="3"/>
        <v>1591.6908139803318</v>
      </c>
      <c r="I84" s="1">
        <f t="shared" si="3"/>
        <v>1591.6908139803318</v>
      </c>
      <c r="J84" s="1">
        <f t="shared" si="3"/>
        <v>1591.6908139803318</v>
      </c>
      <c r="K84" s="1"/>
      <c r="L84" s="1"/>
    </row>
    <row r="85" spans="1:12" x14ac:dyDescent="0.15">
      <c r="A85" s="1" t="s">
        <v>114</v>
      </c>
      <c r="B85" s="1" t="s">
        <v>115</v>
      </c>
      <c r="C85" s="1" t="str">
        <f>C23</f>
        <v>30</v>
      </c>
      <c r="D85" s="1">
        <f>360/C85</f>
        <v>12</v>
      </c>
      <c r="E85" s="1">
        <f t="shared" ref="E85:J85" si="4">(D243)/$D$85</f>
        <v>300</v>
      </c>
      <c r="F85" s="1">
        <f t="shared" si="4"/>
        <v>400</v>
      </c>
      <c r="G85" s="1">
        <f t="shared" si="4"/>
        <v>500</v>
      </c>
      <c r="H85" s="1">
        <f t="shared" si="4"/>
        <v>500</v>
      </c>
      <c r="I85" s="1">
        <f t="shared" si="4"/>
        <v>500</v>
      </c>
      <c r="J85" s="1">
        <f t="shared" si="4"/>
        <v>500</v>
      </c>
      <c r="K85" s="1"/>
      <c r="L85" s="1"/>
    </row>
    <row r="86" spans="1:12" x14ac:dyDescent="0.15">
      <c r="A86" s="1" t="s">
        <v>116</v>
      </c>
      <c r="B86" s="1" t="s">
        <v>117</v>
      </c>
      <c r="C86" s="1" t="str">
        <f>C24</f>
        <v>30</v>
      </c>
      <c r="D86" s="1">
        <f>360/C86</f>
        <v>12</v>
      </c>
      <c r="E86" s="1">
        <f t="shared" ref="E86:J86" si="5">D244/$D$86</f>
        <v>15</v>
      </c>
      <c r="F86" s="1">
        <f t="shared" si="5"/>
        <v>20</v>
      </c>
      <c r="G86" s="1">
        <f t="shared" si="5"/>
        <v>25</v>
      </c>
      <c r="H86" s="1">
        <f t="shared" si="5"/>
        <v>25</v>
      </c>
      <c r="I86" s="1">
        <f t="shared" si="5"/>
        <v>25</v>
      </c>
      <c r="J86" s="1">
        <f t="shared" si="5"/>
        <v>25</v>
      </c>
      <c r="K86" s="1"/>
      <c r="L86" s="1"/>
    </row>
    <row r="87" spans="1:12" x14ac:dyDescent="0.15">
      <c r="A87" s="1" t="s">
        <v>118</v>
      </c>
      <c r="B87" s="1" t="s">
        <v>119</v>
      </c>
      <c r="C87" s="1" t="str">
        <f>C25</f>
        <v>20</v>
      </c>
      <c r="D87" s="1">
        <f>360/C87</f>
        <v>18</v>
      </c>
      <c r="E87" s="1">
        <f t="shared" ref="E87:J87" si="6">(D243+D244+D245+D246)/$D$87</f>
        <v>252.02663757596486</v>
      </c>
      <c r="F87" s="1">
        <f t="shared" si="6"/>
        <v>333.13774868707594</v>
      </c>
      <c r="G87" s="1">
        <f t="shared" si="6"/>
        <v>414.24885979818708</v>
      </c>
      <c r="H87" s="1">
        <f t="shared" si="6"/>
        <v>414.24885979818708</v>
      </c>
      <c r="I87" s="1">
        <f t="shared" si="6"/>
        <v>414.24885979818708</v>
      </c>
      <c r="J87" s="1">
        <f t="shared" si="6"/>
        <v>414.24885979818708</v>
      </c>
      <c r="K87" s="1"/>
      <c r="L87" s="1"/>
    </row>
    <row r="88" spans="1:12" x14ac:dyDescent="0.15">
      <c r="A88" s="1" t="s">
        <v>120</v>
      </c>
      <c r="B88" s="1" t="s">
        <v>121</v>
      </c>
      <c r="C88" s="1" t="str">
        <f>C26</f>
        <v>30</v>
      </c>
      <c r="D88" s="1">
        <f>360/C88</f>
        <v>12</v>
      </c>
      <c r="E88" s="1">
        <f t="shared" ref="E88:J88" si="7">D254/$D$88</f>
        <v>396.94195418214463</v>
      </c>
      <c r="F88" s="1">
        <f t="shared" si="7"/>
        <v>524.69195418214463</v>
      </c>
      <c r="G88" s="1">
        <f t="shared" si="7"/>
        <v>652.44195418214463</v>
      </c>
      <c r="H88" s="1">
        <f t="shared" si="7"/>
        <v>652.44195418214463</v>
      </c>
      <c r="I88" s="1">
        <f t="shared" si="7"/>
        <v>652.44195418214463</v>
      </c>
      <c r="J88" s="1">
        <f t="shared" si="7"/>
        <v>652.44195418214463</v>
      </c>
      <c r="K88" s="1"/>
      <c r="L88" s="1"/>
    </row>
    <row r="89" spans="1:12" x14ac:dyDescent="0.15">
      <c r="A89" s="1" t="s">
        <v>92</v>
      </c>
      <c r="B89" s="1" t="s">
        <v>122</v>
      </c>
      <c r="C89" s="1" t="str">
        <f>C27</f>
        <v>30</v>
      </c>
      <c r="D89" s="1">
        <f>360/C89</f>
        <v>12</v>
      </c>
      <c r="E89" s="1">
        <f t="shared" ref="E89:J89" si="8">(D245+D250)/$D$89</f>
        <v>68.901997818197358</v>
      </c>
      <c r="F89" s="1">
        <f t="shared" si="8"/>
        <v>91.651997818197358</v>
      </c>
      <c r="G89" s="1">
        <f t="shared" si="8"/>
        <v>114.40199781819736</v>
      </c>
      <c r="H89" s="1">
        <f t="shared" si="8"/>
        <v>114.40199781819736</v>
      </c>
      <c r="I89" s="1">
        <f t="shared" si="8"/>
        <v>114.40199781819736</v>
      </c>
      <c r="J89" s="1">
        <f t="shared" si="8"/>
        <v>114.40199781819736</v>
      </c>
      <c r="K89" s="1"/>
      <c r="L89" s="1"/>
    </row>
    <row r="90" spans="1:12" x14ac:dyDescent="0.15">
      <c r="A90" s="1" t="s">
        <v>20</v>
      </c>
      <c r="B90" s="1" t="s">
        <v>123</v>
      </c>
      <c r="C90" s="1"/>
      <c r="D90" s="1"/>
      <c r="E90" s="1">
        <f t="shared" ref="E90:J90" si="9">E91</f>
        <v>630</v>
      </c>
      <c r="F90" s="1">
        <f t="shared" si="9"/>
        <v>840</v>
      </c>
      <c r="G90" s="1">
        <f t="shared" si="9"/>
        <v>1050</v>
      </c>
      <c r="H90" s="1">
        <f t="shared" si="9"/>
        <v>1050</v>
      </c>
      <c r="I90" s="1">
        <f t="shared" si="9"/>
        <v>1050</v>
      </c>
      <c r="J90" s="1">
        <f t="shared" si="9"/>
        <v>1050</v>
      </c>
      <c r="K90" s="1"/>
      <c r="L90" s="1"/>
    </row>
    <row r="91" spans="1:12" x14ac:dyDescent="0.15">
      <c r="A91" s="1" t="s">
        <v>95</v>
      </c>
      <c r="B91" s="1" t="s">
        <v>124</v>
      </c>
      <c r="C91" s="1" t="str">
        <f>C28</f>
        <v>60</v>
      </c>
      <c r="D91" s="1">
        <f>360/C91</f>
        <v>6</v>
      </c>
      <c r="E91" s="1">
        <f t="shared" ref="E91:J91" si="10">(D243+D244)/$D$91</f>
        <v>630</v>
      </c>
      <c r="F91" s="1">
        <f t="shared" si="10"/>
        <v>840</v>
      </c>
      <c r="G91" s="1">
        <f t="shared" si="10"/>
        <v>1050</v>
      </c>
      <c r="H91" s="1">
        <f t="shared" si="10"/>
        <v>1050</v>
      </c>
      <c r="I91" s="1">
        <f t="shared" si="10"/>
        <v>1050</v>
      </c>
      <c r="J91" s="1">
        <f t="shared" si="10"/>
        <v>1050</v>
      </c>
      <c r="K91" s="1"/>
      <c r="L91" s="1"/>
    </row>
    <row r="92" spans="1:12" x14ac:dyDescent="0.15">
      <c r="A92" s="1" t="s">
        <v>33</v>
      </c>
      <c r="B92" s="1" t="s">
        <v>125</v>
      </c>
      <c r="C92" s="1"/>
      <c r="D92" s="1"/>
      <c r="E92" s="1">
        <f t="shared" ref="E92:J92" si="11">E82-E90</f>
        <v>1196.7544979405961</v>
      </c>
      <c r="F92" s="1">
        <f t="shared" si="11"/>
        <v>1578.865609051707</v>
      </c>
      <c r="G92" s="1">
        <f t="shared" si="11"/>
        <v>1960.9767201628183</v>
      </c>
      <c r="H92" s="1">
        <f t="shared" si="11"/>
        <v>1960.9767201628183</v>
      </c>
      <c r="I92" s="1">
        <f t="shared" si="11"/>
        <v>1960.9767201628183</v>
      </c>
      <c r="J92" s="1">
        <f t="shared" si="11"/>
        <v>1960.9767201628183</v>
      </c>
      <c r="K92" s="1"/>
      <c r="L92" s="1"/>
    </row>
    <row r="93" spans="1:12" x14ac:dyDescent="0.15">
      <c r="A93" s="1" t="s">
        <v>38</v>
      </c>
      <c r="B93" s="1" t="s">
        <v>126</v>
      </c>
      <c r="C93" s="1"/>
      <c r="D93" s="1"/>
      <c r="E93" s="1">
        <f t="shared" ref="E93:J93" si="12">E92-D92</f>
        <v>1196.7544979405961</v>
      </c>
      <c r="F93" s="1">
        <f t="shared" si="12"/>
        <v>382.11111111111086</v>
      </c>
      <c r="G93" s="1">
        <f t="shared" si="12"/>
        <v>382.11111111111131</v>
      </c>
      <c r="H93" s="1">
        <f t="shared" si="12"/>
        <v>0</v>
      </c>
      <c r="I93" s="1">
        <f t="shared" si="12"/>
        <v>0</v>
      </c>
      <c r="J93" s="1">
        <f t="shared" si="12"/>
        <v>0</v>
      </c>
      <c r="K93" s="1"/>
      <c r="L93" s="1"/>
    </row>
    <row r="94" spans="1:12" x14ac:dyDescent="0.15">
      <c r="A94" s="1" t="s">
        <v>12</v>
      </c>
      <c r="B94" s="1" t="s">
        <v>127</v>
      </c>
      <c r="C94" s="1"/>
      <c r="D94" s="1"/>
      <c r="E94" s="1">
        <f t="shared" ref="E94:J94" si="13">E93*$C$30</f>
        <v>837.72814855841727</v>
      </c>
      <c r="F94" s="1">
        <f t="shared" si="13"/>
        <v>267.47777777777759</v>
      </c>
      <c r="G94" s="1">
        <f t="shared" si="13"/>
        <v>267.47777777777793</v>
      </c>
      <c r="H94" s="1">
        <f t="shared" si="13"/>
        <v>0</v>
      </c>
      <c r="I94" s="1">
        <f t="shared" si="13"/>
        <v>0</v>
      </c>
      <c r="J94" s="1">
        <f t="shared" si="13"/>
        <v>0</v>
      </c>
      <c r="K94" s="1"/>
      <c r="L94" s="1"/>
    </row>
    <row r="95" spans="1:12" x14ac:dyDescent="0.15">
      <c r="A95" s="1" t="s">
        <v>128</v>
      </c>
      <c r="B95" s="1" t="s">
        <v>129</v>
      </c>
      <c r="C95" s="1"/>
      <c r="D95" s="1"/>
      <c r="E95" s="1">
        <f t="shared" ref="E95:J95" si="14">E92*$C$30*$C$29</f>
        <v>33.509125942336695</v>
      </c>
      <c r="F95" s="1">
        <f t="shared" si="14"/>
        <v>44.208237053447796</v>
      </c>
      <c r="G95" s="1">
        <f t="shared" si="14"/>
        <v>54.907348164558911</v>
      </c>
      <c r="H95" s="1">
        <f t="shared" si="14"/>
        <v>54.907348164558911</v>
      </c>
      <c r="I95" s="1">
        <f t="shared" si="14"/>
        <v>54.907348164558911</v>
      </c>
      <c r="J95" s="1">
        <f t="shared" si="14"/>
        <v>54.907348164558911</v>
      </c>
      <c r="K95" s="1"/>
      <c r="L95" s="1"/>
    </row>
    <row r="96" spans="1:12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15">
      <c r="A111" s="3" t="s">
        <v>130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1" t="s">
        <v>80</v>
      </c>
    </row>
    <row r="112" spans="1:12" x14ac:dyDescent="0.15">
      <c r="A112" s="3" t="s">
        <v>81</v>
      </c>
      <c r="B112" s="3" t="s">
        <v>106</v>
      </c>
      <c r="C112" s="3" t="s">
        <v>131</v>
      </c>
      <c r="D112" s="3" t="s">
        <v>87</v>
      </c>
      <c r="E112" s="3" t="s">
        <v>132</v>
      </c>
      <c r="F112" s="3"/>
      <c r="G112" s="3" t="s">
        <v>109</v>
      </c>
      <c r="H112" s="3"/>
      <c r="I112" s="3" t="s">
        <v>110</v>
      </c>
      <c r="J112" s="3"/>
      <c r="K112" s="3"/>
      <c r="L112" s="3"/>
    </row>
    <row r="113" spans="1:12" x14ac:dyDescent="0.15">
      <c r="A113" s="3"/>
      <c r="B113" s="3"/>
      <c r="C113" s="3"/>
      <c r="D113" s="3"/>
      <c r="E113" s="1">
        <v>1</v>
      </c>
      <c r="F113" s="1">
        <v>2</v>
      </c>
      <c r="G113" s="1">
        <v>3</v>
      </c>
      <c r="H113" s="1">
        <v>4</v>
      </c>
      <c r="I113" s="1">
        <v>5</v>
      </c>
      <c r="J113" s="1">
        <v>6</v>
      </c>
      <c r="K113" s="1">
        <v>7</v>
      </c>
      <c r="L113" s="1">
        <v>8</v>
      </c>
    </row>
    <row r="114" spans="1:12" x14ac:dyDescent="0.15">
      <c r="A114" s="1" t="s">
        <v>18</v>
      </c>
      <c r="B114" s="1" t="s">
        <v>133</v>
      </c>
      <c r="C114" s="1">
        <f>C33</f>
        <v>0.05</v>
      </c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15">
      <c r="A115" s="1" t="s">
        <v>90</v>
      </c>
      <c r="B115" s="1" t="s">
        <v>134</v>
      </c>
      <c r="C115" s="1"/>
      <c r="D115" s="1"/>
      <c r="E115" s="1">
        <f>D115+D116+D117</f>
        <v>0</v>
      </c>
      <c r="F115" s="1">
        <f>E115+E116+E117</f>
        <v>2894.0735976075002</v>
      </c>
      <c r="G115" s="1">
        <f>F121</f>
        <v>5818.4606143203746</v>
      </c>
      <c r="H115" s="1"/>
      <c r="I115" s="1"/>
      <c r="J115" s="1"/>
      <c r="K115" s="1"/>
      <c r="L115" s="1"/>
    </row>
    <row r="116" spans="1:12" x14ac:dyDescent="0.15">
      <c r="A116" s="1" t="s">
        <v>91</v>
      </c>
      <c r="B116" s="1" t="s">
        <v>135</v>
      </c>
      <c r="C116" s="1"/>
      <c r="D116" s="1"/>
      <c r="E116" s="1">
        <f>D155</f>
        <v>2756.2605691500003</v>
      </c>
      <c r="F116" s="1">
        <f>E155</f>
        <v>2647.3174636500003</v>
      </c>
      <c r="G116" s="1"/>
      <c r="H116" s="1"/>
      <c r="I116" s="1"/>
      <c r="J116" s="1"/>
      <c r="K116" s="1"/>
      <c r="L116" s="1"/>
    </row>
    <row r="117" spans="1:12" x14ac:dyDescent="0.15">
      <c r="A117" s="1" t="s">
        <v>92</v>
      </c>
      <c r="B117" s="1" t="s">
        <v>136</v>
      </c>
      <c r="C117" s="1"/>
      <c r="D117" s="1"/>
      <c r="E117" s="1">
        <f>D148</f>
        <v>137.81302845750002</v>
      </c>
      <c r="F117" s="1">
        <f>E148</f>
        <v>277.069553062875</v>
      </c>
      <c r="G117" s="1"/>
      <c r="H117" s="1"/>
      <c r="I117" s="1"/>
      <c r="J117" s="1"/>
      <c r="K117" s="1"/>
      <c r="L117" s="1"/>
    </row>
    <row r="118" spans="1:12" x14ac:dyDescent="0.15">
      <c r="A118" s="1" t="s">
        <v>93</v>
      </c>
      <c r="B118" s="1" t="s">
        <v>137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15">
      <c r="A119" s="1" t="s">
        <v>138</v>
      </c>
      <c r="B119" s="1" t="s">
        <v>139</v>
      </c>
      <c r="C119" s="1"/>
      <c r="D119" s="1">
        <f>SUM(G119:L119)</f>
        <v>5818.4606143203746</v>
      </c>
      <c r="E119" s="1"/>
      <c r="F119" s="1"/>
      <c r="G119" s="1">
        <f t="shared" ref="G119:L119" si="15">IF(F121&gt;$G$115/$C$35,$G$115/$C$35,F121)</f>
        <v>1454.6151535800936</v>
      </c>
      <c r="H119" s="1">
        <f t="shared" si="15"/>
        <v>1454.6151535800936</v>
      </c>
      <c r="I119" s="1">
        <f t="shared" si="15"/>
        <v>1454.6151535800936</v>
      </c>
      <c r="J119" s="1">
        <f t="shared" si="15"/>
        <v>1454.6151535800936</v>
      </c>
      <c r="K119" s="1">
        <f t="shared" si="15"/>
        <v>0</v>
      </c>
      <c r="L119" s="1">
        <f t="shared" si="15"/>
        <v>0</v>
      </c>
    </row>
    <row r="120" spans="1:12" x14ac:dyDescent="0.15">
      <c r="A120" s="1" t="s">
        <v>140</v>
      </c>
      <c r="B120" s="1" t="s">
        <v>141</v>
      </c>
      <c r="C120" s="1"/>
      <c r="D120" s="1">
        <f>SUM(G120:L120)</f>
        <v>727.30757679004682</v>
      </c>
      <c r="E120" s="1"/>
      <c r="F120" s="1"/>
      <c r="G120" s="1">
        <f t="shared" ref="G120:L120" si="16">F121*$C$33</f>
        <v>290.92303071601873</v>
      </c>
      <c r="H120" s="1">
        <f t="shared" si="16"/>
        <v>218.19227303701405</v>
      </c>
      <c r="I120" s="1">
        <f t="shared" si="16"/>
        <v>145.46151535800936</v>
      </c>
      <c r="J120" s="1">
        <f t="shared" si="16"/>
        <v>72.730757679004682</v>
      </c>
      <c r="K120" s="1">
        <f t="shared" si="16"/>
        <v>0</v>
      </c>
      <c r="L120" s="1">
        <f t="shared" si="16"/>
        <v>0</v>
      </c>
    </row>
    <row r="121" spans="1:12" x14ac:dyDescent="0.15">
      <c r="A121" s="1" t="s">
        <v>142</v>
      </c>
      <c r="B121" s="1" t="s">
        <v>143</v>
      </c>
      <c r="C121" s="1"/>
      <c r="D121" s="1"/>
      <c r="E121" s="1">
        <f>D121+E116+E117</f>
        <v>2894.0735976075002</v>
      </c>
      <c r="F121" s="1">
        <f>E121+F116+F117</f>
        <v>5818.4606143203746</v>
      </c>
      <c r="G121" s="1">
        <f>G115-G119</f>
        <v>4363.8454607402809</v>
      </c>
      <c r="H121" s="1">
        <f>G121-H119</f>
        <v>2909.2303071601873</v>
      </c>
      <c r="I121" s="1">
        <f>H121-I119</f>
        <v>1454.6151535800936</v>
      </c>
      <c r="J121" s="1">
        <f>I121-J119</f>
        <v>0</v>
      </c>
      <c r="K121" s="1">
        <f>J121-K119</f>
        <v>0</v>
      </c>
      <c r="L121" s="1">
        <f>K121-L119</f>
        <v>0</v>
      </c>
    </row>
    <row r="122" spans="1:12" x14ac:dyDescent="0.15">
      <c r="A122" s="1" t="s">
        <v>20</v>
      </c>
      <c r="B122" s="1" t="s">
        <v>144</v>
      </c>
      <c r="C122" s="1"/>
      <c r="D122" s="1">
        <f t="shared" ref="D122:L122" si="17">D123+D124+D125</f>
        <v>58553.148043364585</v>
      </c>
      <c r="E122" s="1">
        <f t="shared" si="17"/>
        <v>0</v>
      </c>
      <c r="F122" s="1">
        <f t="shared" si="17"/>
        <v>0</v>
      </c>
      <c r="G122" s="1">
        <f t="shared" si="17"/>
        <v>6153.8336239251385</v>
      </c>
      <c r="H122" s="1">
        <f t="shared" si="17"/>
        <v>8430.0550140827763</v>
      </c>
      <c r="I122" s="1">
        <f t="shared" si="17"/>
        <v>10706.276404240414</v>
      </c>
      <c r="J122" s="1">
        <f t="shared" si="17"/>
        <v>11559.507161919419</v>
      </c>
      <c r="K122" s="1">
        <f t="shared" si="17"/>
        <v>10851.737919598423</v>
      </c>
      <c r="L122" s="1">
        <f t="shared" si="17"/>
        <v>10851.737919598423</v>
      </c>
    </row>
    <row r="123" spans="1:12" x14ac:dyDescent="0.15">
      <c r="A123" s="1" t="s">
        <v>95</v>
      </c>
      <c r="B123" s="1" t="s">
        <v>145</v>
      </c>
      <c r="C123" s="1"/>
      <c r="D123" s="1">
        <f>SUM(G123:L123)</f>
        <v>50736.763752343584</v>
      </c>
      <c r="E123" s="1"/>
      <c r="F123" s="1"/>
      <c r="G123" s="1">
        <f t="shared" ref="G123:L123" si="18">D338</f>
        <v>4590.9362420883044</v>
      </c>
      <c r="H123" s="1">
        <f t="shared" si="18"/>
        <v>6867.1576322459432</v>
      </c>
      <c r="I123" s="1">
        <f t="shared" si="18"/>
        <v>9143.3790224035802</v>
      </c>
      <c r="J123" s="1">
        <f t="shared" si="18"/>
        <v>9996.6097800825846</v>
      </c>
      <c r="K123" s="1">
        <f t="shared" si="18"/>
        <v>10069.340537761589</v>
      </c>
      <c r="L123" s="1">
        <f t="shared" si="18"/>
        <v>10069.340537761589</v>
      </c>
    </row>
    <row r="124" spans="1:12" x14ac:dyDescent="0.15">
      <c r="A124" s="1" t="s">
        <v>96</v>
      </c>
      <c r="B124" s="1" t="s">
        <v>146</v>
      </c>
      <c r="C124" s="1"/>
      <c r="D124" s="1">
        <f>SUM(G124:L124)</f>
        <v>4694.3842910210033</v>
      </c>
      <c r="E124" s="1"/>
      <c r="F124" s="1"/>
      <c r="G124" s="1">
        <f t="shared" ref="G124:L124" si="19">F192</f>
        <v>782.3973818368338</v>
      </c>
      <c r="H124" s="1">
        <f t="shared" si="19"/>
        <v>782.3973818368338</v>
      </c>
      <c r="I124" s="1">
        <f t="shared" si="19"/>
        <v>782.3973818368338</v>
      </c>
      <c r="J124" s="1">
        <f t="shared" si="19"/>
        <v>782.3973818368338</v>
      </c>
      <c r="K124" s="1">
        <f t="shared" si="19"/>
        <v>782.3973818368338</v>
      </c>
      <c r="L124" s="1">
        <f t="shared" si="19"/>
        <v>782.3973818368338</v>
      </c>
    </row>
    <row r="125" spans="1:12" x14ac:dyDescent="0.15">
      <c r="A125" s="1" t="s">
        <v>97</v>
      </c>
      <c r="B125" s="1" t="s">
        <v>147</v>
      </c>
      <c r="C125" s="1"/>
      <c r="D125" s="1">
        <f>SUM(G125:L125)</f>
        <v>3122</v>
      </c>
      <c r="E125" s="1"/>
      <c r="F125" s="1"/>
      <c r="G125" s="1">
        <f t="shared" ref="G125:L125" si="20">E222</f>
        <v>780.5</v>
      </c>
      <c r="H125" s="1">
        <f t="shared" si="20"/>
        <v>780.5</v>
      </c>
      <c r="I125" s="1">
        <f t="shared" si="20"/>
        <v>780.5</v>
      </c>
      <c r="J125" s="1">
        <f t="shared" si="20"/>
        <v>780.5</v>
      </c>
      <c r="K125" s="1">
        <f t="shared" si="20"/>
        <v>0</v>
      </c>
      <c r="L125" s="1">
        <f t="shared" si="20"/>
        <v>0</v>
      </c>
    </row>
    <row r="126" spans="1:12" x14ac:dyDescent="0.15">
      <c r="A126" s="1" t="s">
        <v>33</v>
      </c>
      <c r="B126" s="1" t="s">
        <v>148</v>
      </c>
      <c r="C126" s="1"/>
      <c r="D126" s="1"/>
      <c r="E126" s="1"/>
      <c r="F126" s="1"/>
      <c r="G126" s="1">
        <f t="shared" ref="G126:L126" si="21">(D338+D249)/D249</f>
        <v>15.1506818848503</v>
      </c>
      <c r="H126" s="1">
        <f t="shared" si="21"/>
        <v>27.170519370859868</v>
      </c>
      <c r="I126" s="1">
        <f t="shared" si="21"/>
        <v>46.632733857242883</v>
      </c>
      <c r="J126" s="1">
        <f t="shared" si="21"/>
        <v>79.31994774612744</v>
      </c>
      <c r="K126" s="1">
        <f t="shared" si="21"/>
        <v>184.3878501577509</v>
      </c>
      <c r="L126" s="1">
        <f t="shared" si="21"/>
        <v>184.3878501577509</v>
      </c>
    </row>
    <row r="127" spans="1:12" x14ac:dyDescent="0.15">
      <c r="A127" s="1" t="s">
        <v>38</v>
      </c>
      <c r="B127" s="1" t="s">
        <v>149</v>
      </c>
      <c r="C127" s="1"/>
      <c r="D127" s="1"/>
      <c r="E127" s="1"/>
      <c r="F127" s="1"/>
      <c r="G127" s="1">
        <f t="shared" ref="G127:L127" si="22">(D340+D247+D248+D249)/(G119+D249)</f>
        <v>2.996284409854709</v>
      </c>
      <c r="H127" s="1">
        <f t="shared" si="22"/>
        <v>4.0626688874809105</v>
      </c>
      <c r="I127" s="1">
        <f t="shared" si="22"/>
        <v>5.2089932126681804</v>
      </c>
      <c r="J127" s="1">
        <f t="shared" si="22"/>
        <v>5.3136201633136793</v>
      </c>
      <c r="K127" s="1">
        <f t="shared" si="22"/>
        <v>152.79029881719254</v>
      </c>
      <c r="L127" s="1">
        <f t="shared" si="22"/>
        <v>152.79029881719254</v>
      </c>
    </row>
    <row r="128" spans="1:12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15">
      <c r="A143" s="3" t="s">
        <v>150</v>
      </c>
      <c r="B143" s="3"/>
      <c r="C143" s="3"/>
      <c r="D143" s="3"/>
      <c r="E143" s="3"/>
      <c r="F143" s="3"/>
      <c r="G143" s="3"/>
      <c r="H143" s="3"/>
      <c r="I143" s="3"/>
      <c r="J143" s="3"/>
      <c r="K143" s="1" t="s">
        <v>80</v>
      </c>
      <c r="L143" s="1"/>
    </row>
    <row r="144" spans="1:12" x14ac:dyDescent="0.15">
      <c r="A144" s="3" t="s">
        <v>81</v>
      </c>
      <c r="B144" s="3" t="s">
        <v>106</v>
      </c>
      <c r="C144" s="3" t="s">
        <v>87</v>
      </c>
      <c r="D144" s="3" t="s">
        <v>132</v>
      </c>
      <c r="E144" s="3"/>
      <c r="F144" s="3" t="s">
        <v>109</v>
      </c>
      <c r="G144" s="3"/>
      <c r="H144" s="3" t="s">
        <v>110</v>
      </c>
      <c r="I144" s="3"/>
      <c r="J144" s="3"/>
      <c r="K144" s="3"/>
      <c r="L144" s="1"/>
    </row>
    <row r="145" spans="1:12" x14ac:dyDescent="0.15">
      <c r="A145" s="3"/>
      <c r="B145" s="3"/>
      <c r="C145" s="3"/>
      <c r="D145" s="1">
        <v>1</v>
      </c>
      <c r="E145" s="1">
        <v>2</v>
      </c>
      <c r="F145" s="1">
        <v>3</v>
      </c>
      <c r="G145" s="1">
        <v>4</v>
      </c>
      <c r="H145" s="1">
        <v>5</v>
      </c>
      <c r="I145" s="1">
        <v>6</v>
      </c>
      <c r="J145" s="1">
        <v>7</v>
      </c>
      <c r="K145" s="1">
        <v>8</v>
      </c>
      <c r="L145" s="1"/>
    </row>
    <row r="146" spans="1:12" x14ac:dyDescent="0.15">
      <c r="A146" s="1" t="s">
        <v>18</v>
      </c>
      <c r="B146" s="1" t="s">
        <v>151</v>
      </c>
      <c r="C146" s="1">
        <f t="shared" ref="C146:C157" si="23">SUM(D146:K146)</f>
        <v>13270.169851683195</v>
      </c>
      <c r="D146" s="1">
        <f t="shared" ref="D146:K146" si="24">D147+D148+D149</f>
        <v>5149.1958814575</v>
      </c>
      <c r="E146" s="1">
        <f t="shared" si="24"/>
        <v>6159.9972500628755</v>
      </c>
      <c r="F146" s="1">
        <f t="shared" si="24"/>
        <v>1196.7544979405961</v>
      </c>
      <c r="G146" s="1">
        <f t="shared" si="24"/>
        <v>382.11111111111086</v>
      </c>
      <c r="H146" s="1">
        <f t="shared" si="24"/>
        <v>382.11111111111131</v>
      </c>
      <c r="I146" s="1">
        <f t="shared" si="24"/>
        <v>0</v>
      </c>
      <c r="J146" s="1">
        <f t="shared" si="24"/>
        <v>0</v>
      </c>
      <c r="K146" s="1">
        <f t="shared" si="24"/>
        <v>0</v>
      </c>
      <c r="L146" s="1"/>
    </row>
    <row r="147" spans="1:12" x14ac:dyDescent="0.15">
      <c r="A147" s="1" t="s">
        <v>90</v>
      </c>
      <c r="B147" s="1" t="s">
        <v>152</v>
      </c>
      <c r="C147" s="1">
        <f t="shared" si="23"/>
        <v>10894.31055</v>
      </c>
      <c r="D147" s="1">
        <f>$G$77*B16</f>
        <v>5011.3828530000001</v>
      </c>
      <c r="E147" s="1">
        <f>$G$77*C16</f>
        <v>5882.9276970000001</v>
      </c>
      <c r="F147" s="1"/>
      <c r="G147" s="1"/>
      <c r="H147" s="1"/>
      <c r="I147" s="1"/>
      <c r="J147" s="1"/>
      <c r="K147" s="1"/>
      <c r="L147" s="1"/>
    </row>
    <row r="148" spans="1:12" x14ac:dyDescent="0.15">
      <c r="A148" s="1" t="s">
        <v>91</v>
      </c>
      <c r="B148" s="1" t="s">
        <v>153</v>
      </c>
      <c r="C148" s="1">
        <f t="shared" si="23"/>
        <v>414.88258152037503</v>
      </c>
      <c r="D148" s="1">
        <f>D156</f>
        <v>137.81302845750002</v>
      </c>
      <c r="E148" s="1">
        <f>E156</f>
        <v>277.069553062875</v>
      </c>
      <c r="F148" s="1"/>
      <c r="G148" s="1"/>
      <c r="H148" s="1"/>
      <c r="I148" s="1"/>
      <c r="J148" s="1"/>
      <c r="K148" s="1"/>
      <c r="L148" s="1"/>
    </row>
    <row r="149" spans="1:12" x14ac:dyDescent="0.15">
      <c r="A149" s="1" t="s">
        <v>92</v>
      </c>
      <c r="B149" s="1" t="s">
        <v>125</v>
      </c>
      <c r="C149" s="1">
        <f t="shared" si="23"/>
        <v>1960.9767201628183</v>
      </c>
      <c r="D149" s="1"/>
      <c r="E149" s="1"/>
      <c r="F149" s="1">
        <f t="shared" ref="F149:K149" si="25">E93</f>
        <v>1196.7544979405961</v>
      </c>
      <c r="G149" s="1">
        <f t="shared" si="25"/>
        <v>382.11111111111086</v>
      </c>
      <c r="H149" s="1">
        <f t="shared" si="25"/>
        <v>382.11111111111131</v>
      </c>
      <c r="I149" s="1">
        <f t="shared" si="25"/>
        <v>0</v>
      </c>
      <c r="J149" s="1">
        <f t="shared" si="25"/>
        <v>0</v>
      </c>
      <c r="K149" s="1">
        <f t="shared" si="25"/>
        <v>0</v>
      </c>
      <c r="L149" s="1"/>
    </row>
    <row r="150" spans="1:12" x14ac:dyDescent="0.15">
      <c r="A150" s="1" t="s">
        <v>20</v>
      </c>
      <c r="B150" s="1" t="s">
        <v>154</v>
      </c>
      <c r="C150" s="1">
        <f t="shared" si="23"/>
        <v>13270.169851683195</v>
      </c>
      <c r="D150" s="1">
        <f t="shared" ref="D150:K150" si="26">D151+D154</f>
        <v>5149.1958814575</v>
      </c>
      <c r="E150" s="1">
        <f t="shared" si="26"/>
        <v>6159.9972500628755</v>
      </c>
      <c r="F150" s="1">
        <f t="shared" si="26"/>
        <v>1196.7544979405961</v>
      </c>
      <c r="G150" s="1">
        <f t="shared" si="26"/>
        <v>382.11111111111086</v>
      </c>
      <c r="H150" s="1">
        <f t="shared" si="26"/>
        <v>382.11111111111131</v>
      </c>
      <c r="I150" s="1">
        <f t="shared" si="26"/>
        <v>0</v>
      </c>
      <c r="J150" s="1">
        <f t="shared" si="26"/>
        <v>0</v>
      </c>
      <c r="K150" s="1">
        <f t="shared" si="26"/>
        <v>0</v>
      </c>
      <c r="L150" s="1"/>
    </row>
    <row r="151" spans="1:12" x14ac:dyDescent="0.15">
      <c r="A151" s="1" t="s">
        <v>95</v>
      </c>
      <c r="B151" s="1" t="s">
        <v>155</v>
      </c>
      <c r="C151" s="1">
        <f t="shared" si="23"/>
        <v>6079.025533248845</v>
      </c>
      <c r="D151" s="1">
        <f>D147-D155</f>
        <v>2255.1222838499998</v>
      </c>
      <c r="E151" s="1">
        <f>E147-E155</f>
        <v>3235.6102333499998</v>
      </c>
      <c r="F151" s="1">
        <f t="shared" ref="F151:K151" si="27">F152+F153</f>
        <v>359.02634938217886</v>
      </c>
      <c r="G151" s="1">
        <f t="shared" si="27"/>
        <v>114.63333333333327</v>
      </c>
      <c r="H151" s="1">
        <f t="shared" si="27"/>
        <v>114.63333333333338</v>
      </c>
      <c r="I151" s="1">
        <f t="shared" si="27"/>
        <v>0</v>
      </c>
      <c r="J151" s="1">
        <f t="shared" si="27"/>
        <v>0</v>
      </c>
      <c r="K151" s="1">
        <f t="shared" si="27"/>
        <v>0</v>
      </c>
      <c r="L151" s="1"/>
    </row>
    <row r="152" spans="1:12" x14ac:dyDescent="0.15">
      <c r="A152" s="1" t="s">
        <v>156</v>
      </c>
      <c r="B152" s="1" t="s">
        <v>157</v>
      </c>
      <c r="C152" s="1">
        <f t="shared" si="23"/>
        <v>5490.7325172000001</v>
      </c>
      <c r="D152" s="1">
        <f>D147-D155</f>
        <v>2255.1222838499998</v>
      </c>
      <c r="E152" s="1">
        <f>E147-E155</f>
        <v>3235.6102333499998</v>
      </c>
      <c r="F152" s="1"/>
      <c r="G152" s="1"/>
      <c r="H152" s="1"/>
      <c r="I152" s="1"/>
      <c r="J152" s="1"/>
      <c r="K152" s="1"/>
      <c r="L152" s="1"/>
    </row>
    <row r="153" spans="1:12" x14ac:dyDescent="0.15">
      <c r="A153" s="1" t="s">
        <v>158</v>
      </c>
      <c r="B153" s="1" t="s">
        <v>159</v>
      </c>
      <c r="C153" s="1">
        <f t="shared" si="23"/>
        <v>588.29301604884552</v>
      </c>
      <c r="D153" s="1"/>
      <c r="E153" s="1"/>
      <c r="F153" s="1">
        <f t="shared" ref="F153:K153" si="28">F149-F157</f>
        <v>359.02634938217886</v>
      </c>
      <c r="G153" s="1">
        <f t="shared" si="28"/>
        <v>114.63333333333327</v>
      </c>
      <c r="H153" s="1">
        <f t="shared" si="28"/>
        <v>114.63333333333338</v>
      </c>
      <c r="I153" s="1">
        <f t="shared" si="28"/>
        <v>0</v>
      </c>
      <c r="J153" s="1">
        <f t="shared" si="28"/>
        <v>0</v>
      </c>
      <c r="K153" s="1">
        <f t="shared" si="28"/>
        <v>0</v>
      </c>
      <c r="L153" s="1"/>
    </row>
    <row r="154" spans="1:12" x14ac:dyDescent="0.15">
      <c r="A154" s="1" t="s">
        <v>96</v>
      </c>
      <c r="B154" s="1" t="s">
        <v>160</v>
      </c>
      <c r="C154" s="1">
        <f t="shared" si="23"/>
        <v>7191.144318434348</v>
      </c>
      <c r="D154" s="1">
        <f t="shared" ref="D154:K154" si="29">D155+D156+D157</f>
        <v>2894.0735976075002</v>
      </c>
      <c r="E154" s="1">
        <f t="shared" si="29"/>
        <v>2924.3870167128753</v>
      </c>
      <c r="F154" s="1">
        <f t="shared" si="29"/>
        <v>837.72814855841727</v>
      </c>
      <c r="G154" s="1">
        <f t="shared" si="29"/>
        <v>267.47777777777759</v>
      </c>
      <c r="H154" s="1">
        <f t="shared" si="29"/>
        <v>267.47777777777793</v>
      </c>
      <c r="I154" s="1">
        <f t="shared" si="29"/>
        <v>0</v>
      </c>
      <c r="J154" s="1">
        <f t="shared" si="29"/>
        <v>0</v>
      </c>
      <c r="K154" s="1">
        <f t="shared" si="29"/>
        <v>0</v>
      </c>
      <c r="L154" s="1"/>
    </row>
    <row r="155" spans="1:12" x14ac:dyDescent="0.15">
      <c r="A155" s="1" t="s">
        <v>161</v>
      </c>
      <c r="B155" s="1" t="s">
        <v>157</v>
      </c>
      <c r="C155" s="1">
        <f t="shared" si="23"/>
        <v>5403.5780328000001</v>
      </c>
      <c r="D155" s="1">
        <f>D147*B19</f>
        <v>2756.2605691500003</v>
      </c>
      <c r="E155" s="1">
        <f>E147*C19</f>
        <v>2647.3174636500003</v>
      </c>
      <c r="F155" s="1"/>
      <c r="G155" s="1"/>
      <c r="H155" s="1"/>
      <c r="I155" s="1"/>
      <c r="J155" s="1"/>
      <c r="K155" s="1"/>
      <c r="L155" s="1"/>
    </row>
    <row r="156" spans="1:12" x14ac:dyDescent="0.15">
      <c r="A156" s="1" t="s">
        <v>162</v>
      </c>
      <c r="B156" s="1" t="s">
        <v>163</v>
      </c>
      <c r="C156" s="1">
        <f t="shared" si="23"/>
        <v>414.88258152037503</v>
      </c>
      <c r="D156" s="1">
        <f>D155*$C$33</f>
        <v>137.81302845750002</v>
      </c>
      <c r="E156" s="1">
        <f>(SUM($D$156:D156) + SUM($D$155:E155))*$C$33</f>
        <v>277.069553062875</v>
      </c>
      <c r="F156" s="1"/>
      <c r="G156" s="1"/>
      <c r="H156" s="1"/>
      <c r="I156" s="1"/>
      <c r="J156" s="1"/>
      <c r="K156" s="1"/>
      <c r="L156" s="1"/>
    </row>
    <row r="157" spans="1:12" x14ac:dyDescent="0.15">
      <c r="A157" s="1" t="s">
        <v>164</v>
      </c>
      <c r="B157" s="1" t="s">
        <v>159</v>
      </c>
      <c r="C157" s="1">
        <f t="shared" si="23"/>
        <v>1372.6837041139727</v>
      </c>
      <c r="D157" s="1"/>
      <c r="E157" s="1"/>
      <c r="F157" s="1">
        <f t="shared" ref="F157:K157" si="30">E94</f>
        <v>837.72814855841727</v>
      </c>
      <c r="G157" s="1">
        <f t="shared" si="30"/>
        <v>267.47777777777759</v>
      </c>
      <c r="H157" s="1">
        <f t="shared" si="30"/>
        <v>267.47777777777793</v>
      </c>
      <c r="I157" s="1">
        <f t="shared" si="30"/>
        <v>0</v>
      </c>
      <c r="J157" s="1">
        <f t="shared" si="30"/>
        <v>0</v>
      </c>
      <c r="K157" s="1">
        <f t="shared" si="30"/>
        <v>0</v>
      </c>
      <c r="L157" s="1"/>
    </row>
    <row r="158" spans="1:12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15">
      <c r="A173" s="3" t="s">
        <v>165</v>
      </c>
      <c r="B173" s="3"/>
      <c r="C173" s="3"/>
      <c r="D173" s="3"/>
      <c r="E173" s="3"/>
      <c r="F173" s="3"/>
      <c r="G173" s="3"/>
      <c r="H173" s="3"/>
      <c r="I173" s="3"/>
      <c r="J173" s="3"/>
      <c r="K173" s="1" t="s">
        <v>80</v>
      </c>
      <c r="L173" s="1"/>
    </row>
    <row r="174" spans="1:12" x14ac:dyDescent="0.15">
      <c r="A174" s="3" t="s">
        <v>81</v>
      </c>
      <c r="B174" s="3" t="s">
        <v>106</v>
      </c>
      <c r="C174" s="3" t="s">
        <v>166</v>
      </c>
      <c r="D174" s="3" t="s">
        <v>167</v>
      </c>
      <c r="E174" s="3" t="s">
        <v>168</v>
      </c>
      <c r="F174" s="3" t="s">
        <v>109</v>
      </c>
      <c r="G174" s="3"/>
      <c r="H174" s="3" t="s">
        <v>110</v>
      </c>
      <c r="I174" s="3"/>
      <c r="J174" s="3"/>
      <c r="K174" s="3"/>
      <c r="L174" s="1"/>
    </row>
    <row r="175" spans="1:12" x14ac:dyDescent="0.15">
      <c r="A175" s="3"/>
      <c r="B175" s="3"/>
      <c r="C175" s="3"/>
      <c r="D175" s="3"/>
      <c r="E175" s="3"/>
      <c r="F175" s="1">
        <v>3</v>
      </c>
      <c r="G175" s="1">
        <v>4</v>
      </c>
      <c r="H175" s="1">
        <v>5</v>
      </c>
      <c r="I175" s="1">
        <v>6</v>
      </c>
      <c r="J175" s="1">
        <v>7</v>
      </c>
      <c r="K175" s="1">
        <v>8</v>
      </c>
      <c r="L175" s="1"/>
    </row>
    <row r="176" spans="1:12" x14ac:dyDescent="0.15">
      <c r="A176" s="1" t="s">
        <v>18</v>
      </c>
      <c r="B176" s="1" t="s">
        <v>83</v>
      </c>
      <c r="C176" s="1"/>
      <c r="D176" s="1">
        <f>C37</f>
        <v>10</v>
      </c>
      <c r="E176" s="1">
        <f>C40</f>
        <v>0.1</v>
      </c>
      <c r="F176" s="1"/>
      <c r="G176" s="1"/>
      <c r="H176" s="1"/>
      <c r="I176" s="1"/>
      <c r="J176" s="1"/>
      <c r="K176" s="1"/>
      <c r="L176" s="1"/>
    </row>
    <row r="177" spans="1:12" x14ac:dyDescent="0.15">
      <c r="A177" s="1" t="s">
        <v>90</v>
      </c>
      <c r="B177" s="1" t="s">
        <v>166</v>
      </c>
      <c r="C177" s="1">
        <f>C64+$G$74+C148</f>
        <v>1927.2781315203752</v>
      </c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15">
      <c r="A178" s="1" t="s">
        <v>91</v>
      </c>
      <c r="B178" s="1" t="s">
        <v>169</v>
      </c>
      <c r="C178" s="1"/>
      <c r="D178" s="1"/>
      <c r="E178" s="1"/>
      <c r="F178" s="1">
        <f t="shared" ref="F178:K178" si="31">$C$177*(1-$E$176)/$D$176</f>
        <v>173.45503183683377</v>
      </c>
      <c r="G178" s="1">
        <f t="shared" si="31"/>
        <v>173.45503183683377</v>
      </c>
      <c r="H178" s="1">
        <f t="shared" si="31"/>
        <v>173.45503183683377</v>
      </c>
      <c r="I178" s="1">
        <f t="shared" si="31"/>
        <v>173.45503183683377</v>
      </c>
      <c r="J178" s="1">
        <f t="shared" si="31"/>
        <v>173.45503183683377</v>
      </c>
      <c r="K178" s="1">
        <f t="shared" si="31"/>
        <v>173.45503183683377</v>
      </c>
      <c r="L178" s="1"/>
    </row>
    <row r="179" spans="1:12" x14ac:dyDescent="0.15">
      <c r="A179" s="1" t="s">
        <v>92</v>
      </c>
      <c r="B179" s="1" t="s">
        <v>170</v>
      </c>
      <c r="C179" s="1"/>
      <c r="D179" s="1"/>
      <c r="E179" s="1"/>
      <c r="F179" s="1">
        <f>C177-F178</f>
        <v>1753.8230996835414</v>
      </c>
      <c r="G179" s="1">
        <f>F179-G178</f>
        <v>1580.3680678467076</v>
      </c>
      <c r="H179" s="1">
        <f>G179-H178</f>
        <v>1406.9130360098738</v>
      </c>
      <c r="I179" s="1">
        <f>H179-I178</f>
        <v>1233.4580041730401</v>
      </c>
      <c r="J179" s="1">
        <f>I179-J178</f>
        <v>1060.0029723362063</v>
      </c>
      <c r="K179" s="1">
        <f>J179-K178</f>
        <v>886.54794049937254</v>
      </c>
      <c r="L179" s="1"/>
    </row>
    <row r="180" spans="1:12" x14ac:dyDescent="0.15">
      <c r="A180" s="1" t="s">
        <v>20</v>
      </c>
      <c r="B180" s="1" t="s">
        <v>84</v>
      </c>
      <c r="C180" s="1"/>
      <c r="D180" s="1">
        <f>C38</f>
        <v>10</v>
      </c>
      <c r="E180" s="1">
        <f>C41</f>
        <v>0.1</v>
      </c>
      <c r="F180" s="1"/>
      <c r="G180" s="1"/>
      <c r="H180" s="1"/>
      <c r="I180" s="1"/>
      <c r="J180" s="1"/>
      <c r="K180" s="1"/>
      <c r="L180" s="1"/>
    </row>
    <row r="181" spans="1:12" x14ac:dyDescent="0.15">
      <c r="A181" s="1" t="s">
        <v>95</v>
      </c>
      <c r="B181" s="1" t="s">
        <v>166</v>
      </c>
      <c r="C181" s="1">
        <f>D64+E64</f>
        <v>1704.915</v>
      </c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15">
      <c r="A182" s="1" t="s">
        <v>96</v>
      </c>
      <c r="B182" s="1" t="s">
        <v>169</v>
      </c>
      <c r="C182" s="1"/>
      <c r="D182" s="1"/>
      <c r="E182" s="1"/>
      <c r="F182" s="1">
        <f t="shared" ref="F182:K182" si="32">$C$181*(1-$E$180)/$D$180</f>
        <v>153.44235</v>
      </c>
      <c r="G182" s="1">
        <f t="shared" si="32"/>
        <v>153.44235</v>
      </c>
      <c r="H182" s="1">
        <f t="shared" si="32"/>
        <v>153.44235</v>
      </c>
      <c r="I182" s="1">
        <f t="shared" si="32"/>
        <v>153.44235</v>
      </c>
      <c r="J182" s="1">
        <f t="shared" si="32"/>
        <v>153.44235</v>
      </c>
      <c r="K182" s="1">
        <f t="shared" si="32"/>
        <v>153.44235</v>
      </c>
      <c r="L182" s="1"/>
    </row>
    <row r="183" spans="1:12" x14ac:dyDescent="0.15">
      <c r="A183" s="1" t="s">
        <v>97</v>
      </c>
      <c r="B183" s="1" t="s">
        <v>170</v>
      </c>
      <c r="C183" s="1"/>
      <c r="D183" s="1"/>
      <c r="E183" s="1"/>
      <c r="F183" s="1">
        <f>C181-F182</f>
        <v>1551.4726499999999</v>
      </c>
      <c r="G183" s="1">
        <f>F183-G182</f>
        <v>1398.0302999999999</v>
      </c>
      <c r="H183" s="1">
        <f>G183-H182</f>
        <v>1244.5879499999999</v>
      </c>
      <c r="I183" s="1">
        <f>H183-I182</f>
        <v>1091.1455999999998</v>
      </c>
      <c r="J183" s="1">
        <f>I183-J182</f>
        <v>937.7032499999998</v>
      </c>
      <c r="K183" s="1">
        <f>J183-K182</f>
        <v>784.26089999999976</v>
      </c>
      <c r="L183" s="1"/>
    </row>
    <row r="184" spans="1:12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15">
      <c r="A185" s="1" t="s">
        <v>33</v>
      </c>
      <c r="B185" s="1" t="s">
        <v>43</v>
      </c>
      <c r="C185" s="1"/>
      <c r="D185" s="1">
        <f>C39</f>
        <v>10</v>
      </c>
      <c r="E185" s="1"/>
      <c r="F185" s="1"/>
      <c r="G185" s="1"/>
      <c r="H185" s="1"/>
      <c r="I185" s="1"/>
      <c r="J185" s="1"/>
      <c r="K185" s="1"/>
      <c r="L185" s="1"/>
    </row>
    <row r="186" spans="1:12" x14ac:dyDescent="0.15">
      <c r="A186" s="1" t="s">
        <v>100</v>
      </c>
      <c r="B186" s="1" t="s">
        <v>166</v>
      </c>
      <c r="C186" s="1">
        <v>4555</v>
      </c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15">
      <c r="A187" s="1" t="s">
        <v>102</v>
      </c>
      <c r="B187" s="1" t="s">
        <v>169</v>
      </c>
      <c r="C187" s="1"/>
      <c r="D187" s="1"/>
      <c r="E187" s="1"/>
      <c r="F187" s="1">
        <f t="shared" ref="F187:K187" si="33">$C$186/$D$185</f>
        <v>455.5</v>
      </c>
      <c r="G187" s="1">
        <f t="shared" si="33"/>
        <v>455.5</v>
      </c>
      <c r="H187" s="1">
        <f t="shared" si="33"/>
        <v>455.5</v>
      </c>
      <c r="I187" s="1">
        <f t="shared" si="33"/>
        <v>455.5</v>
      </c>
      <c r="J187" s="1">
        <f t="shared" si="33"/>
        <v>455.5</v>
      </c>
      <c r="K187" s="1">
        <f t="shared" si="33"/>
        <v>455.5</v>
      </c>
      <c r="L187" s="1"/>
    </row>
    <row r="188" spans="1:12" x14ac:dyDescent="0.15">
      <c r="A188" s="1" t="s">
        <v>171</v>
      </c>
      <c r="B188" s="1" t="s">
        <v>170</v>
      </c>
      <c r="C188" s="1"/>
      <c r="D188" s="1"/>
      <c r="E188" s="1"/>
      <c r="F188" s="1">
        <f>C186-F187</f>
        <v>4099.5</v>
      </c>
      <c r="G188" s="1">
        <f>F188-G187</f>
        <v>3644</v>
      </c>
      <c r="H188" s="1">
        <f>G188-H187</f>
        <v>3188.5</v>
      </c>
      <c r="I188" s="1">
        <f>H188-I187</f>
        <v>2733</v>
      </c>
      <c r="J188" s="1">
        <f>I188-J187</f>
        <v>2277.5</v>
      </c>
      <c r="K188" s="1">
        <f>J188-K187</f>
        <v>1822</v>
      </c>
      <c r="L188" s="1"/>
    </row>
    <row r="189" spans="1:12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15">
      <c r="A190" s="1" t="s">
        <v>38</v>
      </c>
      <c r="B190" s="1" t="s">
        <v>172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15">
      <c r="A191" s="1" t="s">
        <v>173</v>
      </c>
      <c r="B191" s="1" t="s">
        <v>166</v>
      </c>
      <c r="C191" s="1">
        <f>C177+C181+C186</f>
        <v>8187.1931315203747</v>
      </c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15">
      <c r="A192" s="1" t="s">
        <v>174</v>
      </c>
      <c r="B192" s="1" t="s">
        <v>169</v>
      </c>
      <c r="C192" s="1"/>
      <c r="D192" s="1"/>
      <c r="E192" s="1"/>
      <c r="F192" s="1">
        <f t="shared" ref="F192:K192" si="34">F178+F182+F187</f>
        <v>782.3973818368338</v>
      </c>
      <c r="G192" s="1">
        <f t="shared" si="34"/>
        <v>782.3973818368338</v>
      </c>
      <c r="H192" s="1">
        <f t="shared" si="34"/>
        <v>782.3973818368338</v>
      </c>
      <c r="I192" s="1">
        <f t="shared" si="34"/>
        <v>782.3973818368338</v>
      </c>
      <c r="J192" s="1">
        <f t="shared" si="34"/>
        <v>782.3973818368338</v>
      </c>
      <c r="K192" s="1">
        <f t="shared" si="34"/>
        <v>782.3973818368338</v>
      </c>
      <c r="L192" s="1"/>
    </row>
    <row r="193" spans="1:12" x14ac:dyDescent="0.15">
      <c r="A193" s="1" t="s">
        <v>175</v>
      </c>
      <c r="B193" s="1" t="s">
        <v>170</v>
      </c>
      <c r="C193" s="1"/>
      <c r="D193" s="1"/>
      <c r="E193" s="1"/>
      <c r="F193" s="1">
        <f t="shared" ref="F193:K193" si="35">F179+F188+F183</f>
        <v>7404.7957496835406</v>
      </c>
      <c r="G193" s="1">
        <f t="shared" si="35"/>
        <v>6622.3983678467084</v>
      </c>
      <c r="H193" s="1">
        <f t="shared" si="35"/>
        <v>5840.0009860098735</v>
      </c>
      <c r="I193" s="1">
        <f t="shared" si="35"/>
        <v>5057.6036041730404</v>
      </c>
      <c r="J193" s="1">
        <f t="shared" si="35"/>
        <v>4275.2062223362063</v>
      </c>
      <c r="K193" s="1">
        <f t="shared" si="35"/>
        <v>3492.8088404993723</v>
      </c>
      <c r="L193" s="1"/>
    </row>
    <row r="194" spans="1:12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15">
      <c r="A195" s="1" t="s">
        <v>176</v>
      </c>
      <c r="B195" s="1" t="s">
        <v>177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15">
      <c r="A196" s="1"/>
      <c r="B196" s="1" t="s">
        <v>178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15">
      <c r="A212" s="3" t="s">
        <v>179</v>
      </c>
      <c r="B212" s="3"/>
      <c r="C212" s="3"/>
      <c r="D212" s="3"/>
      <c r="E212" s="3"/>
      <c r="F212" s="3"/>
      <c r="G212" s="3"/>
      <c r="H212" s="3"/>
      <c r="I212" s="3"/>
      <c r="J212" s="1" t="s">
        <v>80</v>
      </c>
      <c r="K212" s="1"/>
      <c r="L212" s="1"/>
    </row>
    <row r="213" spans="1:12" x14ac:dyDescent="0.15">
      <c r="A213" s="3" t="s">
        <v>81</v>
      </c>
      <c r="B213" s="3" t="s">
        <v>106</v>
      </c>
      <c r="C213" s="3" t="s">
        <v>166</v>
      </c>
      <c r="D213" s="3" t="s">
        <v>180</v>
      </c>
      <c r="E213" s="3" t="s">
        <v>109</v>
      </c>
      <c r="F213" s="3"/>
      <c r="G213" s="3" t="s">
        <v>110</v>
      </c>
      <c r="H213" s="3"/>
      <c r="I213" s="3"/>
      <c r="J213" s="3"/>
      <c r="K213" s="1"/>
      <c r="L213" s="1"/>
    </row>
    <row r="214" spans="1:12" x14ac:dyDescent="0.15">
      <c r="A214" s="3"/>
      <c r="B214" s="3"/>
      <c r="C214" s="3"/>
      <c r="D214" s="3"/>
      <c r="E214" s="1">
        <v>3</v>
      </c>
      <c r="F214" s="1">
        <v>4</v>
      </c>
      <c r="G214" s="1">
        <v>5</v>
      </c>
      <c r="H214" s="1">
        <v>6</v>
      </c>
      <c r="I214" s="1">
        <v>7</v>
      </c>
      <c r="J214" s="1">
        <v>8</v>
      </c>
      <c r="K214" s="1"/>
      <c r="L214" s="1"/>
    </row>
    <row r="215" spans="1:12" x14ac:dyDescent="0.15">
      <c r="A215" s="1" t="s">
        <v>18</v>
      </c>
      <c r="B215" s="1" t="s">
        <v>181</v>
      </c>
      <c r="C215" s="1">
        <v>2222</v>
      </c>
      <c r="D215" s="1">
        <f>C42</f>
        <v>4</v>
      </c>
      <c r="E215" s="1"/>
      <c r="F215" s="1"/>
      <c r="G215" s="1"/>
      <c r="H215" s="1"/>
      <c r="I215" s="1"/>
      <c r="J215" s="1"/>
      <c r="K215" s="1"/>
      <c r="L215" s="1"/>
    </row>
    <row r="216" spans="1:12" x14ac:dyDescent="0.15">
      <c r="A216" s="1" t="s">
        <v>90</v>
      </c>
      <c r="B216" s="1" t="s">
        <v>182</v>
      </c>
      <c r="C216" s="1"/>
      <c r="D216" s="1"/>
      <c r="E216" s="1">
        <f t="shared" ref="E216:J216" si="36">IF(E214-$E$214+1&gt;$D$215,0,$C$215/$D$215)</f>
        <v>555.5</v>
      </c>
      <c r="F216" s="1">
        <f t="shared" si="36"/>
        <v>555.5</v>
      </c>
      <c r="G216" s="1">
        <f t="shared" si="36"/>
        <v>555.5</v>
      </c>
      <c r="H216" s="1">
        <f t="shared" si="36"/>
        <v>555.5</v>
      </c>
      <c r="I216" s="1">
        <f t="shared" si="36"/>
        <v>0</v>
      </c>
      <c r="J216" s="1">
        <f t="shared" si="36"/>
        <v>0</v>
      </c>
      <c r="K216" s="1"/>
      <c r="L216" s="1"/>
    </row>
    <row r="217" spans="1:12" x14ac:dyDescent="0.15">
      <c r="A217" s="1" t="s">
        <v>91</v>
      </c>
      <c r="B217" s="1" t="s">
        <v>170</v>
      </c>
      <c r="C217" s="1"/>
      <c r="D217" s="1"/>
      <c r="E217" s="1">
        <f>C215-E216</f>
        <v>1666.5</v>
      </c>
      <c r="F217" s="1">
        <f>E217-F216</f>
        <v>1111</v>
      </c>
      <c r="G217" s="1">
        <f>F217-G216</f>
        <v>555.5</v>
      </c>
      <c r="H217" s="1">
        <f>G217-H216</f>
        <v>0</v>
      </c>
      <c r="I217" s="1">
        <f>H217-I216</f>
        <v>0</v>
      </c>
      <c r="J217" s="1">
        <f>I217-J216</f>
        <v>0</v>
      </c>
      <c r="K217" s="1"/>
      <c r="L217" s="1"/>
    </row>
    <row r="218" spans="1:12" x14ac:dyDescent="0.15">
      <c r="A218" s="1" t="s">
        <v>20</v>
      </c>
      <c r="B218" s="1" t="s">
        <v>183</v>
      </c>
      <c r="C218" s="1">
        <v>900</v>
      </c>
      <c r="D218" s="1">
        <f>C43</f>
        <v>4</v>
      </c>
      <c r="E218" s="1"/>
      <c r="F218" s="1"/>
      <c r="G218" s="1"/>
      <c r="H218" s="1"/>
      <c r="I218" s="1"/>
      <c r="J218" s="1"/>
      <c r="K218" s="1"/>
      <c r="L218" s="1"/>
    </row>
    <row r="219" spans="1:12" x14ac:dyDescent="0.15">
      <c r="A219" s="1" t="s">
        <v>95</v>
      </c>
      <c r="B219" s="1" t="s">
        <v>182</v>
      </c>
      <c r="C219" s="1"/>
      <c r="D219" s="1"/>
      <c r="E219" s="1">
        <f t="shared" ref="E219:J219" si="37">IF(E214-$E$214+1&gt;$D$218,0,$C$218/$D$218)</f>
        <v>225</v>
      </c>
      <c r="F219" s="1">
        <f t="shared" si="37"/>
        <v>225</v>
      </c>
      <c r="G219" s="1">
        <f t="shared" si="37"/>
        <v>225</v>
      </c>
      <c r="H219" s="1">
        <f t="shared" si="37"/>
        <v>225</v>
      </c>
      <c r="I219" s="1">
        <f t="shared" si="37"/>
        <v>0</v>
      </c>
      <c r="J219" s="1">
        <f t="shared" si="37"/>
        <v>0</v>
      </c>
      <c r="K219" s="1"/>
      <c r="L219" s="1"/>
    </row>
    <row r="220" spans="1:12" x14ac:dyDescent="0.15">
      <c r="A220" s="1" t="s">
        <v>96</v>
      </c>
      <c r="B220" s="1" t="s">
        <v>170</v>
      </c>
      <c r="C220" s="1"/>
      <c r="D220" s="1"/>
      <c r="E220" s="1">
        <f>C218-E219</f>
        <v>675</v>
      </c>
      <c r="F220" s="1">
        <f>E220-F219</f>
        <v>450</v>
      </c>
      <c r="G220" s="1">
        <f>F220-G219</f>
        <v>225</v>
      </c>
      <c r="H220" s="1">
        <f>G220-H219</f>
        <v>0</v>
      </c>
      <c r="I220" s="1">
        <f>H220-I219</f>
        <v>0</v>
      </c>
      <c r="J220" s="1">
        <f>I220-J219</f>
        <v>0</v>
      </c>
      <c r="K220" s="1"/>
      <c r="L220" s="1"/>
    </row>
    <row r="221" spans="1:12" x14ac:dyDescent="0.15">
      <c r="A221" s="1" t="s">
        <v>33</v>
      </c>
      <c r="B221" s="1" t="s">
        <v>184</v>
      </c>
      <c r="C221" s="1">
        <f>C215+C218</f>
        <v>3122</v>
      </c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15">
      <c r="A222" s="1" t="s">
        <v>100</v>
      </c>
      <c r="B222" s="1" t="s">
        <v>185</v>
      </c>
      <c r="C222" s="1"/>
      <c r="D222" s="1"/>
      <c r="E222" s="1">
        <f t="shared" ref="E222:J223" si="38">E216+E219</f>
        <v>780.5</v>
      </c>
      <c r="F222" s="1">
        <f t="shared" si="38"/>
        <v>780.5</v>
      </c>
      <c r="G222" s="1">
        <f t="shared" si="38"/>
        <v>780.5</v>
      </c>
      <c r="H222" s="1">
        <f t="shared" si="38"/>
        <v>780.5</v>
      </c>
      <c r="I222" s="1">
        <f t="shared" si="38"/>
        <v>0</v>
      </c>
      <c r="J222" s="1">
        <f t="shared" si="38"/>
        <v>0</v>
      </c>
      <c r="K222" s="1"/>
      <c r="L222" s="1"/>
    </row>
    <row r="223" spans="1:12" x14ac:dyDescent="0.15">
      <c r="A223" s="1" t="s">
        <v>102</v>
      </c>
      <c r="B223" s="1" t="s">
        <v>186</v>
      </c>
      <c r="C223" s="1"/>
      <c r="D223" s="1"/>
      <c r="E223" s="1">
        <f t="shared" si="38"/>
        <v>2341.5</v>
      </c>
      <c r="F223" s="1">
        <f t="shared" si="38"/>
        <v>1561</v>
      </c>
      <c r="G223" s="1">
        <f t="shared" si="38"/>
        <v>780.5</v>
      </c>
      <c r="H223" s="1">
        <f t="shared" si="38"/>
        <v>0</v>
      </c>
      <c r="I223" s="1">
        <f t="shared" si="38"/>
        <v>0</v>
      </c>
      <c r="J223" s="1">
        <f t="shared" si="38"/>
        <v>0</v>
      </c>
      <c r="K223" s="1"/>
      <c r="L223" s="1"/>
    </row>
    <row r="224" spans="1:12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15">
      <c r="A239" s="3" t="s">
        <v>187</v>
      </c>
      <c r="B239" s="3"/>
      <c r="C239" s="3"/>
      <c r="D239" s="3"/>
      <c r="E239" s="3"/>
      <c r="F239" s="3"/>
      <c r="G239" s="3"/>
      <c r="H239" s="3"/>
      <c r="I239" s="1" t="s">
        <v>80</v>
      </c>
      <c r="J239" s="1"/>
      <c r="K239" s="1"/>
      <c r="L239" s="1"/>
    </row>
    <row r="240" spans="1:12" x14ac:dyDescent="0.15">
      <c r="A240" s="3" t="s">
        <v>81</v>
      </c>
      <c r="B240" s="3" t="s">
        <v>106</v>
      </c>
      <c r="C240" s="3" t="s">
        <v>87</v>
      </c>
      <c r="D240" s="3" t="s">
        <v>109</v>
      </c>
      <c r="E240" s="3"/>
      <c r="F240" s="3" t="s">
        <v>110</v>
      </c>
      <c r="G240" s="3"/>
      <c r="H240" s="3"/>
      <c r="I240" s="3"/>
      <c r="J240" s="1"/>
      <c r="K240" s="1"/>
      <c r="L240" s="1"/>
    </row>
    <row r="241" spans="1:12" x14ac:dyDescent="0.15">
      <c r="A241" s="3"/>
      <c r="B241" s="3"/>
      <c r="C241" s="3"/>
      <c r="D241" s="1">
        <v>3</v>
      </c>
      <c r="E241" s="1">
        <v>4</v>
      </c>
      <c r="F241" s="1">
        <v>5</v>
      </c>
      <c r="G241" s="1">
        <v>6</v>
      </c>
      <c r="H241" s="1">
        <v>7</v>
      </c>
      <c r="I241" s="1">
        <v>8</v>
      </c>
      <c r="J241" s="1"/>
      <c r="K241" s="1"/>
      <c r="L241" s="1"/>
    </row>
    <row r="242" spans="1:12" x14ac:dyDescent="0.15">
      <c r="A242" s="1"/>
      <c r="B242" s="1" t="s">
        <v>188</v>
      </c>
      <c r="C242" s="1"/>
      <c r="D242" s="1">
        <f>C6</f>
        <v>0.6</v>
      </c>
      <c r="E242" s="1">
        <f>D6</f>
        <v>0.8</v>
      </c>
      <c r="F242" s="1">
        <f>E6</f>
        <v>1</v>
      </c>
      <c r="G242" s="1">
        <f>F6</f>
        <v>1</v>
      </c>
      <c r="H242" s="1">
        <f>G6</f>
        <v>1</v>
      </c>
      <c r="I242" s="1">
        <f>H6</f>
        <v>1</v>
      </c>
      <c r="J242" s="1"/>
      <c r="K242" s="1"/>
      <c r="L242" s="1"/>
    </row>
    <row r="243" spans="1:12" x14ac:dyDescent="0.15">
      <c r="A243" s="1" t="s">
        <v>18</v>
      </c>
      <c r="B243" s="1" t="s">
        <v>189</v>
      </c>
      <c r="C243" s="1">
        <f t="shared" ref="C243:C253" si="39">SUM(D243:K243)</f>
        <v>32400</v>
      </c>
      <c r="D243" s="1">
        <f>$F$243*D242</f>
        <v>3600</v>
      </c>
      <c r="E243" s="1">
        <f>$F$243*E242</f>
        <v>4800</v>
      </c>
      <c r="F243" s="1">
        <f>$C$44*$C$45</f>
        <v>6000</v>
      </c>
      <c r="G243" s="1">
        <f>$F$243*G242</f>
        <v>6000</v>
      </c>
      <c r="H243" s="1">
        <f>$F$243*H242</f>
        <v>6000</v>
      </c>
      <c r="I243" s="1">
        <f>$F$243*I242</f>
        <v>6000</v>
      </c>
      <c r="J243" s="1"/>
      <c r="K243" s="1"/>
      <c r="L243" s="1"/>
    </row>
    <row r="244" spans="1:12" x14ac:dyDescent="0.15">
      <c r="A244" s="1" t="s">
        <v>20</v>
      </c>
      <c r="B244" s="1" t="s">
        <v>190</v>
      </c>
      <c r="C244" s="1">
        <f t="shared" si="39"/>
        <v>1620</v>
      </c>
      <c r="D244" s="1">
        <f>$F$244*D242</f>
        <v>180</v>
      </c>
      <c r="E244" s="1">
        <f>$F$244*E242</f>
        <v>240</v>
      </c>
      <c r="F244" s="1">
        <f>$C$46*$C$47</f>
        <v>300</v>
      </c>
      <c r="G244" s="1">
        <f>$F$244*G242</f>
        <v>300</v>
      </c>
      <c r="H244" s="1">
        <f>$F$244*H242</f>
        <v>300</v>
      </c>
      <c r="I244" s="1">
        <f>$F$244*I242</f>
        <v>300</v>
      </c>
      <c r="J244" s="1"/>
      <c r="K244" s="1"/>
      <c r="L244" s="1"/>
    </row>
    <row r="245" spans="1:12" x14ac:dyDescent="0.15">
      <c r="A245" s="1" t="s">
        <v>33</v>
      </c>
      <c r="B245" s="1" t="s">
        <v>191</v>
      </c>
      <c r="C245" s="1">
        <f t="shared" si="39"/>
        <v>5400</v>
      </c>
      <c r="D245" s="1">
        <f>$F$245*D242</f>
        <v>600</v>
      </c>
      <c r="E245" s="1">
        <f>$F$245*E242</f>
        <v>800</v>
      </c>
      <c r="F245" s="1">
        <f>$C$48*$C$49</f>
        <v>1000</v>
      </c>
      <c r="G245" s="1">
        <f>$F$245*G242</f>
        <v>1000</v>
      </c>
      <c r="H245" s="1">
        <f>$F$245*H242</f>
        <v>1000</v>
      </c>
      <c r="I245" s="1">
        <f>$F$245*I242</f>
        <v>1000</v>
      </c>
      <c r="J245" s="1"/>
      <c r="K245" s="1"/>
      <c r="L245" s="1"/>
    </row>
    <row r="246" spans="1:12" x14ac:dyDescent="0.15">
      <c r="A246" s="1" t="s">
        <v>38</v>
      </c>
      <c r="B246" s="1" t="s">
        <v>192</v>
      </c>
      <c r="C246" s="1">
        <f t="shared" si="39"/>
        <v>938.87685820420052</v>
      </c>
      <c r="D246" s="1">
        <f>F192*$C$50</f>
        <v>156.47947636736677</v>
      </c>
      <c r="E246" s="1">
        <f>G192*$C$50</f>
        <v>156.47947636736677</v>
      </c>
      <c r="F246" s="1">
        <f>H192*$C$50</f>
        <v>156.47947636736677</v>
      </c>
      <c r="G246" s="1">
        <f>I192*$C$50</f>
        <v>156.47947636736677</v>
      </c>
      <c r="H246" s="1">
        <f>J192*$C$50</f>
        <v>156.47947636736677</v>
      </c>
      <c r="I246" s="1">
        <f>K192*$C$50</f>
        <v>156.47947636736677</v>
      </c>
      <c r="J246" s="1"/>
      <c r="K246" s="1"/>
      <c r="L246" s="1"/>
    </row>
    <row r="247" spans="1:12" x14ac:dyDescent="0.15">
      <c r="A247" s="1" t="s">
        <v>12</v>
      </c>
      <c r="B247" s="1" t="s">
        <v>169</v>
      </c>
      <c r="C247" s="1">
        <f t="shared" si="39"/>
        <v>4694.3842910210033</v>
      </c>
      <c r="D247" s="1">
        <f>F192</f>
        <v>782.3973818368338</v>
      </c>
      <c r="E247" s="1">
        <f>G192</f>
        <v>782.3973818368338</v>
      </c>
      <c r="F247" s="1">
        <f>H192</f>
        <v>782.3973818368338</v>
      </c>
      <c r="G247" s="1">
        <f>I192</f>
        <v>782.3973818368338</v>
      </c>
      <c r="H247" s="1">
        <f>J192</f>
        <v>782.3973818368338</v>
      </c>
      <c r="I247" s="1">
        <f>K192</f>
        <v>782.3973818368338</v>
      </c>
      <c r="J247" s="1"/>
      <c r="K247" s="1"/>
      <c r="L247" s="1"/>
    </row>
    <row r="248" spans="1:12" x14ac:dyDescent="0.15">
      <c r="A248" s="1" t="s">
        <v>128</v>
      </c>
      <c r="B248" s="1" t="s">
        <v>182</v>
      </c>
      <c r="C248" s="1">
        <f t="shared" si="39"/>
        <v>2341.5</v>
      </c>
      <c r="D248" s="1">
        <f>F222</f>
        <v>780.5</v>
      </c>
      <c r="E248" s="1">
        <f>G222</f>
        <v>780.5</v>
      </c>
      <c r="F248" s="1">
        <f>H222</f>
        <v>780.5</v>
      </c>
      <c r="G248" s="1">
        <f>I222</f>
        <v>0</v>
      </c>
      <c r="H248" s="1">
        <f>J222</f>
        <v>0</v>
      </c>
      <c r="I248" s="1">
        <f>K222</f>
        <v>0</v>
      </c>
      <c r="J248" s="1"/>
      <c r="K248" s="1"/>
      <c r="L248" s="1"/>
    </row>
    <row r="249" spans="1:12" x14ac:dyDescent="0.15">
      <c r="A249" s="1" t="s">
        <v>193</v>
      </c>
      <c r="B249" s="1" t="s">
        <v>194</v>
      </c>
      <c r="C249" s="1">
        <f t="shared" si="39"/>
        <v>1024.654332444067</v>
      </c>
      <c r="D249" s="1">
        <f>G120+E95</f>
        <v>324.43215665835544</v>
      </c>
      <c r="E249" s="1">
        <f>H120+F95</f>
        <v>262.40051009046186</v>
      </c>
      <c r="F249" s="1">
        <f>I120+G95</f>
        <v>200.36886352256829</v>
      </c>
      <c r="G249" s="1">
        <f>J120+H95</f>
        <v>127.63810584356359</v>
      </c>
      <c r="H249" s="1">
        <f>K120+I95</f>
        <v>54.907348164558911</v>
      </c>
      <c r="I249" s="1">
        <f>L120+J95</f>
        <v>54.907348164558911</v>
      </c>
      <c r="J249" s="1"/>
      <c r="K249" s="1"/>
      <c r="L249" s="1"/>
    </row>
    <row r="250" spans="1:12" x14ac:dyDescent="0.15">
      <c r="A250" s="1" t="s">
        <v>195</v>
      </c>
      <c r="B250" s="1" t="s">
        <v>86</v>
      </c>
      <c r="C250" s="1">
        <f t="shared" si="39"/>
        <v>2017.9438429102102</v>
      </c>
      <c r="D250" s="1">
        <f>(D243+D244+D245+D246)*$C$51</f>
        <v>226.82397381836836</v>
      </c>
      <c r="E250" s="1">
        <f>(E243+E244+E245+E246)*$C$51</f>
        <v>299.82397381836836</v>
      </c>
      <c r="F250" s="1">
        <f>(F243+F244+F245+F246)*$C$51</f>
        <v>372.82397381836836</v>
      </c>
      <c r="G250" s="1">
        <f>(G243+G244+G245+G246)*$C$51</f>
        <v>372.82397381836836</v>
      </c>
      <c r="H250" s="1">
        <f>(H243+H244+H245+H246)*$C$51</f>
        <v>372.82397381836836</v>
      </c>
      <c r="I250" s="1">
        <f>(I243+I244+I245+I246)*$C$51</f>
        <v>372.82397381836836</v>
      </c>
      <c r="J250" s="1"/>
      <c r="K250" s="1"/>
      <c r="L250" s="1"/>
    </row>
    <row r="251" spans="1:12" x14ac:dyDescent="0.15">
      <c r="A251" s="1" t="s">
        <v>196</v>
      </c>
      <c r="B251" s="1" t="s">
        <v>197</v>
      </c>
      <c r="C251" s="1">
        <f t="shared" si="39"/>
        <v>50437.359324579491</v>
      </c>
      <c r="D251" s="1">
        <f t="shared" ref="D251:I251" si="40">D243+D244+D245+D246+D247+D248+D249+D250</f>
        <v>6650.6329886809253</v>
      </c>
      <c r="E251" s="1">
        <f t="shared" si="40"/>
        <v>8121.601342113031</v>
      </c>
      <c r="F251" s="1">
        <f t="shared" si="40"/>
        <v>9592.5696955451385</v>
      </c>
      <c r="G251" s="1">
        <f t="shared" si="40"/>
        <v>8739.3389378661341</v>
      </c>
      <c r="H251" s="1">
        <f t="shared" si="40"/>
        <v>8666.6081801871296</v>
      </c>
      <c r="I251" s="1">
        <f t="shared" si="40"/>
        <v>8666.6081801871296</v>
      </c>
      <c r="J251" s="1"/>
      <c r="K251" s="1"/>
      <c r="L251" s="1"/>
    </row>
    <row r="252" spans="1:12" x14ac:dyDescent="0.15">
      <c r="A252" s="1" t="s">
        <v>198</v>
      </c>
      <c r="B252" s="1" t="s">
        <v>199</v>
      </c>
      <c r="C252" s="1">
        <f t="shared" si="39"/>
        <v>8999.4154816692717</v>
      </c>
      <c r="D252" s="1">
        <f t="shared" ref="D252:I252" si="41">D246+D247+D248+D249</f>
        <v>2043.8090148625561</v>
      </c>
      <c r="E252" s="1">
        <f t="shared" si="41"/>
        <v>1981.7773682946624</v>
      </c>
      <c r="F252" s="1">
        <f t="shared" si="41"/>
        <v>1919.7457217267688</v>
      </c>
      <c r="G252" s="1">
        <f t="shared" si="41"/>
        <v>1066.5149640477641</v>
      </c>
      <c r="H252" s="1">
        <f t="shared" si="41"/>
        <v>993.78420636875944</v>
      </c>
      <c r="I252" s="1">
        <f t="shared" si="41"/>
        <v>993.78420636875944</v>
      </c>
      <c r="J252" s="1"/>
      <c r="K252" s="1"/>
      <c r="L252" s="1"/>
    </row>
    <row r="253" spans="1:12" x14ac:dyDescent="0.15">
      <c r="A253" s="1" t="s">
        <v>200</v>
      </c>
      <c r="B253" s="1" t="s">
        <v>201</v>
      </c>
      <c r="C253" s="1">
        <f t="shared" si="39"/>
        <v>41437.943842910216</v>
      </c>
      <c r="D253" s="1">
        <f t="shared" ref="D253:I253" si="42">D251-D252</f>
        <v>4606.8239738183693</v>
      </c>
      <c r="E253" s="1">
        <f t="shared" si="42"/>
        <v>6139.8239738183684</v>
      </c>
      <c r="F253" s="1">
        <f t="shared" si="42"/>
        <v>7672.8239738183693</v>
      </c>
      <c r="G253" s="1">
        <f t="shared" si="42"/>
        <v>7672.8239738183702</v>
      </c>
      <c r="H253" s="1">
        <f t="shared" si="42"/>
        <v>7672.8239738183702</v>
      </c>
      <c r="I253" s="1">
        <f t="shared" si="42"/>
        <v>7672.8239738183702</v>
      </c>
      <c r="J253" s="1"/>
      <c r="K253" s="1"/>
      <c r="L253" s="1"/>
    </row>
    <row r="254" spans="1:12" x14ac:dyDescent="0.15">
      <c r="A254" s="1" t="s">
        <v>202</v>
      </c>
      <c r="B254" s="1" t="s">
        <v>203</v>
      </c>
      <c r="C254" s="1">
        <f t="shared" ref="C254:I254" si="43">C243+C244+C245+C246+C250</f>
        <v>42376.820701114411</v>
      </c>
      <c r="D254" s="1">
        <f t="shared" si="43"/>
        <v>4763.3034501857355</v>
      </c>
      <c r="E254" s="1">
        <f t="shared" si="43"/>
        <v>6296.3034501857355</v>
      </c>
      <c r="F254" s="1">
        <f t="shared" si="43"/>
        <v>7829.3034501857355</v>
      </c>
      <c r="G254" s="1">
        <f t="shared" si="43"/>
        <v>7829.3034501857355</v>
      </c>
      <c r="H254" s="1">
        <f t="shared" si="43"/>
        <v>7829.3034501857355</v>
      </c>
      <c r="I254" s="1">
        <f t="shared" si="43"/>
        <v>7829.3034501857355</v>
      </c>
      <c r="J254" s="1"/>
      <c r="K254" s="1"/>
      <c r="L254" s="1"/>
    </row>
    <row r="255" spans="1:12" x14ac:dyDescent="0.15">
      <c r="A255" s="1" t="s">
        <v>204</v>
      </c>
      <c r="B255" s="1" t="s">
        <v>205</v>
      </c>
      <c r="C255" s="1"/>
      <c r="D255" s="1">
        <f>D252/(D275-D276-D253)</f>
        <v>0.30804634325958014</v>
      </c>
      <c r="E255" s="1">
        <f>E252/(E275-E276-E253)</f>
        <v>0.22395659683041974</v>
      </c>
      <c r="F255" s="1">
        <f>F252/(F275-F276-F253)</f>
        <v>0.17352653668171905</v>
      </c>
      <c r="G255" s="1">
        <f>G252/(G275-G276-G253)</f>
        <v>9.6402688093489522E-2</v>
      </c>
      <c r="H255" s="1">
        <f>H252/(H275-H276-H253)</f>
        <v>8.9828527595336161E-2</v>
      </c>
      <c r="I255" s="1">
        <f>I252/(I275-I276-I253)</f>
        <v>8.9828527595336161E-2</v>
      </c>
      <c r="J255" s="1"/>
      <c r="K255" s="1"/>
      <c r="L255" s="1"/>
    </row>
    <row r="256" spans="1:12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x14ac:dyDescent="0.15">
      <c r="A271" s="3" t="s">
        <v>206</v>
      </c>
      <c r="B271" s="3"/>
      <c r="C271" s="3"/>
      <c r="D271" s="3"/>
      <c r="E271" s="3"/>
      <c r="F271" s="3"/>
      <c r="G271" s="3"/>
      <c r="H271" s="3"/>
      <c r="I271" s="1" t="s">
        <v>80</v>
      </c>
      <c r="J271" s="1"/>
      <c r="K271" s="1"/>
      <c r="L271" s="1"/>
    </row>
    <row r="272" spans="1:12" x14ac:dyDescent="0.15">
      <c r="A272" s="3" t="s">
        <v>81</v>
      </c>
      <c r="B272" s="3" t="s">
        <v>106</v>
      </c>
      <c r="C272" s="3" t="s">
        <v>87</v>
      </c>
      <c r="D272" s="3" t="s">
        <v>109</v>
      </c>
      <c r="E272" s="3"/>
      <c r="F272" s="3" t="s">
        <v>110</v>
      </c>
      <c r="G272" s="3"/>
      <c r="H272" s="3"/>
      <c r="I272" s="3"/>
      <c r="J272" s="1"/>
      <c r="K272" s="1"/>
      <c r="L272" s="1"/>
    </row>
    <row r="273" spans="1:12" x14ac:dyDescent="0.15">
      <c r="A273" s="3"/>
      <c r="B273" s="3"/>
      <c r="C273" s="3"/>
      <c r="D273" s="1">
        <v>3</v>
      </c>
      <c r="E273" s="1">
        <v>4</v>
      </c>
      <c r="F273" s="1">
        <v>5</v>
      </c>
      <c r="G273" s="1">
        <v>6</v>
      </c>
      <c r="H273" s="1">
        <v>7</v>
      </c>
      <c r="I273" s="1">
        <v>8</v>
      </c>
      <c r="J273" s="1"/>
      <c r="K273" s="1"/>
      <c r="L273" s="1"/>
    </row>
    <row r="274" spans="1:12" x14ac:dyDescent="0.15">
      <c r="A274" s="1"/>
      <c r="B274" s="1" t="s">
        <v>188</v>
      </c>
      <c r="C274" s="1"/>
      <c r="D274" s="1">
        <f>C6</f>
        <v>0.6</v>
      </c>
      <c r="E274" s="1">
        <f>D6</f>
        <v>0.8</v>
      </c>
      <c r="F274" s="1">
        <f>E6</f>
        <v>1</v>
      </c>
      <c r="G274" s="1">
        <f>F6</f>
        <v>1</v>
      </c>
      <c r="H274" s="1">
        <f>G6</f>
        <v>1</v>
      </c>
      <c r="I274" s="1">
        <f>H6</f>
        <v>1</v>
      </c>
      <c r="J274" s="1"/>
      <c r="K274" s="1"/>
      <c r="L274" s="1"/>
    </row>
    <row r="275" spans="1:12" x14ac:dyDescent="0.15">
      <c r="A275" s="1" t="s">
        <v>18</v>
      </c>
      <c r="B275" s="1" t="s">
        <v>207</v>
      </c>
      <c r="C275" s="1">
        <f>SUM(D275:K275)</f>
        <v>113400</v>
      </c>
      <c r="D275" s="1">
        <f>$F$275*D274</f>
        <v>12600</v>
      </c>
      <c r="E275" s="1">
        <f>$F$275*E274</f>
        <v>16800</v>
      </c>
      <c r="F275" s="1">
        <f>C52*C53</f>
        <v>21000</v>
      </c>
      <c r="G275" s="1">
        <f>$F$275*G274</f>
        <v>21000</v>
      </c>
      <c r="H275" s="1">
        <f>$F$275*H274</f>
        <v>21000</v>
      </c>
      <c r="I275" s="1">
        <f>$F$275*I274</f>
        <v>21000</v>
      </c>
      <c r="J275" s="1"/>
      <c r="K275" s="1"/>
      <c r="L275" s="1"/>
    </row>
    <row r="276" spans="1:12" x14ac:dyDescent="0.15">
      <c r="A276" s="1" t="s">
        <v>20</v>
      </c>
      <c r="B276" s="1" t="s">
        <v>208</v>
      </c>
      <c r="C276" s="1">
        <f>SUM(D276:K276)</f>
        <v>12225.876923076925</v>
      </c>
      <c r="D276" s="1">
        <f t="shared" ref="D276:I276" si="44">D277+D278+D279</f>
        <v>1358.4307692307693</v>
      </c>
      <c r="E276" s="1">
        <f t="shared" si="44"/>
        <v>1811.2410256410258</v>
      </c>
      <c r="F276" s="1">
        <f t="shared" si="44"/>
        <v>2264.0512820512822</v>
      </c>
      <c r="G276" s="1">
        <f t="shared" si="44"/>
        <v>2264.0512820512822</v>
      </c>
      <c r="H276" s="1">
        <f t="shared" si="44"/>
        <v>2264.0512820512822</v>
      </c>
      <c r="I276" s="1">
        <f t="shared" si="44"/>
        <v>2264.0512820512822</v>
      </c>
      <c r="J276" s="1"/>
      <c r="K276" s="1"/>
      <c r="L276" s="1"/>
    </row>
    <row r="277" spans="1:12" x14ac:dyDescent="0.15">
      <c r="A277" s="1" t="s">
        <v>95</v>
      </c>
      <c r="B277" s="1" t="s">
        <v>209</v>
      </c>
      <c r="C277" s="1">
        <f>SUM(D277:K277)</f>
        <v>11533.846153846154</v>
      </c>
      <c r="D277" s="1">
        <f>(D275-D243-D244)*$C$54/(1+$C$54)</f>
        <v>1281.5384615384617</v>
      </c>
      <c r="E277" s="1">
        <f>(E275-E243-E244)*$C$54/(1+$C$54)</f>
        <v>1708.717948717949</v>
      </c>
      <c r="F277" s="1">
        <f>(F275-F243-F244)*$C$54/(1+$C$54)</f>
        <v>2135.897435897436</v>
      </c>
      <c r="G277" s="1">
        <f>(G275-G243-G244)*$C$54/(1+$C$54)</f>
        <v>2135.897435897436</v>
      </c>
      <c r="H277" s="1">
        <f>(H275-H243-H244)*$C$54/(1+$C$54)</f>
        <v>2135.897435897436</v>
      </c>
      <c r="I277" s="1">
        <f>(I275-I243-I244)*$C$54/(1+$C$54)</f>
        <v>2135.897435897436</v>
      </c>
      <c r="J277" s="1"/>
      <c r="K277" s="1"/>
      <c r="L277" s="1"/>
    </row>
    <row r="278" spans="1:12" x14ac:dyDescent="0.15">
      <c r="A278" s="1" t="s">
        <v>96</v>
      </c>
      <c r="B278" s="1" t="s">
        <v>210</v>
      </c>
      <c r="C278" s="1">
        <f>SUM(D278:K278)</f>
        <v>461.35384615384623</v>
      </c>
      <c r="D278" s="1">
        <f>D277*$C$55</f>
        <v>51.261538461538464</v>
      </c>
      <c r="E278" s="1">
        <f>E277*$C$55</f>
        <v>68.348717948717962</v>
      </c>
      <c r="F278" s="1">
        <f>F277*$C$55</f>
        <v>85.435897435897445</v>
      </c>
      <c r="G278" s="1">
        <f>G277*$C$55</f>
        <v>85.435897435897445</v>
      </c>
      <c r="H278" s="1">
        <f>H277*$C$55</f>
        <v>85.435897435897445</v>
      </c>
      <c r="I278" s="1">
        <f>I277*$C$55</f>
        <v>85.435897435897445</v>
      </c>
      <c r="J278" s="1"/>
      <c r="K278" s="1"/>
      <c r="L278" s="1"/>
    </row>
    <row r="279" spans="1:12" x14ac:dyDescent="0.15">
      <c r="A279" s="1" t="s">
        <v>97</v>
      </c>
      <c r="B279" s="1" t="s">
        <v>211</v>
      </c>
      <c r="C279" s="1">
        <f>SUM(D279:K279)</f>
        <v>230.67692307692312</v>
      </c>
      <c r="D279" s="1">
        <f>D277*$C$56</f>
        <v>25.630769230769232</v>
      </c>
      <c r="E279" s="1">
        <f>E277*$C$56</f>
        <v>34.174358974358981</v>
      </c>
      <c r="F279" s="1">
        <f>F277*$C$56</f>
        <v>42.717948717948723</v>
      </c>
      <c r="G279" s="1">
        <f>G277*$C$56</f>
        <v>42.717948717948723</v>
      </c>
      <c r="H279" s="1">
        <f>H277*$C$56</f>
        <v>42.717948717948723</v>
      </c>
      <c r="I279" s="1">
        <f>I277*$C$56</f>
        <v>42.717948717948723</v>
      </c>
      <c r="J279" s="1"/>
      <c r="K279" s="1"/>
      <c r="L279" s="1"/>
    </row>
    <row r="280" spans="1:12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15">
      <c r="A295" s="3" t="s">
        <v>212</v>
      </c>
      <c r="B295" s="3"/>
      <c r="C295" s="3"/>
      <c r="D295" s="3"/>
      <c r="E295" s="3"/>
      <c r="F295" s="3"/>
      <c r="G295" s="3"/>
      <c r="H295" s="3"/>
      <c r="I295" s="3"/>
      <c r="J295" s="3"/>
      <c r="K295" s="1" t="s">
        <v>80</v>
      </c>
      <c r="L295" s="1"/>
    </row>
    <row r="296" spans="1:12" x14ac:dyDescent="0.15">
      <c r="A296" s="3" t="s">
        <v>81</v>
      </c>
      <c r="B296" s="3" t="s">
        <v>106</v>
      </c>
      <c r="C296" s="3" t="s">
        <v>87</v>
      </c>
      <c r="D296" s="3" t="s">
        <v>132</v>
      </c>
      <c r="E296" s="3"/>
      <c r="F296" s="3" t="s">
        <v>109</v>
      </c>
      <c r="G296" s="3"/>
      <c r="H296" s="3" t="s">
        <v>110</v>
      </c>
      <c r="I296" s="3"/>
      <c r="J296" s="3"/>
      <c r="K296" s="3"/>
      <c r="L296" s="1"/>
    </row>
    <row r="297" spans="1:12" x14ac:dyDescent="0.15">
      <c r="A297" s="3"/>
      <c r="B297" s="3"/>
      <c r="C297" s="3"/>
      <c r="D297" s="1">
        <v>1</v>
      </c>
      <c r="E297" s="1">
        <v>2</v>
      </c>
      <c r="F297" s="1">
        <v>3</v>
      </c>
      <c r="G297" s="1">
        <v>4</v>
      </c>
      <c r="H297" s="1">
        <v>5</v>
      </c>
      <c r="I297" s="1">
        <v>6</v>
      </c>
      <c r="J297" s="1">
        <v>7</v>
      </c>
      <c r="K297" s="1">
        <v>8</v>
      </c>
      <c r="L297" s="1"/>
    </row>
    <row r="298" spans="1:12" x14ac:dyDescent="0.15">
      <c r="A298" s="1"/>
      <c r="B298" s="1" t="s">
        <v>188</v>
      </c>
      <c r="C298" s="1"/>
      <c r="D298" s="1"/>
      <c r="E298" s="1"/>
      <c r="F298" s="1">
        <f>C6</f>
        <v>0.6</v>
      </c>
      <c r="G298" s="1">
        <f>D6</f>
        <v>0.8</v>
      </c>
      <c r="H298" s="1">
        <f>E6</f>
        <v>1</v>
      </c>
      <c r="I298" s="1">
        <f>F6</f>
        <v>1</v>
      </c>
      <c r="J298" s="1">
        <f>G6</f>
        <v>1</v>
      </c>
      <c r="K298" s="1">
        <f>H6</f>
        <v>1</v>
      </c>
      <c r="L298" s="1"/>
    </row>
    <row r="299" spans="1:12" x14ac:dyDescent="0.15">
      <c r="A299" s="1" t="s">
        <v>18</v>
      </c>
      <c r="B299" s="1" t="s">
        <v>213</v>
      </c>
      <c r="C299" s="1">
        <f t="shared" ref="C299:C314" si="45">SUM(D299:K299)</f>
        <v>77277.103455709992</v>
      </c>
      <c r="D299" s="1">
        <f t="shared" ref="D299:K299" si="46">SUM(D300:D307)</f>
        <v>5149.1958814575</v>
      </c>
      <c r="E299" s="1">
        <f t="shared" si="46"/>
        <v>6159.9972500628755</v>
      </c>
      <c r="F299" s="1">
        <f t="shared" si="46"/>
        <v>7350.5881218657341</v>
      </c>
      <c r="G299" s="1">
        <f t="shared" si="46"/>
        <v>8812.1661251938876</v>
      </c>
      <c r="H299" s="1">
        <f t="shared" si="46"/>
        <v>11088.387515351526</v>
      </c>
      <c r="I299" s="1">
        <f t="shared" si="46"/>
        <v>11559.507161919419</v>
      </c>
      <c r="J299" s="1">
        <f t="shared" si="46"/>
        <v>10851.737919598423</v>
      </c>
      <c r="K299" s="1">
        <f t="shared" si="46"/>
        <v>16305.523480260614</v>
      </c>
      <c r="L299" s="1"/>
    </row>
    <row r="300" spans="1:12" x14ac:dyDescent="0.15">
      <c r="A300" s="1" t="s">
        <v>90</v>
      </c>
      <c r="B300" s="1" t="s">
        <v>214</v>
      </c>
      <c r="C300" s="1">
        <f t="shared" si="45"/>
        <v>50736.763752343584</v>
      </c>
      <c r="D300" s="1"/>
      <c r="E300" s="1"/>
      <c r="F300" s="1">
        <f t="shared" ref="F300:K300" si="47">D338</f>
        <v>4590.9362420883044</v>
      </c>
      <c r="G300" s="1">
        <f t="shared" si="47"/>
        <v>6867.1576322459432</v>
      </c>
      <c r="H300" s="1">
        <f t="shared" si="47"/>
        <v>9143.3790224035802</v>
      </c>
      <c r="I300" s="1">
        <f t="shared" si="47"/>
        <v>9996.6097800825846</v>
      </c>
      <c r="J300" s="1">
        <f t="shared" si="47"/>
        <v>10069.340537761589</v>
      </c>
      <c r="K300" s="1">
        <f t="shared" si="47"/>
        <v>10069.340537761589</v>
      </c>
      <c r="L300" s="1"/>
    </row>
    <row r="301" spans="1:12" x14ac:dyDescent="0.15">
      <c r="A301" s="1" t="s">
        <v>91</v>
      </c>
      <c r="B301" s="1" t="s">
        <v>169</v>
      </c>
      <c r="C301" s="1">
        <f t="shared" si="45"/>
        <v>4694.3842910210033</v>
      </c>
      <c r="D301" s="1"/>
      <c r="E301" s="1"/>
      <c r="F301" s="1">
        <f>F192</f>
        <v>782.3973818368338</v>
      </c>
      <c r="G301" s="1">
        <f>G192</f>
        <v>782.3973818368338</v>
      </c>
      <c r="H301" s="1">
        <f>H192</f>
        <v>782.3973818368338</v>
      </c>
      <c r="I301" s="1">
        <f>I192</f>
        <v>782.3973818368338</v>
      </c>
      <c r="J301" s="1">
        <f>J192</f>
        <v>782.3973818368338</v>
      </c>
      <c r="K301" s="1">
        <f>K192</f>
        <v>782.3973818368338</v>
      </c>
      <c r="L301" s="1"/>
    </row>
    <row r="302" spans="1:12" x14ac:dyDescent="0.15">
      <c r="A302" s="1" t="s">
        <v>92</v>
      </c>
      <c r="B302" s="1" t="s">
        <v>182</v>
      </c>
      <c r="C302" s="1">
        <f t="shared" si="45"/>
        <v>3122</v>
      </c>
      <c r="D302" s="1"/>
      <c r="E302" s="1"/>
      <c r="F302" s="1">
        <f>E222</f>
        <v>780.5</v>
      </c>
      <c r="G302" s="1">
        <f>F222</f>
        <v>780.5</v>
      </c>
      <c r="H302" s="1">
        <f>G222</f>
        <v>780.5</v>
      </c>
      <c r="I302" s="1">
        <f>H222</f>
        <v>780.5</v>
      </c>
      <c r="J302" s="1">
        <f>I222</f>
        <v>0</v>
      </c>
      <c r="K302" s="1">
        <f>J222</f>
        <v>0</v>
      </c>
      <c r="L302" s="1"/>
    </row>
    <row r="303" spans="1:12" x14ac:dyDescent="0.15">
      <c r="A303" s="1" t="s">
        <v>93</v>
      </c>
      <c r="B303" s="1" t="s">
        <v>215</v>
      </c>
      <c r="C303" s="1">
        <f t="shared" si="45"/>
        <v>5818.4606143203755</v>
      </c>
      <c r="D303" s="1">
        <f>D154</f>
        <v>2894.0735976075002</v>
      </c>
      <c r="E303" s="1">
        <f>E154</f>
        <v>2924.3870167128753</v>
      </c>
      <c r="F303" s="1"/>
      <c r="G303" s="1"/>
      <c r="H303" s="1"/>
      <c r="I303" s="1"/>
      <c r="J303" s="1"/>
      <c r="K303" s="1"/>
      <c r="L303" s="1"/>
    </row>
    <row r="304" spans="1:12" x14ac:dyDescent="0.15">
      <c r="A304" s="1" t="s">
        <v>142</v>
      </c>
      <c r="B304" s="1" t="s">
        <v>216</v>
      </c>
      <c r="C304" s="1">
        <f t="shared" si="45"/>
        <v>1372.6837041139727</v>
      </c>
      <c r="D304" s="1"/>
      <c r="E304" s="1"/>
      <c r="F304" s="1">
        <f>E94</f>
        <v>837.72814855841727</v>
      </c>
      <c r="G304" s="1">
        <f>F94</f>
        <v>267.47777777777759</v>
      </c>
      <c r="H304" s="1">
        <f>G94</f>
        <v>267.47777777777793</v>
      </c>
      <c r="I304" s="1">
        <f>H94</f>
        <v>0</v>
      </c>
      <c r="J304" s="1">
        <f>I94</f>
        <v>0</v>
      </c>
      <c r="K304" s="1">
        <f>J94</f>
        <v>0</v>
      </c>
      <c r="L304" s="1"/>
    </row>
    <row r="305" spans="1:12" x14ac:dyDescent="0.15">
      <c r="A305" s="1" t="s">
        <v>217</v>
      </c>
      <c r="B305" s="1" t="s">
        <v>218</v>
      </c>
      <c r="C305" s="1">
        <f t="shared" si="45"/>
        <v>6079.025533248845</v>
      </c>
      <c r="D305" s="1">
        <f>D151</f>
        <v>2255.1222838499998</v>
      </c>
      <c r="E305" s="1">
        <f>E151</f>
        <v>3235.6102333499998</v>
      </c>
      <c r="F305" s="1">
        <f>F151</f>
        <v>359.02634938217886</v>
      </c>
      <c r="G305" s="1">
        <f>G151</f>
        <v>114.63333333333327</v>
      </c>
      <c r="H305" s="1">
        <f>H151</f>
        <v>114.63333333333338</v>
      </c>
      <c r="I305" s="1">
        <f>I151</f>
        <v>0</v>
      </c>
      <c r="J305" s="1">
        <f>J151</f>
        <v>0</v>
      </c>
      <c r="K305" s="1">
        <f>K151</f>
        <v>0</v>
      </c>
      <c r="L305" s="1"/>
    </row>
    <row r="306" spans="1:12" x14ac:dyDescent="0.15">
      <c r="A306" s="1" t="s">
        <v>219</v>
      </c>
      <c r="B306" s="1" t="s">
        <v>220</v>
      </c>
      <c r="C306" s="1">
        <f t="shared" si="45"/>
        <v>3492.8088404993723</v>
      </c>
      <c r="D306" s="1"/>
      <c r="E306" s="1"/>
      <c r="F306" s="1"/>
      <c r="G306" s="1"/>
      <c r="H306" s="1"/>
      <c r="I306" s="1"/>
      <c r="J306" s="1"/>
      <c r="K306" s="1">
        <f>K193</f>
        <v>3492.8088404993723</v>
      </c>
      <c r="L306" s="1"/>
    </row>
    <row r="307" spans="1:12" x14ac:dyDescent="0.15">
      <c r="A307" s="1" t="s">
        <v>221</v>
      </c>
      <c r="B307" s="1" t="s">
        <v>222</v>
      </c>
      <c r="C307" s="1">
        <f t="shared" si="45"/>
        <v>1960.9767201628183</v>
      </c>
      <c r="D307" s="1"/>
      <c r="E307" s="1"/>
      <c r="F307" s="1"/>
      <c r="G307" s="1"/>
      <c r="H307" s="1"/>
      <c r="I307" s="1"/>
      <c r="J307" s="1"/>
      <c r="K307" s="1">
        <f>J92</f>
        <v>1960.9767201628183</v>
      </c>
      <c r="L307" s="1"/>
    </row>
    <row r="308" spans="1:12" x14ac:dyDescent="0.15">
      <c r="A308" s="1" t="s">
        <v>20</v>
      </c>
      <c r="B308" s="1" t="s">
        <v>223</v>
      </c>
      <c r="C308" s="1">
        <f t="shared" si="45"/>
        <v>31772.821404089467</v>
      </c>
      <c r="D308" s="1">
        <f t="shared" ref="D308:K308" si="48">SUM(D309:D313)</f>
        <v>5149.1958814575</v>
      </c>
      <c r="E308" s="1">
        <f t="shared" si="48"/>
        <v>6159.9972500628755</v>
      </c>
      <c r="F308" s="1">
        <f t="shared" si="48"/>
        <v>3799.1037120427659</v>
      </c>
      <c r="G308" s="1">
        <f t="shared" si="48"/>
        <v>3553.5156727526901</v>
      </c>
      <c r="H308" s="1">
        <f t="shared" si="48"/>
        <v>4122.5710202921</v>
      </c>
      <c r="I308" s="1">
        <f t="shared" si="48"/>
        <v>3953.7675986007398</v>
      </c>
      <c r="J308" s="1">
        <f t="shared" si="48"/>
        <v>2517.3351344403973</v>
      </c>
      <c r="K308" s="1">
        <f t="shared" si="48"/>
        <v>2517.3351344403973</v>
      </c>
      <c r="L308" s="1"/>
    </row>
    <row r="309" spans="1:12" x14ac:dyDescent="0.15">
      <c r="A309" s="1" t="s">
        <v>95</v>
      </c>
      <c r="B309" s="1" t="s">
        <v>152</v>
      </c>
      <c r="C309" s="1">
        <f t="shared" si="45"/>
        <v>10894.31055</v>
      </c>
      <c r="D309" s="1">
        <f>D147</f>
        <v>5011.3828530000001</v>
      </c>
      <c r="E309" s="1">
        <f>E147</f>
        <v>5882.9276970000001</v>
      </c>
      <c r="F309" s="1"/>
      <c r="G309" s="1"/>
      <c r="H309" s="1"/>
      <c r="I309" s="1"/>
      <c r="J309" s="1"/>
      <c r="K309" s="1"/>
      <c r="L309" s="1"/>
    </row>
    <row r="310" spans="1:12" x14ac:dyDescent="0.15">
      <c r="A310" s="1" t="s">
        <v>96</v>
      </c>
      <c r="B310" s="1" t="s">
        <v>153</v>
      </c>
      <c r="C310" s="1">
        <f t="shared" si="45"/>
        <v>414.88258152037503</v>
      </c>
      <c r="D310" s="1">
        <f>D148</f>
        <v>137.81302845750002</v>
      </c>
      <c r="E310" s="1">
        <f>E148</f>
        <v>277.069553062875</v>
      </c>
      <c r="F310" s="1"/>
      <c r="G310" s="1"/>
      <c r="H310" s="1"/>
      <c r="I310" s="1"/>
      <c r="J310" s="1"/>
      <c r="K310" s="1"/>
      <c r="L310" s="1"/>
    </row>
    <row r="311" spans="1:12" x14ac:dyDescent="0.15">
      <c r="A311" s="1" t="s">
        <v>97</v>
      </c>
      <c r="B311" s="1" t="s">
        <v>125</v>
      </c>
      <c r="C311" s="1">
        <f t="shared" si="45"/>
        <v>1960.9767201628183</v>
      </c>
      <c r="D311" s="1"/>
      <c r="E311" s="1"/>
      <c r="F311" s="1">
        <f>E93</f>
        <v>1196.7544979405961</v>
      </c>
      <c r="G311" s="1">
        <f>F93</f>
        <v>382.11111111111086</v>
      </c>
      <c r="H311" s="1">
        <f>G93</f>
        <v>382.11111111111131</v>
      </c>
      <c r="I311" s="1">
        <f>H93</f>
        <v>0</v>
      </c>
      <c r="J311" s="1">
        <f>I93</f>
        <v>0</v>
      </c>
      <c r="K311" s="1">
        <f>J93</f>
        <v>0</v>
      </c>
      <c r="L311" s="1"/>
    </row>
    <row r="312" spans="1:12" x14ac:dyDescent="0.15">
      <c r="A312" s="1" t="s">
        <v>224</v>
      </c>
      <c r="B312" s="1" t="s">
        <v>225</v>
      </c>
      <c r="C312" s="1">
        <f t="shared" si="45"/>
        <v>12684.190938085896</v>
      </c>
      <c r="D312" s="1"/>
      <c r="E312" s="1"/>
      <c r="F312" s="1">
        <f t="shared" ref="F312:K312" si="49">D339</f>
        <v>1147.7340605220761</v>
      </c>
      <c r="G312" s="1">
        <f t="shared" si="49"/>
        <v>1716.7894080614858</v>
      </c>
      <c r="H312" s="1">
        <f t="shared" si="49"/>
        <v>2285.844755600895</v>
      </c>
      <c r="I312" s="1">
        <f t="shared" si="49"/>
        <v>2499.1524450206462</v>
      </c>
      <c r="J312" s="1">
        <f t="shared" si="49"/>
        <v>2517.3351344403973</v>
      </c>
      <c r="K312" s="1">
        <f t="shared" si="49"/>
        <v>2517.3351344403973</v>
      </c>
      <c r="L312" s="1"/>
    </row>
    <row r="313" spans="1:12" x14ac:dyDescent="0.15">
      <c r="A313" s="1" t="s">
        <v>226</v>
      </c>
      <c r="B313" s="1" t="s">
        <v>227</v>
      </c>
      <c r="C313" s="1">
        <f t="shared" si="45"/>
        <v>5818.4606143203746</v>
      </c>
      <c r="D313" s="1"/>
      <c r="E313" s="1"/>
      <c r="F313" s="1">
        <f>G119</f>
        <v>1454.6151535800936</v>
      </c>
      <c r="G313" s="1">
        <f>H119</f>
        <v>1454.6151535800936</v>
      </c>
      <c r="H313" s="1">
        <f>I119</f>
        <v>1454.6151535800936</v>
      </c>
      <c r="I313" s="1">
        <f>J119</f>
        <v>1454.6151535800936</v>
      </c>
      <c r="J313" s="1">
        <f>K119</f>
        <v>0</v>
      </c>
      <c r="K313" s="1">
        <f>L119</f>
        <v>0</v>
      </c>
      <c r="L313" s="1"/>
    </row>
    <row r="314" spans="1:12" x14ac:dyDescent="0.15">
      <c r="A314" s="1" t="s">
        <v>33</v>
      </c>
      <c r="B314" s="1" t="s">
        <v>228</v>
      </c>
      <c r="C314" s="1">
        <f t="shared" si="45"/>
        <v>45504.28205162051</v>
      </c>
      <c r="D314" s="1">
        <f t="shared" ref="D314:K314" si="50">D299-D308</f>
        <v>0</v>
      </c>
      <c r="E314" s="1">
        <f t="shared" si="50"/>
        <v>0</v>
      </c>
      <c r="F314" s="1">
        <f t="shared" si="50"/>
        <v>3551.4844098229682</v>
      </c>
      <c r="G314" s="1">
        <f t="shared" si="50"/>
        <v>5258.6504524411976</v>
      </c>
      <c r="H314" s="1">
        <f t="shared" si="50"/>
        <v>6965.8164950594255</v>
      </c>
      <c r="I314" s="1">
        <f t="shared" si="50"/>
        <v>7605.7395633186788</v>
      </c>
      <c r="J314" s="1">
        <f t="shared" si="50"/>
        <v>8334.4027851580249</v>
      </c>
      <c r="K314" s="1">
        <f t="shared" si="50"/>
        <v>13788.188345820217</v>
      </c>
      <c r="L314" s="1"/>
    </row>
    <row r="315" spans="1:12" x14ac:dyDescent="0.15">
      <c r="A315" s="1" t="s">
        <v>38</v>
      </c>
      <c r="B315" s="1" t="s">
        <v>229</v>
      </c>
      <c r="C315" s="1"/>
      <c r="D315" s="1">
        <f>D314</f>
        <v>0</v>
      </c>
      <c r="E315" s="1">
        <f>E314</f>
        <v>0</v>
      </c>
      <c r="F315" s="1">
        <f t="shared" ref="F315:K315" si="51">E315+F314</f>
        <v>3551.4844098229682</v>
      </c>
      <c r="G315" s="1">
        <f t="shared" si="51"/>
        <v>8810.1348622641653</v>
      </c>
      <c r="H315" s="1">
        <f t="shared" si="51"/>
        <v>15775.951357323591</v>
      </c>
      <c r="I315" s="1">
        <f t="shared" si="51"/>
        <v>23381.690920642272</v>
      </c>
      <c r="J315" s="1">
        <f t="shared" si="51"/>
        <v>31716.093705800296</v>
      </c>
      <c r="K315" s="1">
        <f t="shared" si="51"/>
        <v>45504.28205162051</v>
      </c>
      <c r="L315" s="1"/>
    </row>
    <row r="316" spans="1:12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x14ac:dyDescent="0.15">
      <c r="A331" s="3" t="s">
        <v>230</v>
      </c>
      <c r="B331" s="3"/>
      <c r="C331" s="3"/>
      <c r="D331" s="3"/>
      <c r="E331" s="3"/>
      <c r="F331" s="3"/>
      <c r="G331" s="3"/>
      <c r="H331" s="3"/>
      <c r="I331" s="1" t="s">
        <v>80</v>
      </c>
      <c r="J331" s="1"/>
      <c r="K331" s="1"/>
      <c r="L331" s="1"/>
    </row>
    <row r="332" spans="1:12" x14ac:dyDescent="0.15">
      <c r="A332" s="3" t="s">
        <v>81</v>
      </c>
      <c r="B332" s="3" t="s">
        <v>106</v>
      </c>
      <c r="C332" s="3" t="s">
        <v>87</v>
      </c>
      <c r="D332" s="3" t="s">
        <v>109</v>
      </c>
      <c r="E332" s="3"/>
      <c r="F332" s="3" t="s">
        <v>110</v>
      </c>
      <c r="G332" s="3"/>
      <c r="H332" s="3"/>
      <c r="I332" s="3"/>
      <c r="J332" s="1"/>
      <c r="K332" s="1"/>
      <c r="L332" s="1"/>
    </row>
    <row r="333" spans="1:12" x14ac:dyDescent="0.15">
      <c r="A333" s="3"/>
      <c r="B333" s="3"/>
      <c r="C333" s="3"/>
      <c r="D333" s="1">
        <v>3</v>
      </c>
      <c r="E333" s="1">
        <v>4</v>
      </c>
      <c r="F333" s="1">
        <v>5</v>
      </c>
      <c r="G333" s="1">
        <v>6</v>
      </c>
      <c r="H333" s="1">
        <v>7</v>
      </c>
      <c r="I333" s="1">
        <v>8</v>
      </c>
      <c r="J333" s="1"/>
      <c r="K333" s="1"/>
      <c r="L333" s="1"/>
    </row>
    <row r="334" spans="1:12" x14ac:dyDescent="0.15">
      <c r="A334" s="1"/>
      <c r="B334" s="1" t="s">
        <v>188</v>
      </c>
      <c r="C334" s="1"/>
      <c r="D334" s="1">
        <f>C6</f>
        <v>0.6</v>
      </c>
      <c r="E334" s="1">
        <f>D6</f>
        <v>0.8</v>
      </c>
      <c r="F334" s="1">
        <f>E6</f>
        <v>1</v>
      </c>
      <c r="G334" s="1">
        <f>F6</f>
        <v>1</v>
      </c>
      <c r="H334" s="1">
        <f>G6</f>
        <v>1</v>
      </c>
      <c r="I334" s="1">
        <f>H6</f>
        <v>1</v>
      </c>
      <c r="J334" s="1"/>
      <c r="K334" s="1"/>
      <c r="L334" s="1"/>
    </row>
    <row r="335" spans="1:12" x14ac:dyDescent="0.15">
      <c r="A335" s="1" t="s">
        <v>18</v>
      </c>
      <c r="B335" s="1" t="s">
        <v>207</v>
      </c>
      <c r="C335" s="1">
        <f t="shared" ref="C335:C343" si="52">SUM(D335:K335)</f>
        <v>113400</v>
      </c>
      <c r="D335" s="1">
        <f t="shared" ref="D335:I336" si="53">D275</f>
        <v>12600</v>
      </c>
      <c r="E335" s="1">
        <f t="shared" si="53"/>
        <v>16800</v>
      </c>
      <c r="F335" s="1">
        <f t="shared" si="53"/>
        <v>21000</v>
      </c>
      <c r="G335" s="1">
        <f t="shared" si="53"/>
        <v>21000</v>
      </c>
      <c r="H335" s="1">
        <f t="shared" si="53"/>
        <v>21000</v>
      </c>
      <c r="I335" s="1">
        <f t="shared" si="53"/>
        <v>21000</v>
      </c>
      <c r="J335" s="1"/>
      <c r="K335" s="1"/>
      <c r="L335" s="1"/>
    </row>
    <row r="336" spans="1:12" x14ac:dyDescent="0.15">
      <c r="A336" s="1" t="s">
        <v>20</v>
      </c>
      <c r="B336" s="1" t="s">
        <v>208</v>
      </c>
      <c r="C336" s="1">
        <f t="shared" si="52"/>
        <v>12225.876923076925</v>
      </c>
      <c r="D336" s="1">
        <f t="shared" si="53"/>
        <v>1358.4307692307693</v>
      </c>
      <c r="E336" s="1">
        <f t="shared" si="53"/>
        <v>1811.2410256410258</v>
      </c>
      <c r="F336" s="1">
        <f t="shared" si="53"/>
        <v>2264.0512820512822</v>
      </c>
      <c r="G336" s="1">
        <f t="shared" si="53"/>
        <v>2264.0512820512822</v>
      </c>
      <c r="H336" s="1">
        <f t="shared" si="53"/>
        <v>2264.0512820512822</v>
      </c>
      <c r="I336" s="1">
        <f t="shared" si="53"/>
        <v>2264.0512820512822</v>
      </c>
      <c r="J336" s="1"/>
      <c r="K336" s="1"/>
      <c r="L336" s="1"/>
    </row>
    <row r="337" spans="1:12" x14ac:dyDescent="0.15">
      <c r="A337" s="1" t="s">
        <v>33</v>
      </c>
      <c r="B337" s="1" t="s">
        <v>197</v>
      </c>
      <c r="C337" s="1">
        <f t="shared" si="52"/>
        <v>50437.359324579491</v>
      </c>
      <c r="D337" s="1">
        <f t="shared" ref="D337:I337" si="54">D251</f>
        <v>6650.6329886809253</v>
      </c>
      <c r="E337" s="1">
        <f t="shared" si="54"/>
        <v>8121.601342113031</v>
      </c>
      <c r="F337" s="1">
        <f t="shared" si="54"/>
        <v>9592.5696955451385</v>
      </c>
      <c r="G337" s="1">
        <f t="shared" si="54"/>
        <v>8739.3389378661341</v>
      </c>
      <c r="H337" s="1">
        <f t="shared" si="54"/>
        <v>8666.6081801871296</v>
      </c>
      <c r="I337" s="1">
        <f t="shared" si="54"/>
        <v>8666.6081801871296</v>
      </c>
      <c r="J337" s="1"/>
      <c r="K337" s="1"/>
      <c r="L337" s="1"/>
    </row>
    <row r="338" spans="1:12" x14ac:dyDescent="0.15">
      <c r="A338" s="1" t="s">
        <v>38</v>
      </c>
      <c r="B338" s="1" t="s">
        <v>231</v>
      </c>
      <c r="C338" s="1">
        <f t="shared" si="52"/>
        <v>50736.763752343584</v>
      </c>
      <c r="D338" s="1">
        <f t="shared" ref="D338:I338" si="55">D335-D336-D337</f>
        <v>4590.9362420883044</v>
      </c>
      <c r="E338" s="1">
        <f t="shared" si="55"/>
        <v>6867.1576322459432</v>
      </c>
      <c r="F338" s="1">
        <f t="shared" si="55"/>
        <v>9143.3790224035802</v>
      </c>
      <c r="G338" s="1">
        <f t="shared" si="55"/>
        <v>9996.6097800825846</v>
      </c>
      <c r="H338" s="1">
        <f t="shared" si="55"/>
        <v>10069.340537761589</v>
      </c>
      <c r="I338" s="1">
        <f t="shared" si="55"/>
        <v>10069.340537761589</v>
      </c>
      <c r="J338" s="1"/>
      <c r="K338" s="1"/>
      <c r="L338" s="1"/>
    </row>
    <row r="339" spans="1:12" x14ac:dyDescent="0.15">
      <c r="A339" s="1" t="s">
        <v>12</v>
      </c>
      <c r="B339" s="1" t="s">
        <v>225</v>
      </c>
      <c r="C339" s="1">
        <f t="shared" si="52"/>
        <v>12684.190938085896</v>
      </c>
      <c r="D339" s="1">
        <f>D338*$C$57</f>
        <v>1147.7340605220761</v>
      </c>
      <c r="E339" s="1">
        <f>E338*$C$57</f>
        <v>1716.7894080614858</v>
      </c>
      <c r="F339" s="1">
        <f>F338*$C$57</f>
        <v>2285.844755600895</v>
      </c>
      <c r="G339" s="1">
        <f>G338*$C$57</f>
        <v>2499.1524450206462</v>
      </c>
      <c r="H339" s="1">
        <f>H338*$C$57</f>
        <v>2517.3351344403973</v>
      </c>
      <c r="I339" s="1">
        <f>I338*$C$57</f>
        <v>2517.3351344403973</v>
      </c>
      <c r="J339" s="1"/>
      <c r="K339" s="1"/>
      <c r="L339" s="1"/>
    </row>
    <row r="340" spans="1:12" x14ac:dyDescent="0.15">
      <c r="A340" s="1" t="s">
        <v>128</v>
      </c>
      <c r="B340" s="1" t="s">
        <v>232</v>
      </c>
      <c r="C340" s="1">
        <f t="shared" si="52"/>
        <v>38052.572814257692</v>
      </c>
      <c r="D340" s="1">
        <f t="shared" ref="D340:I340" si="56">D338-D339</f>
        <v>3443.2021815662283</v>
      </c>
      <c r="E340" s="1">
        <f t="shared" si="56"/>
        <v>5150.3682241844572</v>
      </c>
      <c r="F340" s="1">
        <f t="shared" si="56"/>
        <v>6857.5342668026851</v>
      </c>
      <c r="G340" s="1">
        <f t="shared" si="56"/>
        <v>7497.4573350619385</v>
      </c>
      <c r="H340" s="1">
        <f t="shared" si="56"/>
        <v>7552.0054033211918</v>
      </c>
      <c r="I340" s="1">
        <f t="shared" si="56"/>
        <v>7552.0054033211918</v>
      </c>
      <c r="J340" s="1"/>
      <c r="K340" s="1"/>
      <c r="L340" s="1"/>
    </row>
    <row r="341" spans="1:12" x14ac:dyDescent="0.15">
      <c r="A341" s="1" t="s">
        <v>193</v>
      </c>
      <c r="B341" s="1" t="s">
        <v>233</v>
      </c>
      <c r="C341" s="1">
        <f t="shared" si="52"/>
        <v>38052.572814257692</v>
      </c>
      <c r="D341" s="1">
        <f t="shared" ref="D341:I341" si="57">D340</f>
        <v>3443.2021815662283</v>
      </c>
      <c r="E341" s="1">
        <f t="shared" si="57"/>
        <v>5150.3682241844572</v>
      </c>
      <c r="F341" s="1">
        <f t="shared" si="57"/>
        <v>6857.5342668026851</v>
      </c>
      <c r="G341" s="1">
        <f t="shared" si="57"/>
        <v>7497.4573350619385</v>
      </c>
      <c r="H341" s="1">
        <f t="shared" si="57"/>
        <v>7552.0054033211918</v>
      </c>
      <c r="I341" s="1">
        <f t="shared" si="57"/>
        <v>7552.0054033211918</v>
      </c>
      <c r="J341" s="1"/>
      <c r="K341" s="1"/>
      <c r="L341" s="1"/>
    </row>
    <row r="342" spans="1:12" x14ac:dyDescent="0.15">
      <c r="A342" s="1" t="s">
        <v>234</v>
      </c>
      <c r="B342" s="1" t="s">
        <v>235</v>
      </c>
      <c r="C342" s="1">
        <f t="shared" si="52"/>
        <v>3805.2572814257692</v>
      </c>
      <c r="D342" s="1">
        <f>D341*$C$58</f>
        <v>344.32021815662284</v>
      </c>
      <c r="E342" s="1">
        <f>E341*$C$58</f>
        <v>515.03682241844569</v>
      </c>
      <c r="F342" s="1">
        <f>F341*$C$58</f>
        <v>685.7534266802686</v>
      </c>
      <c r="G342" s="1">
        <f>G341*$C$58</f>
        <v>749.74573350619391</v>
      </c>
      <c r="H342" s="1">
        <f>H341*$C$58</f>
        <v>755.2005403321192</v>
      </c>
      <c r="I342" s="1">
        <f>I341*$C$58</f>
        <v>755.2005403321192</v>
      </c>
      <c r="J342" s="1"/>
      <c r="K342" s="1"/>
      <c r="L342" s="1"/>
    </row>
    <row r="343" spans="1:12" x14ac:dyDescent="0.15">
      <c r="A343" s="1" t="s">
        <v>236</v>
      </c>
      <c r="B343" s="1" t="s">
        <v>237</v>
      </c>
      <c r="C343" s="1">
        <f t="shared" si="52"/>
        <v>3805.2572814257692</v>
      </c>
      <c r="D343" s="1">
        <f>D341*$C$59</f>
        <v>344.32021815662284</v>
      </c>
      <c r="E343" s="1">
        <f>E341*$C$59</f>
        <v>515.03682241844569</v>
      </c>
      <c r="F343" s="1">
        <f>F341*$C$59</f>
        <v>685.7534266802686</v>
      </c>
      <c r="G343" s="1">
        <f>G341*$C$59</f>
        <v>749.74573350619391</v>
      </c>
      <c r="H343" s="1">
        <f>H341*$C$59</f>
        <v>755.2005403321192</v>
      </c>
      <c r="I343" s="1">
        <f>I341*$C$59</f>
        <v>755.2005403321192</v>
      </c>
      <c r="J343" s="1"/>
      <c r="K343" s="1"/>
      <c r="L343" s="1"/>
    </row>
    <row r="344" spans="1:12" x14ac:dyDescent="0.15">
      <c r="A344" s="1" t="s">
        <v>238</v>
      </c>
      <c r="B344" s="1" t="s">
        <v>239</v>
      </c>
      <c r="C344" s="1">
        <f t="shared" ref="C344:I344" si="58">C341-C342-C343</f>
        <v>30442.058251406157</v>
      </c>
      <c r="D344" s="1">
        <f t="shared" si="58"/>
        <v>2754.5617452529823</v>
      </c>
      <c r="E344" s="1">
        <f t="shared" si="58"/>
        <v>4120.2945793475656</v>
      </c>
      <c r="F344" s="1">
        <f t="shared" si="58"/>
        <v>5486.0274134421479</v>
      </c>
      <c r="G344" s="1">
        <f t="shared" si="58"/>
        <v>5997.9658680495513</v>
      </c>
      <c r="H344" s="1">
        <f t="shared" si="58"/>
        <v>6041.6043226569536</v>
      </c>
      <c r="I344" s="1">
        <f t="shared" si="58"/>
        <v>6041.6043226569536</v>
      </c>
      <c r="J344" s="1"/>
      <c r="K344" s="1"/>
      <c r="L344" s="1"/>
    </row>
    <row r="345" spans="1:12" x14ac:dyDescent="0.15">
      <c r="A345" s="1" t="s">
        <v>195</v>
      </c>
      <c r="B345" s="1" t="s">
        <v>240</v>
      </c>
      <c r="C345" s="1"/>
      <c r="D345" s="1">
        <f>SUM($D$344:D344)</f>
        <v>2754.5617452529823</v>
      </c>
      <c r="E345" s="1">
        <f>SUM($D$344:E344)</f>
        <v>6874.8563246005479</v>
      </c>
      <c r="F345" s="1">
        <f>SUM($D$344:F344)</f>
        <v>12360.883738042696</v>
      </c>
      <c r="G345" s="1">
        <f>SUM($D$344:G344)</f>
        <v>18358.849606092248</v>
      </c>
      <c r="H345" s="1">
        <f>SUM($D$344:H344)</f>
        <v>24400.453928749201</v>
      </c>
      <c r="I345" s="1">
        <f>SUM($D$344:I344)</f>
        <v>30442.058251406153</v>
      </c>
      <c r="J345" s="1"/>
      <c r="K345" s="1"/>
      <c r="L345" s="1"/>
    </row>
    <row r="346" spans="1:12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15">
      <c r="A361" s="3" t="s">
        <v>241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1" t="s">
        <v>80</v>
      </c>
    </row>
    <row r="362" spans="1:12" x14ac:dyDescent="0.15">
      <c r="A362" s="3" t="s">
        <v>81</v>
      </c>
      <c r="B362" s="3" t="s">
        <v>106</v>
      </c>
      <c r="C362" s="3" t="s">
        <v>87</v>
      </c>
      <c r="D362" s="3" t="s">
        <v>132</v>
      </c>
      <c r="E362" s="3"/>
      <c r="F362" s="3"/>
      <c r="G362" s="3" t="s">
        <v>109</v>
      </c>
      <c r="H362" s="3"/>
      <c r="I362" s="3" t="s">
        <v>110</v>
      </c>
      <c r="J362" s="3"/>
      <c r="K362" s="3"/>
      <c r="L362" s="3"/>
    </row>
    <row r="363" spans="1:12" x14ac:dyDescent="0.15">
      <c r="A363" s="3"/>
      <c r="B363" s="3"/>
      <c r="C363" s="3"/>
      <c r="D363" s="1">
        <v>0</v>
      </c>
      <c r="E363" s="1">
        <v>1</v>
      </c>
      <c r="F363" s="1">
        <v>2</v>
      </c>
      <c r="G363" s="1">
        <v>3</v>
      </c>
      <c r="H363" s="1">
        <v>4</v>
      </c>
      <c r="I363" s="1">
        <v>5</v>
      </c>
      <c r="J363" s="1">
        <v>6</v>
      </c>
      <c r="K363" s="1">
        <v>7</v>
      </c>
      <c r="L363" s="1">
        <v>8</v>
      </c>
    </row>
    <row r="364" spans="1:12" x14ac:dyDescent="0.15">
      <c r="A364" s="1"/>
      <c r="B364" s="1" t="s">
        <v>188</v>
      </c>
      <c r="C364" s="1"/>
      <c r="D364" s="1"/>
      <c r="E364" s="1"/>
      <c r="F364" s="1"/>
      <c r="G364" s="1">
        <f>C6</f>
        <v>0.6</v>
      </c>
      <c r="H364" s="1">
        <f>D6</f>
        <v>0.8</v>
      </c>
      <c r="I364" s="1">
        <f>E6</f>
        <v>1</v>
      </c>
      <c r="J364" s="1">
        <f>F6</f>
        <v>1</v>
      </c>
      <c r="K364" s="1">
        <f>G6</f>
        <v>1</v>
      </c>
      <c r="L364" s="1">
        <f>H6</f>
        <v>1</v>
      </c>
    </row>
    <row r="365" spans="1:12" x14ac:dyDescent="0.15">
      <c r="A365" s="1" t="s">
        <v>18</v>
      </c>
      <c r="B365" s="1" t="s">
        <v>242</v>
      </c>
      <c r="C365" s="1">
        <f t="shared" ref="C365:C375" si="59">SUM(D365:K365)</f>
        <v>92400</v>
      </c>
      <c r="D365" s="1"/>
      <c r="E365" s="1"/>
      <c r="F365" s="1"/>
      <c r="G365" s="1">
        <f t="shared" ref="G365:L365" si="60">G366+G367+G368</f>
        <v>12600</v>
      </c>
      <c r="H365" s="1">
        <f t="shared" si="60"/>
        <v>16800</v>
      </c>
      <c r="I365" s="1">
        <f t="shared" si="60"/>
        <v>21000</v>
      </c>
      <c r="J365" s="1">
        <f t="shared" si="60"/>
        <v>21000</v>
      </c>
      <c r="K365" s="1">
        <f t="shared" si="60"/>
        <v>21000</v>
      </c>
      <c r="L365" s="1">
        <f t="shared" si="60"/>
        <v>26453.785560662189</v>
      </c>
    </row>
    <row r="366" spans="1:12" x14ac:dyDescent="0.15">
      <c r="A366" s="1" t="s">
        <v>90</v>
      </c>
      <c r="B366" s="1" t="s">
        <v>207</v>
      </c>
      <c r="C366" s="1">
        <f t="shared" si="59"/>
        <v>92400</v>
      </c>
      <c r="D366" s="1"/>
      <c r="E366" s="1"/>
      <c r="F366" s="1"/>
      <c r="G366" s="1">
        <f t="shared" ref="G366:L366" si="61">D275</f>
        <v>12600</v>
      </c>
      <c r="H366" s="1">
        <f t="shared" si="61"/>
        <v>16800</v>
      </c>
      <c r="I366" s="1">
        <f t="shared" si="61"/>
        <v>21000</v>
      </c>
      <c r="J366" s="1">
        <f t="shared" si="61"/>
        <v>21000</v>
      </c>
      <c r="K366" s="1">
        <f t="shared" si="61"/>
        <v>21000</v>
      </c>
      <c r="L366" s="1">
        <f t="shared" si="61"/>
        <v>21000</v>
      </c>
    </row>
    <row r="367" spans="1:12" x14ac:dyDescent="0.15">
      <c r="A367" s="1" t="s">
        <v>91</v>
      </c>
      <c r="B367" s="1" t="s">
        <v>220</v>
      </c>
      <c r="C367" s="1">
        <f t="shared" si="59"/>
        <v>0</v>
      </c>
      <c r="D367" s="1"/>
      <c r="E367" s="1"/>
      <c r="F367" s="1"/>
      <c r="G367" s="1"/>
      <c r="H367" s="1"/>
      <c r="I367" s="1"/>
      <c r="J367" s="1"/>
      <c r="K367" s="1"/>
      <c r="L367" s="1">
        <f>K193</f>
        <v>3492.8088404993723</v>
      </c>
    </row>
    <row r="368" spans="1:12" x14ac:dyDescent="0.15">
      <c r="A368" s="1" t="s">
        <v>92</v>
      </c>
      <c r="B368" s="1" t="s">
        <v>222</v>
      </c>
      <c r="C368" s="1">
        <f t="shared" si="59"/>
        <v>0</v>
      </c>
      <c r="D368" s="1"/>
      <c r="E368" s="1"/>
      <c r="F368" s="1"/>
      <c r="G368" s="1"/>
      <c r="H368" s="1"/>
      <c r="I368" s="1"/>
      <c r="J368" s="1"/>
      <c r="K368" s="1"/>
      <c r="L368" s="1">
        <f>J92</f>
        <v>1960.9767201628183</v>
      </c>
    </row>
    <row r="369" spans="1:12" x14ac:dyDescent="0.15">
      <c r="A369" s="1" t="s">
        <v>20</v>
      </c>
      <c r="B369" s="1" t="s">
        <v>243</v>
      </c>
      <c r="C369" s="1">
        <f t="shared" si="59"/>
        <v>67946.368547283011</v>
      </c>
      <c r="D369" s="1">
        <f>D370 + D371 + D372 + D373 + D374</f>
        <v>5149.1958814575</v>
      </c>
      <c r="E369" s="1">
        <f>E370 + E371 + E372 + E373 + E374</f>
        <v>6159.9972500628755</v>
      </c>
      <c r="F369" s="1">
        <f>F370 + F371 + F372 + F373 + F374</f>
        <v>1196.7544979405961</v>
      </c>
      <c r="G369" s="1">
        <f t="shared" ref="G369:L369" si="62">G370+G371+G372+G373+G374</f>
        <v>7651.5793910496914</v>
      </c>
      <c r="H369" s="1">
        <f t="shared" si="62"/>
        <v>10206.444994999358</v>
      </c>
      <c r="I369" s="1">
        <f t="shared" si="62"/>
        <v>12379.199487837912</v>
      </c>
      <c r="J369" s="1">
        <f t="shared" si="62"/>
        <v>12592.507177257663</v>
      </c>
      <c r="K369" s="1">
        <f t="shared" si="62"/>
        <v>12610.689866677414</v>
      </c>
      <c r="L369" s="1">
        <f t="shared" si="62"/>
        <v>12610.689866677414</v>
      </c>
    </row>
    <row r="370" spans="1:12" x14ac:dyDescent="0.15">
      <c r="A370" s="1" t="s">
        <v>95</v>
      </c>
      <c r="B370" s="1" t="s">
        <v>152</v>
      </c>
      <c r="C370" s="1">
        <f t="shared" si="59"/>
        <v>11309.193131520376</v>
      </c>
      <c r="D370" s="1">
        <f>D146</f>
        <v>5149.1958814575</v>
      </c>
      <c r="E370" s="1">
        <f>E146</f>
        <v>6159.9972500628755</v>
      </c>
      <c r="F370" s="1"/>
      <c r="G370" s="1"/>
      <c r="H370" s="1"/>
      <c r="I370" s="1"/>
      <c r="J370" s="1"/>
      <c r="K370" s="1"/>
      <c r="L370" s="1"/>
    </row>
    <row r="371" spans="1:12" x14ac:dyDescent="0.15">
      <c r="A371" s="1" t="s">
        <v>96</v>
      </c>
      <c r="B371" s="1" t="s">
        <v>125</v>
      </c>
      <c r="C371" s="1">
        <f t="shared" si="59"/>
        <v>1960.9767201628183</v>
      </c>
      <c r="D371" s="1"/>
      <c r="E371" s="1"/>
      <c r="F371" s="1">
        <f>E93</f>
        <v>1196.7544979405961</v>
      </c>
      <c r="G371" s="1">
        <f>F93</f>
        <v>382.11111111111086</v>
      </c>
      <c r="H371" s="1">
        <f>G93</f>
        <v>382.11111111111131</v>
      </c>
      <c r="I371" s="1">
        <f>H93</f>
        <v>0</v>
      </c>
      <c r="J371" s="1">
        <f>I93</f>
        <v>0</v>
      </c>
      <c r="K371" s="1">
        <f>J93</f>
        <v>0</v>
      </c>
      <c r="L371" s="1">
        <f>K93</f>
        <v>0</v>
      </c>
    </row>
    <row r="372" spans="1:12" x14ac:dyDescent="0.15">
      <c r="A372" s="1" t="s">
        <v>97</v>
      </c>
      <c r="B372" s="1" t="s">
        <v>203</v>
      </c>
      <c r="C372" s="1">
        <f t="shared" si="59"/>
        <v>34547.517250928679</v>
      </c>
      <c r="D372" s="1"/>
      <c r="E372" s="1"/>
      <c r="F372" s="1"/>
      <c r="G372" s="1">
        <f t="shared" ref="G372:L372" si="63">D254</f>
        <v>4763.3034501857355</v>
      </c>
      <c r="H372" s="1">
        <f t="shared" si="63"/>
        <v>6296.3034501857355</v>
      </c>
      <c r="I372" s="1">
        <f t="shared" si="63"/>
        <v>7829.3034501857355</v>
      </c>
      <c r="J372" s="1">
        <f t="shared" si="63"/>
        <v>7829.3034501857355</v>
      </c>
      <c r="K372" s="1">
        <f t="shared" si="63"/>
        <v>7829.3034501857355</v>
      </c>
      <c r="L372" s="1">
        <f t="shared" si="63"/>
        <v>7829.3034501857355</v>
      </c>
    </row>
    <row r="373" spans="1:12" x14ac:dyDescent="0.15">
      <c r="A373" s="1" t="s">
        <v>224</v>
      </c>
      <c r="B373" s="1" t="s">
        <v>208</v>
      </c>
      <c r="C373" s="1">
        <f t="shared" si="59"/>
        <v>9961.8256410256417</v>
      </c>
      <c r="D373" s="1"/>
      <c r="E373" s="1"/>
      <c r="F373" s="1"/>
      <c r="G373" s="1">
        <f t="shared" ref="G373:L373" si="64">D276</f>
        <v>1358.4307692307693</v>
      </c>
      <c r="H373" s="1">
        <f t="shared" si="64"/>
        <v>1811.2410256410258</v>
      </c>
      <c r="I373" s="1">
        <f t="shared" si="64"/>
        <v>2264.0512820512822</v>
      </c>
      <c r="J373" s="1">
        <f t="shared" si="64"/>
        <v>2264.0512820512822</v>
      </c>
      <c r="K373" s="1">
        <f t="shared" si="64"/>
        <v>2264.0512820512822</v>
      </c>
      <c r="L373" s="1">
        <f t="shared" si="64"/>
        <v>2264.0512820512822</v>
      </c>
    </row>
    <row r="374" spans="1:12" x14ac:dyDescent="0.15">
      <c r="A374" s="1" t="s">
        <v>244</v>
      </c>
      <c r="B374" s="1" t="s">
        <v>225</v>
      </c>
      <c r="C374" s="1">
        <f t="shared" si="59"/>
        <v>10166.8558036455</v>
      </c>
      <c r="D374" s="1"/>
      <c r="E374" s="1"/>
      <c r="F374" s="1"/>
      <c r="G374" s="1">
        <f t="shared" ref="G374:L374" si="65">D339</f>
        <v>1147.7340605220761</v>
      </c>
      <c r="H374" s="1">
        <f t="shared" si="65"/>
        <v>1716.7894080614858</v>
      </c>
      <c r="I374" s="1">
        <f t="shared" si="65"/>
        <v>2285.844755600895</v>
      </c>
      <c r="J374" s="1">
        <f t="shared" si="65"/>
        <v>2499.1524450206462</v>
      </c>
      <c r="K374" s="1">
        <f t="shared" si="65"/>
        <v>2517.3351344403973</v>
      </c>
      <c r="L374" s="1">
        <f t="shared" si="65"/>
        <v>2517.3351344403973</v>
      </c>
    </row>
    <row r="375" spans="1:12" x14ac:dyDescent="0.15">
      <c r="A375" s="1" t="s">
        <v>33</v>
      </c>
      <c r="B375" s="1" t="s">
        <v>245</v>
      </c>
      <c r="C375" s="1">
        <f t="shared" si="59"/>
        <v>24453.631452716989</v>
      </c>
      <c r="D375" s="1">
        <f t="shared" ref="D375:L375" si="66">D365-D369</f>
        <v>-5149.1958814575</v>
      </c>
      <c r="E375" s="1">
        <f t="shared" si="66"/>
        <v>-6159.9972500628755</v>
      </c>
      <c r="F375" s="1">
        <f t="shared" si="66"/>
        <v>-1196.7544979405961</v>
      </c>
      <c r="G375" s="1">
        <f t="shared" si="66"/>
        <v>4948.4206089503086</v>
      </c>
      <c r="H375" s="1">
        <f t="shared" si="66"/>
        <v>6593.5550050006423</v>
      </c>
      <c r="I375" s="1">
        <f t="shared" si="66"/>
        <v>8620.8005121620881</v>
      </c>
      <c r="J375" s="1">
        <f t="shared" si="66"/>
        <v>8407.492822742337</v>
      </c>
      <c r="K375" s="1">
        <f t="shared" si="66"/>
        <v>8389.3101333225859</v>
      </c>
      <c r="L375" s="1">
        <f t="shared" si="66"/>
        <v>13843.095693984775</v>
      </c>
    </row>
    <row r="376" spans="1:12" x14ac:dyDescent="0.15">
      <c r="A376" s="1" t="s">
        <v>38</v>
      </c>
      <c r="B376" s="1" t="s">
        <v>246</v>
      </c>
      <c r="C376" s="1"/>
      <c r="D376" s="1">
        <f t="shared" ref="D376:L376" si="67">C376+D375</f>
        <v>-5149.1958814575</v>
      </c>
      <c r="E376" s="1">
        <f t="shared" si="67"/>
        <v>-11309.193131520376</v>
      </c>
      <c r="F376" s="1">
        <f t="shared" si="67"/>
        <v>-12505.947629460972</v>
      </c>
      <c r="G376" s="1">
        <f t="shared" si="67"/>
        <v>-7557.5270205106635</v>
      </c>
      <c r="H376" s="1">
        <f t="shared" si="67"/>
        <v>-963.97201551002127</v>
      </c>
      <c r="I376" s="1">
        <f t="shared" si="67"/>
        <v>7656.8284966520669</v>
      </c>
      <c r="J376" s="1">
        <f t="shared" si="67"/>
        <v>16064.321319394403</v>
      </c>
      <c r="K376" s="1">
        <f t="shared" si="67"/>
        <v>24453.631452716989</v>
      </c>
      <c r="L376" s="1">
        <f t="shared" si="67"/>
        <v>38296.727146701764</v>
      </c>
    </row>
    <row r="377" spans="1:12" x14ac:dyDescent="0.15">
      <c r="A377" s="1" t="s">
        <v>12</v>
      </c>
      <c r="B377" s="1" t="s">
        <v>247</v>
      </c>
      <c r="C377" s="1">
        <f>SUM(D377:K377)</f>
        <v>34620.487256362489</v>
      </c>
      <c r="D377" s="1">
        <f t="shared" ref="D377:L377" si="68">D375+D374</f>
        <v>-5149.1958814575</v>
      </c>
      <c r="E377" s="1">
        <f t="shared" si="68"/>
        <v>-6159.9972500628755</v>
      </c>
      <c r="F377" s="1">
        <f t="shared" si="68"/>
        <v>-1196.7544979405961</v>
      </c>
      <c r="G377" s="1">
        <f t="shared" si="68"/>
        <v>6096.1546694723847</v>
      </c>
      <c r="H377" s="1">
        <f t="shared" si="68"/>
        <v>8310.3444130621283</v>
      </c>
      <c r="I377" s="1">
        <f t="shared" si="68"/>
        <v>10906.645267762982</v>
      </c>
      <c r="J377" s="1">
        <f t="shared" si="68"/>
        <v>10906.645267762982</v>
      </c>
      <c r="K377" s="1">
        <f t="shared" si="68"/>
        <v>10906.645267762982</v>
      </c>
      <c r="L377" s="1">
        <f t="shared" si="68"/>
        <v>16360.430828425171</v>
      </c>
    </row>
    <row r="378" spans="1:12" x14ac:dyDescent="0.15">
      <c r="A378" s="1" t="s">
        <v>128</v>
      </c>
      <c r="B378" s="1" t="s">
        <v>248</v>
      </c>
      <c r="C378" s="1"/>
      <c r="D378" s="1">
        <f t="shared" ref="D378:L378" si="69">C378+D377</f>
        <v>-5149.1958814575</v>
      </c>
      <c r="E378" s="1">
        <f t="shared" si="69"/>
        <v>-11309.193131520376</v>
      </c>
      <c r="F378" s="1">
        <f t="shared" si="69"/>
        <v>-12505.947629460972</v>
      </c>
      <c r="G378" s="1">
        <f t="shared" si="69"/>
        <v>-6409.7929599885874</v>
      </c>
      <c r="H378" s="1">
        <f t="shared" si="69"/>
        <v>1900.5514530735409</v>
      </c>
      <c r="I378" s="1">
        <f t="shared" si="69"/>
        <v>12807.196720836524</v>
      </c>
      <c r="J378" s="1">
        <f t="shared" si="69"/>
        <v>23713.841988599506</v>
      </c>
      <c r="K378" s="1">
        <f t="shared" si="69"/>
        <v>34620.487256362489</v>
      </c>
      <c r="L378" s="1">
        <f t="shared" si="69"/>
        <v>50980.918084787656</v>
      </c>
    </row>
    <row r="379" spans="1:12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x14ac:dyDescent="0.15">
      <c r="A382" s="1"/>
      <c r="B382" s="1"/>
      <c r="C382" s="1"/>
      <c r="D382" s="1" t="s">
        <v>249</v>
      </c>
      <c r="E382" s="1" t="s">
        <v>250</v>
      </c>
      <c r="F382" s="1" t="s">
        <v>251</v>
      </c>
      <c r="G382" s="1"/>
      <c r="H382" s="1"/>
      <c r="I382" s="1"/>
      <c r="J382" s="1"/>
      <c r="K382" s="1"/>
      <c r="L382" s="1"/>
    </row>
    <row r="383" spans="1:12" x14ac:dyDescent="0.15">
      <c r="A383" s="1"/>
      <c r="B383" s="1"/>
      <c r="C383" s="1"/>
      <c r="D383" s="1" t="s">
        <v>252</v>
      </c>
      <c r="E383" s="1">
        <f t="array" ref="E383">MATCH(TRUE,E378:J378&gt;0,0)-1+(-INDEX(E378:J378,1,MATCH(TRUE,E378:J378&gt;0,0)-1)/INDEX(E377:J377,1,MATCH(TRUE,E378:J378&gt;0,0)))</f>
        <v>3.7713029257744997</v>
      </c>
      <c r="F383" s="1">
        <f t="array" ref="F383">MATCH(TRUE,E376:J376&gt;0,0)-1+(-INDEX(E376:J376,1,MATCH(TRUE,E376:J376&gt;0,0)-1)/INDEX(E375:J375,1,MATCH(TRUE,E376:J376&gt;0,0)))</f>
        <v>4.1118193158686438</v>
      </c>
      <c r="G383" s="1" t="s">
        <v>253</v>
      </c>
      <c r="H383" s="1"/>
      <c r="I383" s="1"/>
      <c r="J383" s="1"/>
      <c r="K383" s="1"/>
      <c r="L383" s="1"/>
    </row>
    <row r="384" spans="1:12" x14ac:dyDescent="0.15">
      <c r="A384" s="1"/>
      <c r="B384" s="1"/>
      <c r="C384" s="1"/>
      <c r="D384" s="1" t="s">
        <v>254</v>
      </c>
      <c r="E384" s="1">
        <f t="array" ref="E384">MATCH(TRUE,E391:J391&gt;0,0)-1+(-INDEX(E391:J391,1,MATCH(TRUE,E391:J391&gt;0,0)-1)/INDEX(E390:J390,1,MATCH(TRUE,E391:J391&gt;0,0)))</f>
        <v>4.2188425135863747</v>
      </c>
      <c r="F384" s="1">
        <f t="array" ref="F384">MATCH(TRUE,E389:J389&gt;0,0)-1+(-INDEX(E389:J389,1,MATCH(TRUE,E389:J389&gt;0,0)-1)/INDEX(E388:J388,1,MATCH(TRUE,E389:J389&gt;0,0)))</f>
        <v>4.6570230014371354</v>
      </c>
      <c r="G384" s="1" t="s">
        <v>253</v>
      </c>
      <c r="H384" s="1"/>
      <c r="I384" s="1"/>
      <c r="J384" s="1"/>
      <c r="K384" s="1"/>
      <c r="L384" s="1"/>
    </row>
    <row r="385" spans="1:12" x14ac:dyDescent="0.15">
      <c r="A385" s="1"/>
      <c r="B385" s="1"/>
      <c r="C385" s="1"/>
      <c r="D385" s="1" t="s">
        <v>255</v>
      </c>
      <c r="E385" s="1">
        <f>IRR(D377:L377)</f>
        <v>0.39519093040357611</v>
      </c>
      <c r="F385" s="1">
        <f>IRR(D375:L375)</f>
        <v>0.32714806678818698</v>
      </c>
      <c r="G385" s="1"/>
      <c r="H385" s="1"/>
      <c r="I385" s="1"/>
      <c r="J385" s="1"/>
      <c r="K385" s="1"/>
      <c r="L385" s="1"/>
    </row>
    <row r="386" spans="1:12" x14ac:dyDescent="0.15">
      <c r="A386" s="1"/>
      <c r="B386" s="1"/>
      <c r="C386" s="1"/>
      <c r="D386" s="1" t="s">
        <v>256</v>
      </c>
      <c r="E386" s="1">
        <f>D377+NPV($C$7,E377:L377)</f>
        <v>24675.742413480573</v>
      </c>
      <c r="F386" s="1">
        <f>D375+NPV($C$7,E375:L375)</f>
        <v>17344.660028954215</v>
      </c>
      <c r="G386" s="1"/>
      <c r="H386" s="1"/>
      <c r="I386" s="1"/>
      <c r="J386" s="1"/>
      <c r="K386" s="1"/>
      <c r="L386" s="1"/>
    </row>
    <row r="387" spans="1:12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x14ac:dyDescent="0.15">
      <c r="A388" s="1"/>
      <c r="B388" s="1"/>
      <c r="C388" s="1"/>
      <c r="D388" s="1">
        <f>PV($C$7,D363,,-D375)</f>
        <v>-5149.1958814575</v>
      </c>
      <c r="E388" s="1">
        <f>PV($C$7,E363,,-E375)</f>
        <v>-5599.9975000571594</v>
      </c>
      <c r="F388" s="1">
        <f>PV($C$7,F363,,-F375)</f>
        <v>-989.05330408313716</v>
      </c>
      <c r="G388" s="1">
        <f>PV($C$7,G363,,-G375)</f>
        <v>3717.8216445907642</v>
      </c>
      <c r="H388" s="1">
        <f>PV($C$7,H363,,-H375)</f>
        <v>4503.4867871051438</v>
      </c>
      <c r="I388" s="1">
        <f>PV($C$7,I363,,-I375)</f>
        <v>5352.8388598407246</v>
      </c>
      <c r="J388" s="1">
        <f>PV($C$7,J363,,-J375)</f>
        <v>4745.8105155522917</v>
      </c>
      <c r="K388" s="1">
        <f>PV($C$7,K363,,-K375)</f>
        <v>4305.0426012696153</v>
      </c>
      <c r="L388" s="1">
        <f>PV($C$7,L363,,-L375)</f>
        <v>6457.9063061934758</v>
      </c>
    </row>
    <row r="389" spans="1:12" x14ac:dyDescent="0.15">
      <c r="A389" s="1"/>
      <c r="B389" s="1"/>
      <c r="C389" s="1"/>
      <c r="D389" s="1">
        <f t="shared" ref="D389:L389" si="70">C389+D388</f>
        <v>-5149.1958814575</v>
      </c>
      <c r="E389" s="1">
        <f t="shared" si="70"/>
        <v>-10749.193381514659</v>
      </c>
      <c r="F389" s="1">
        <f t="shared" si="70"/>
        <v>-11738.246685597796</v>
      </c>
      <c r="G389" s="1">
        <f t="shared" si="70"/>
        <v>-8020.4250410070326</v>
      </c>
      <c r="H389" s="1">
        <f t="shared" si="70"/>
        <v>-3516.9382539018889</v>
      </c>
      <c r="I389" s="1">
        <f t="shared" si="70"/>
        <v>1835.9006059388357</v>
      </c>
      <c r="J389" s="1">
        <f t="shared" si="70"/>
        <v>6581.7111214911274</v>
      </c>
      <c r="K389" s="1">
        <f t="shared" si="70"/>
        <v>10886.753722760743</v>
      </c>
      <c r="L389" s="1">
        <f t="shared" si="70"/>
        <v>17344.660028954218</v>
      </c>
    </row>
    <row r="390" spans="1:12" x14ac:dyDescent="0.15">
      <c r="A390" s="1"/>
      <c r="B390" s="1"/>
      <c r="C390" s="1"/>
      <c r="D390" s="1">
        <f>PV($C$7,D$363,,-D377)</f>
        <v>-5149.1958814575</v>
      </c>
      <c r="E390" s="1">
        <f>PV($C$7,E$363,,-E377)</f>
        <v>-5599.9975000571594</v>
      </c>
      <c r="F390" s="1">
        <f>PV($C$7,F$363,,-F377)</f>
        <v>-989.05330408313716</v>
      </c>
      <c r="G390" s="1">
        <f>PV($C$7,G$363,,-G377)</f>
        <v>4580.1312317598668</v>
      </c>
      <c r="H390" s="1">
        <f>PV($C$7,H$363,,-H377)</f>
        <v>5676.0770528393732</v>
      </c>
      <c r="I390" s="1">
        <f>PV($C$7,I$363,,-I377)</f>
        <v>6772.168609796262</v>
      </c>
      <c r="J390" s="1">
        <f>PV($C$7,J$363,,-J377)</f>
        <v>6156.5169179966015</v>
      </c>
      <c r="K390" s="1">
        <f>PV($C$7,K$363,,-K377)</f>
        <v>5596.8335618150913</v>
      </c>
      <c r="L390" s="1">
        <f>PV($C$7,L$363,,-L377)</f>
        <v>7632.2617248711813</v>
      </c>
    </row>
    <row r="391" spans="1:12" x14ac:dyDescent="0.15">
      <c r="A391" s="1"/>
      <c r="B391" s="1"/>
      <c r="C391" s="1"/>
      <c r="D391" s="1">
        <f t="shared" ref="D391:L391" si="71">C391+D390</f>
        <v>-5149.1958814575</v>
      </c>
      <c r="E391" s="1">
        <f t="shared" si="71"/>
        <v>-10749.193381514659</v>
      </c>
      <c r="F391" s="1">
        <f t="shared" si="71"/>
        <v>-11738.246685597796</v>
      </c>
      <c r="G391" s="1">
        <f t="shared" si="71"/>
        <v>-7158.1154538379296</v>
      </c>
      <c r="H391" s="1">
        <f t="shared" si="71"/>
        <v>-1482.0384009985564</v>
      </c>
      <c r="I391" s="1">
        <f t="shared" si="71"/>
        <v>5290.1302087977056</v>
      </c>
      <c r="J391" s="1">
        <f t="shared" si="71"/>
        <v>11446.647126794307</v>
      </c>
      <c r="K391" s="1">
        <f t="shared" si="71"/>
        <v>17043.480688609397</v>
      </c>
      <c r="L391" s="1">
        <f t="shared" si="71"/>
        <v>24675.742413480577</v>
      </c>
    </row>
    <row r="392" spans="1:12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15">
      <c r="A394" s="3" t="s">
        <v>257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1" t="s">
        <v>80</v>
      </c>
    </row>
    <row r="395" spans="1:12" x14ac:dyDescent="0.15">
      <c r="A395" s="3" t="s">
        <v>81</v>
      </c>
      <c r="B395" s="3" t="s">
        <v>106</v>
      </c>
      <c r="C395" s="3" t="s">
        <v>87</v>
      </c>
      <c r="D395" s="3" t="s">
        <v>132</v>
      </c>
      <c r="E395" s="3"/>
      <c r="F395" s="3"/>
      <c r="G395" s="3" t="s">
        <v>109</v>
      </c>
      <c r="H395" s="3"/>
      <c r="I395" s="3" t="s">
        <v>110</v>
      </c>
      <c r="J395" s="3"/>
      <c r="K395" s="3"/>
      <c r="L395" s="3"/>
    </row>
    <row r="396" spans="1:12" x14ac:dyDescent="0.15">
      <c r="A396" s="3"/>
      <c r="B396" s="3"/>
      <c r="C396" s="3"/>
      <c r="D396" s="1">
        <v>0</v>
      </c>
      <c r="E396" s="1">
        <v>1</v>
      </c>
      <c r="F396" s="1">
        <v>2</v>
      </c>
      <c r="G396" s="1">
        <v>3</v>
      </c>
      <c r="H396" s="1">
        <v>4</v>
      </c>
      <c r="I396" s="1">
        <v>5</v>
      </c>
      <c r="J396" s="1">
        <v>6</v>
      </c>
      <c r="K396" s="1">
        <v>7</v>
      </c>
      <c r="L396" s="1">
        <v>8</v>
      </c>
    </row>
    <row r="397" spans="1:12" x14ac:dyDescent="0.15">
      <c r="A397" s="1"/>
      <c r="B397" s="1" t="s">
        <v>188</v>
      </c>
      <c r="C397" s="1"/>
      <c r="D397" s="1"/>
      <c r="E397" s="1"/>
      <c r="F397" s="1"/>
      <c r="G397" s="1">
        <f>C6</f>
        <v>0.6</v>
      </c>
      <c r="H397" s="1">
        <f>D6</f>
        <v>0.8</v>
      </c>
      <c r="I397" s="1">
        <f>E6</f>
        <v>1</v>
      </c>
      <c r="J397" s="1">
        <f>F6</f>
        <v>1</v>
      </c>
      <c r="K397" s="1">
        <f>G6</f>
        <v>1</v>
      </c>
      <c r="L397" s="1">
        <f>H6</f>
        <v>1</v>
      </c>
    </row>
    <row r="398" spans="1:12" x14ac:dyDescent="0.15">
      <c r="A398" s="1" t="s">
        <v>18</v>
      </c>
      <c r="B398" s="1" t="s">
        <v>242</v>
      </c>
      <c r="C398" s="1">
        <f t="shared" ref="C398:C403" si="72">SUM(D398:K398)</f>
        <v>92400</v>
      </c>
      <c r="D398" s="1"/>
      <c r="E398" s="1"/>
      <c r="F398" s="1"/>
      <c r="G398" s="1">
        <f t="shared" ref="G398:L398" si="73">SUM(G399:G401)</f>
        <v>12600</v>
      </c>
      <c r="H398" s="1">
        <f t="shared" si="73"/>
        <v>16800</v>
      </c>
      <c r="I398" s="1">
        <f t="shared" si="73"/>
        <v>21000</v>
      </c>
      <c r="J398" s="1">
        <f t="shared" si="73"/>
        <v>21000</v>
      </c>
      <c r="K398" s="1">
        <f t="shared" si="73"/>
        <v>21000</v>
      </c>
      <c r="L398" s="1">
        <f t="shared" si="73"/>
        <v>26453.785560662189</v>
      </c>
    </row>
    <row r="399" spans="1:12" x14ac:dyDescent="0.15">
      <c r="A399" s="1" t="s">
        <v>90</v>
      </c>
      <c r="B399" s="1" t="s">
        <v>207</v>
      </c>
      <c r="C399" s="1">
        <f t="shared" si="72"/>
        <v>92400</v>
      </c>
      <c r="D399" s="1"/>
      <c r="E399" s="1"/>
      <c r="F399" s="1"/>
      <c r="G399" s="1">
        <f t="shared" ref="G399:L399" si="74">D275</f>
        <v>12600</v>
      </c>
      <c r="H399" s="1">
        <f t="shared" si="74"/>
        <v>16800</v>
      </c>
      <c r="I399" s="1">
        <f t="shared" si="74"/>
        <v>21000</v>
      </c>
      <c r="J399" s="1">
        <f t="shared" si="74"/>
        <v>21000</v>
      </c>
      <c r="K399" s="1">
        <f t="shared" si="74"/>
        <v>21000</v>
      </c>
      <c r="L399" s="1">
        <f t="shared" si="74"/>
        <v>21000</v>
      </c>
    </row>
    <row r="400" spans="1:12" x14ac:dyDescent="0.15">
      <c r="A400" s="1" t="s">
        <v>91</v>
      </c>
      <c r="B400" s="1" t="s">
        <v>220</v>
      </c>
      <c r="C400" s="1">
        <f t="shared" si="72"/>
        <v>0</v>
      </c>
      <c r="D400" s="1"/>
      <c r="E400" s="1"/>
      <c r="F400" s="1"/>
      <c r="G400" s="1"/>
      <c r="H400" s="1"/>
      <c r="I400" s="1"/>
      <c r="J400" s="1"/>
      <c r="K400" s="1"/>
      <c r="L400" s="1">
        <f>K193</f>
        <v>3492.8088404993723</v>
      </c>
    </row>
    <row r="401" spans="1:12" x14ac:dyDescent="0.15">
      <c r="A401" s="1" t="s">
        <v>92</v>
      </c>
      <c r="B401" s="1" t="s">
        <v>222</v>
      </c>
      <c r="C401" s="1">
        <f t="shared" si="72"/>
        <v>0</v>
      </c>
      <c r="D401" s="1"/>
      <c r="E401" s="1"/>
      <c r="F401" s="1"/>
      <c r="G401" s="1"/>
      <c r="H401" s="1"/>
      <c r="I401" s="1"/>
      <c r="J401" s="1"/>
      <c r="K401" s="1"/>
      <c r="L401" s="1">
        <f>J92</f>
        <v>1960.9767201628183</v>
      </c>
    </row>
    <row r="402" spans="1:12" x14ac:dyDescent="0.15">
      <c r="A402" s="1" t="s">
        <v>20</v>
      </c>
      <c r="B402" s="1" t="s">
        <v>243</v>
      </c>
      <c r="C402" s="1">
        <f t="shared" si="72"/>
        <v>67660.018769341259</v>
      </c>
      <c r="D402" s="1">
        <f t="shared" ref="D402:L402" si="75">SUM(D403:D408)</f>
        <v>2255.1222838499998</v>
      </c>
      <c r="E402" s="1">
        <f t="shared" si="75"/>
        <v>3235.6102333499998</v>
      </c>
      <c r="F402" s="1">
        <f t="shared" si="75"/>
        <v>359.02634938217886</v>
      </c>
      <c r="G402" s="1">
        <f t="shared" si="75"/>
        <v>9374.0328136168737</v>
      </c>
      <c r="H402" s="1">
        <f t="shared" si="75"/>
        <v>11611.774643838689</v>
      </c>
      <c r="I402" s="1">
        <f t="shared" si="75"/>
        <v>14093.909490109349</v>
      </c>
      <c r="J402" s="1">
        <f t="shared" si="75"/>
        <v>14119.85308851676</v>
      </c>
      <c r="K402" s="1">
        <f t="shared" si="75"/>
        <v>12610.689866677414</v>
      </c>
      <c r="L402" s="1">
        <f t="shared" si="75"/>
        <v>12610.689866677414</v>
      </c>
    </row>
    <row r="403" spans="1:12" x14ac:dyDescent="0.15">
      <c r="A403" s="1" t="s">
        <v>95</v>
      </c>
      <c r="B403" s="1" t="s">
        <v>155</v>
      </c>
      <c r="C403" s="1">
        <f t="shared" si="72"/>
        <v>6438.0518826310235</v>
      </c>
      <c r="D403" s="1">
        <f>D151</f>
        <v>2255.1222838499998</v>
      </c>
      <c r="E403" s="1">
        <f>E151</f>
        <v>3235.6102333499998</v>
      </c>
      <c r="F403" s="1">
        <f>F151</f>
        <v>359.02634938217886</v>
      </c>
      <c r="G403" s="1">
        <f>F151</f>
        <v>359.02634938217886</v>
      </c>
      <c r="H403" s="1">
        <f>G151</f>
        <v>114.63333333333327</v>
      </c>
      <c r="I403" s="1">
        <f>H151</f>
        <v>114.63333333333338</v>
      </c>
      <c r="J403" s="1">
        <f>I151</f>
        <v>0</v>
      </c>
      <c r="K403" s="1">
        <f>J151</f>
        <v>0</v>
      </c>
      <c r="L403" s="1">
        <f>K151</f>
        <v>0</v>
      </c>
    </row>
    <row r="404" spans="1:12" x14ac:dyDescent="0.15">
      <c r="A404" s="1" t="s">
        <v>96</v>
      </c>
      <c r="B404" s="1" t="s">
        <v>258</v>
      </c>
      <c r="C404" s="1"/>
      <c r="D404" s="1"/>
      <c r="E404" s="1"/>
      <c r="F404" s="1"/>
      <c r="G404" s="1">
        <f>G119</f>
        <v>1454.6151535800936</v>
      </c>
      <c r="H404" s="1">
        <f>H119</f>
        <v>1454.6151535800936</v>
      </c>
      <c r="I404" s="1">
        <f>I119</f>
        <v>1454.6151535800936</v>
      </c>
      <c r="J404" s="1">
        <f>J119</f>
        <v>1454.6151535800936</v>
      </c>
      <c r="K404" s="1">
        <f>K119</f>
        <v>0</v>
      </c>
      <c r="L404" s="1">
        <f>L119</f>
        <v>0</v>
      </c>
    </row>
    <row r="405" spans="1:12" x14ac:dyDescent="0.15">
      <c r="A405" s="1" t="s">
        <v>97</v>
      </c>
      <c r="B405" s="1" t="s">
        <v>259</v>
      </c>
      <c r="C405" s="1"/>
      <c r="D405" s="1"/>
      <c r="E405" s="1"/>
      <c r="F405" s="1"/>
      <c r="G405" s="1">
        <f>G120</f>
        <v>290.92303071601873</v>
      </c>
      <c r="H405" s="1">
        <f>H120</f>
        <v>218.19227303701405</v>
      </c>
      <c r="I405" s="1">
        <f>I120</f>
        <v>145.46151535800936</v>
      </c>
      <c r="J405" s="1">
        <f>J120</f>
        <v>72.730757679004682</v>
      </c>
      <c r="K405" s="1">
        <f>K120</f>
        <v>0</v>
      </c>
      <c r="L405" s="1">
        <f>L120</f>
        <v>0</v>
      </c>
    </row>
    <row r="406" spans="1:12" x14ac:dyDescent="0.15">
      <c r="A406" s="1" t="s">
        <v>224</v>
      </c>
      <c r="B406" s="1" t="s">
        <v>203</v>
      </c>
      <c r="C406" s="1">
        <f>SUM(D406:K406)</f>
        <v>34547.517250928679</v>
      </c>
      <c r="D406" s="1"/>
      <c r="E406" s="1"/>
      <c r="F406" s="1"/>
      <c r="G406" s="1">
        <f t="shared" ref="G406:L406" si="76">D254</f>
        <v>4763.3034501857355</v>
      </c>
      <c r="H406" s="1">
        <f t="shared" si="76"/>
        <v>6296.3034501857355</v>
      </c>
      <c r="I406" s="1">
        <f t="shared" si="76"/>
        <v>7829.3034501857355</v>
      </c>
      <c r="J406" s="1">
        <f t="shared" si="76"/>
        <v>7829.3034501857355</v>
      </c>
      <c r="K406" s="1">
        <f t="shared" si="76"/>
        <v>7829.3034501857355</v>
      </c>
      <c r="L406" s="1">
        <f t="shared" si="76"/>
        <v>7829.3034501857355</v>
      </c>
    </row>
    <row r="407" spans="1:12" x14ac:dyDescent="0.15">
      <c r="A407" s="1" t="s">
        <v>244</v>
      </c>
      <c r="B407" s="1" t="s">
        <v>208</v>
      </c>
      <c r="C407" s="1">
        <f>SUM(D407:K407)</f>
        <v>9961.8256410256417</v>
      </c>
      <c r="D407" s="1"/>
      <c r="E407" s="1"/>
      <c r="F407" s="1"/>
      <c r="G407" s="1">
        <f t="shared" ref="G407:L407" si="77">D276</f>
        <v>1358.4307692307693</v>
      </c>
      <c r="H407" s="1">
        <f t="shared" si="77"/>
        <v>1811.2410256410258</v>
      </c>
      <c r="I407" s="1">
        <f t="shared" si="77"/>
        <v>2264.0512820512822</v>
      </c>
      <c r="J407" s="1">
        <f t="shared" si="77"/>
        <v>2264.0512820512822</v>
      </c>
      <c r="K407" s="1">
        <f t="shared" si="77"/>
        <v>2264.0512820512822</v>
      </c>
      <c r="L407" s="1">
        <f t="shared" si="77"/>
        <v>2264.0512820512822</v>
      </c>
    </row>
    <row r="408" spans="1:12" x14ac:dyDescent="0.15">
      <c r="A408" s="1" t="s">
        <v>226</v>
      </c>
      <c r="B408" s="1" t="s">
        <v>225</v>
      </c>
      <c r="C408" s="1">
        <f>SUM(D408:K408)</f>
        <v>10166.8558036455</v>
      </c>
      <c r="D408" s="1"/>
      <c r="E408" s="1"/>
      <c r="F408" s="1"/>
      <c r="G408" s="1">
        <f t="shared" ref="G408:L408" si="78">D339</f>
        <v>1147.7340605220761</v>
      </c>
      <c r="H408" s="1">
        <f t="shared" si="78"/>
        <v>1716.7894080614858</v>
      </c>
      <c r="I408" s="1">
        <f t="shared" si="78"/>
        <v>2285.844755600895</v>
      </c>
      <c r="J408" s="1">
        <f t="shared" si="78"/>
        <v>2499.1524450206462</v>
      </c>
      <c r="K408" s="1">
        <f t="shared" si="78"/>
        <v>2517.3351344403973</v>
      </c>
      <c r="L408" s="1">
        <f t="shared" si="78"/>
        <v>2517.3351344403973</v>
      </c>
    </row>
    <row r="409" spans="1:12" x14ac:dyDescent="0.15">
      <c r="A409" s="1" t="s">
        <v>33</v>
      </c>
      <c r="B409" s="1" t="s">
        <v>245</v>
      </c>
      <c r="C409" s="1">
        <f>SUM(D409:K409)</f>
        <v>24739.981230658734</v>
      </c>
      <c r="D409" s="1">
        <f t="shared" ref="D409:L409" si="79">D398-D402</f>
        <v>-2255.1222838499998</v>
      </c>
      <c r="E409" s="1">
        <f t="shared" si="79"/>
        <v>-3235.6102333499998</v>
      </c>
      <c r="F409" s="1">
        <f t="shared" si="79"/>
        <v>-359.02634938217886</v>
      </c>
      <c r="G409" s="1">
        <f t="shared" si="79"/>
        <v>3225.9671863831263</v>
      </c>
      <c r="H409" s="1">
        <f t="shared" si="79"/>
        <v>5188.2253561613106</v>
      </c>
      <c r="I409" s="1">
        <f t="shared" si="79"/>
        <v>6906.0905098906514</v>
      </c>
      <c r="J409" s="1">
        <f t="shared" si="79"/>
        <v>6880.1469114832398</v>
      </c>
      <c r="K409" s="1">
        <f t="shared" si="79"/>
        <v>8389.3101333225859</v>
      </c>
      <c r="L409" s="1">
        <f t="shared" si="79"/>
        <v>13843.095693984775</v>
      </c>
    </row>
    <row r="410" spans="1:12" x14ac:dyDescent="0.15">
      <c r="A410" s="1" t="s">
        <v>38</v>
      </c>
      <c r="B410" s="1" t="s">
        <v>246</v>
      </c>
      <c r="C410" s="1"/>
      <c r="D410" s="1">
        <f t="shared" ref="D410:L410" si="80">C410+D409</f>
        <v>-2255.1222838499998</v>
      </c>
      <c r="E410" s="1">
        <f t="shared" si="80"/>
        <v>-5490.7325172000001</v>
      </c>
      <c r="F410" s="1">
        <f t="shared" si="80"/>
        <v>-5849.7588665821786</v>
      </c>
      <c r="G410" s="1">
        <f t="shared" si="80"/>
        <v>-2623.7916801990523</v>
      </c>
      <c r="H410" s="1">
        <f t="shared" si="80"/>
        <v>2564.4336759622583</v>
      </c>
      <c r="I410" s="1">
        <f t="shared" si="80"/>
        <v>9470.5241858529098</v>
      </c>
      <c r="J410" s="1">
        <f t="shared" si="80"/>
        <v>16350.67109733615</v>
      </c>
      <c r="K410" s="1">
        <f t="shared" si="80"/>
        <v>24739.981230658734</v>
      </c>
      <c r="L410" s="1">
        <f t="shared" si="80"/>
        <v>38583.076924643508</v>
      </c>
    </row>
    <row r="411" spans="1:12" x14ac:dyDescent="0.15">
      <c r="A411" s="1" t="s">
        <v>260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15">
      <c r="A412" s="1" t="s">
        <v>193</v>
      </c>
      <c r="B412" s="1" t="s">
        <v>245</v>
      </c>
      <c r="C412" s="1">
        <f>SUM(E412:K412)</f>
        <v>37161.95931815423</v>
      </c>
      <c r="D412" s="1">
        <f t="shared" ref="D412:L412" si="81">D409+D408</f>
        <v>-2255.1222838499998</v>
      </c>
      <c r="E412" s="1">
        <f t="shared" si="81"/>
        <v>-3235.6102333499998</v>
      </c>
      <c r="F412" s="1">
        <f t="shared" si="81"/>
        <v>-359.02634938217886</v>
      </c>
      <c r="G412" s="1">
        <f t="shared" si="81"/>
        <v>4373.7012469052024</v>
      </c>
      <c r="H412" s="1">
        <f t="shared" si="81"/>
        <v>6905.0147642227967</v>
      </c>
      <c r="I412" s="1">
        <f t="shared" si="81"/>
        <v>9191.9352654915456</v>
      </c>
      <c r="J412" s="1">
        <f t="shared" si="81"/>
        <v>9379.2993565038851</v>
      </c>
      <c r="K412" s="1">
        <f t="shared" si="81"/>
        <v>10906.645267762982</v>
      </c>
      <c r="L412" s="1">
        <f t="shared" si="81"/>
        <v>16360.430828425171</v>
      </c>
    </row>
    <row r="413" spans="1:12" x14ac:dyDescent="0.15">
      <c r="A413" s="1" t="s">
        <v>195</v>
      </c>
      <c r="B413" s="1" t="s">
        <v>246</v>
      </c>
      <c r="C413" s="1"/>
      <c r="D413" s="1">
        <f t="shared" ref="D413:L413" si="82">C413+D412</f>
        <v>-2255.1222838499998</v>
      </c>
      <c r="E413" s="1">
        <f t="shared" si="82"/>
        <v>-5490.7325172000001</v>
      </c>
      <c r="F413" s="1">
        <f t="shared" si="82"/>
        <v>-5849.7588665821786</v>
      </c>
      <c r="G413" s="1">
        <f t="shared" si="82"/>
        <v>-1476.0576196769762</v>
      </c>
      <c r="H413" s="1">
        <f t="shared" si="82"/>
        <v>5428.9571445458205</v>
      </c>
      <c r="I413" s="1">
        <f t="shared" si="82"/>
        <v>14620.892410037366</v>
      </c>
      <c r="J413" s="1">
        <f t="shared" si="82"/>
        <v>24000.191766541251</v>
      </c>
      <c r="K413" s="1">
        <f t="shared" si="82"/>
        <v>34906.837034304233</v>
      </c>
      <c r="L413" s="1">
        <f t="shared" si="82"/>
        <v>51267.267862729408</v>
      </c>
    </row>
    <row r="414" spans="1:12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15">
      <c r="A415" s="1"/>
      <c r="B415" s="1"/>
      <c r="C415" s="1"/>
      <c r="D415" s="1" t="s">
        <v>249</v>
      </c>
      <c r="E415" s="1" t="s">
        <v>250</v>
      </c>
      <c r="F415" s="1" t="s">
        <v>251</v>
      </c>
      <c r="G415" s="1"/>
      <c r="H415" s="1"/>
      <c r="I415" s="1"/>
      <c r="J415" s="1"/>
      <c r="K415" s="1"/>
      <c r="L415" s="1"/>
    </row>
    <row r="416" spans="1:12" x14ac:dyDescent="0.15">
      <c r="A416" s="1"/>
      <c r="B416" s="1"/>
      <c r="C416" s="1"/>
      <c r="D416" s="1" t="s">
        <v>252</v>
      </c>
      <c r="E416" s="1">
        <f t="array" ref="E416">MATCH(TRUE,E413:J413&gt;0,0)-1+(-INDEX(E413:J413,1,MATCH(TRUE,E413:J413&gt;0,0)-1)/INDEX(E412:J412,1,MATCH(TRUE,E413:J413&gt;0,0)))</f>
        <v>3.2137660338287657</v>
      </c>
      <c r="F416" s="1">
        <f t="array" ref="F416">MATCH(TRUE,E410:J410&gt;0,0)-1+(-INDEX(E410:J410,1,MATCH(TRUE,E410:J410&gt;0,0)-1)/INDEX(E409:J409,1,MATCH(TRUE,E410:J410&gt;0,0)))</f>
        <v>3.5057204535425877</v>
      </c>
      <c r="G416" s="1" t="s">
        <v>253</v>
      </c>
      <c r="H416" s="1"/>
      <c r="I416" s="1"/>
      <c r="J416" s="1"/>
      <c r="K416" s="1"/>
      <c r="L416" s="1"/>
    </row>
    <row r="417" spans="1:12" x14ac:dyDescent="0.15">
      <c r="A417" s="1"/>
      <c r="B417" s="1"/>
      <c r="C417" s="1"/>
      <c r="D417" s="1" t="s">
        <v>254</v>
      </c>
      <c r="E417" s="1">
        <f t="array" ref="E417">MATCH(TRUE,E424:J424&gt;0,0)-1+(-INDEX(E424:J424,1,MATCH(TRUE,E424:J424&gt;0,0)-1)/INDEX(E423:J423,1,MATCH(TRUE,E424:J424&gt;0,0)))</f>
        <v>3.4680181546134747</v>
      </c>
      <c r="F417" s="1">
        <f t="array" ref="F417">MATCH(TRUE,E422:J422&gt;0,0)-1+(-INDEX(E422:J422,1,MATCH(TRUE,E422:J422&gt;0,0)-1)/INDEX(E421:J421,1,MATCH(TRUE,E422:J422&gt;0,0)))</f>
        <v>3.8662267780576536</v>
      </c>
      <c r="G417" s="1" t="s">
        <v>253</v>
      </c>
      <c r="H417" s="1"/>
      <c r="I417" s="1"/>
      <c r="J417" s="1"/>
      <c r="K417" s="1"/>
      <c r="L417" s="1"/>
    </row>
    <row r="418" spans="1:12" x14ac:dyDescent="0.15">
      <c r="A418" s="1"/>
      <c r="B418" s="1"/>
      <c r="C418" s="1"/>
      <c r="D418" s="1" t="s">
        <v>255</v>
      </c>
      <c r="E418" s="1">
        <f>IRR(D412:L412)</f>
        <v>0.59382442363126375</v>
      </c>
      <c r="F418" s="1">
        <f>IRR(D409:L409)</f>
        <v>0.49661309665835751</v>
      </c>
      <c r="G418" s="1"/>
      <c r="H418" s="1"/>
      <c r="I418" s="1"/>
      <c r="J418" s="1"/>
      <c r="K418" s="1"/>
      <c r="L418" s="1"/>
    </row>
    <row r="419" spans="1:12" x14ac:dyDescent="0.15">
      <c r="A419" s="1"/>
      <c r="B419" s="1"/>
      <c r="C419" s="1"/>
      <c r="D419" s="1" t="s">
        <v>256</v>
      </c>
      <c r="E419" s="1">
        <f>D412+NPV($C$7,E412:L412)</f>
        <v>26739.876213531257</v>
      </c>
      <c r="F419" s="1">
        <f>D409+NPV($C$7,E409:L409)</f>
        <v>19408.793829004895</v>
      </c>
      <c r="G419" s="1"/>
      <c r="H419" s="1"/>
      <c r="I419" s="1"/>
      <c r="J419" s="1"/>
      <c r="K419" s="1"/>
      <c r="L419" s="1"/>
    </row>
    <row r="420" spans="1:12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15">
      <c r="A421" s="1"/>
      <c r="B421" s="1"/>
      <c r="C421" s="1"/>
      <c r="D421" s="1">
        <f>PV($C$7,D396,,-D409)</f>
        <v>-2255.1222838499998</v>
      </c>
      <c r="E421" s="1">
        <f>PV($C$7,E396,,-E409)</f>
        <v>-2941.4638484999996</v>
      </c>
      <c r="F421" s="1">
        <f>PV($C$7,F396,,-F409)</f>
        <v>-296.71599122494115</v>
      </c>
      <c r="G421" s="1">
        <f>PV($C$7,G396,,-G409)</f>
        <v>2423.7168943524607</v>
      </c>
      <c r="H421" s="1">
        <f>PV($C$7,H396,,-H409)</f>
        <v>3543.6277277244103</v>
      </c>
      <c r="I421" s="1">
        <f>PV($C$7,I396,,-I409)</f>
        <v>4288.138856567577</v>
      </c>
      <c r="J421" s="1">
        <f>PV($C$7,J396,,-J409)</f>
        <v>3883.6635664723012</v>
      </c>
      <c r="K421" s="1">
        <f>PV($C$7,K396,,-K409)</f>
        <v>4305.0426012696153</v>
      </c>
      <c r="L421" s="1">
        <f>PV($C$7,L396,,-L409)</f>
        <v>6457.9063061934758</v>
      </c>
    </row>
    <row r="422" spans="1:12" x14ac:dyDescent="0.15">
      <c r="A422" s="1"/>
      <c r="B422" s="1"/>
      <c r="C422" s="1"/>
      <c r="D422" s="1">
        <f t="shared" ref="D422:L422" si="83">C422+D421</f>
        <v>-2255.1222838499998</v>
      </c>
      <c r="E422" s="1">
        <f t="shared" si="83"/>
        <v>-5196.5861323499994</v>
      </c>
      <c r="F422" s="1">
        <f t="shared" si="83"/>
        <v>-5493.3021235749402</v>
      </c>
      <c r="G422" s="1">
        <f t="shared" si="83"/>
        <v>-3069.5852292224795</v>
      </c>
      <c r="H422" s="1">
        <f t="shared" si="83"/>
        <v>474.04249850193082</v>
      </c>
      <c r="I422" s="1">
        <f t="shared" si="83"/>
        <v>4762.1813550695078</v>
      </c>
      <c r="J422" s="1">
        <f t="shared" si="83"/>
        <v>8645.8449215418095</v>
      </c>
      <c r="K422" s="1">
        <f t="shared" si="83"/>
        <v>12950.887522811425</v>
      </c>
      <c r="L422" s="1">
        <f t="shared" si="83"/>
        <v>19408.793829004899</v>
      </c>
    </row>
    <row r="423" spans="1:12" x14ac:dyDescent="0.15">
      <c r="A423" s="1"/>
      <c r="B423" s="1"/>
      <c r="C423" s="1"/>
      <c r="D423" s="1">
        <f>PV($C$7,D$396,,-D412)</f>
        <v>-2255.1222838499998</v>
      </c>
      <c r="E423" s="1">
        <f>PV($C$7,E$396,,-E412)</f>
        <v>-2941.4638484999996</v>
      </c>
      <c r="F423" s="1">
        <f>PV($C$7,F$396,,-F412)</f>
        <v>-296.71599122494115</v>
      </c>
      <c r="G423" s="1">
        <f>PV($C$7,G$396,,-G412)</f>
        <v>3286.0264815215637</v>
      </c>
      <c r="H423" s="1">
        <f>PV($C$7,H$396,,-H412)</f>
        <v>4716.2179934586402</v>
      </c>
      <c r="I423" s="1">
        <f>PV($C$7,I$396,,-I412)</f>
        <v>5707.4686065231153</v>
      </c>
      <c r="J423" s="1">
        <f>PV($C$7,J$396,,-J412)</f>
        <v>5294.3699689166115</v>
      </c>
      <c r="K423" s="1">
        <f>PV($C$7,K$396,,-K412)</f>
        <v>5596.8335618150913</v>
      </c>
      <c r="L423" s="1">
        <f>PV($C$7,L$396,,-L412)</f>
        <v>7632.2617248711813</v>
      </c>
    </row>
    <row r="424" spans="1:12" x14ac:dyDescent="0.15">
      <c r="A424" s="1"/>
      <c r="B424" s="1"/>
      <c r="C424" s="1"/>
      <c r="D424" s="1">
        <f t="shared" ref="D424:L424" si="84">C424+D423</f>
        <v>-2255.1222838499998</v>
      </c>
      <c r="E424" s="1">
        <f t="shared" si="84"/>
        <v>-5196.5861323499994</v>
      </c>
      <c r="F424" s="1">
        <f t="shared" si="84"/>
        <v>-5493.3021235749402</v>
      </c>
      <c r="G424" s="1">
        <f t="shared" si="84"/>
        <v>-2207.2756420533765</v>
      </c>
      <c r="H424" s="1">
        <f t="shared" si="84"/>
        <v>2508.9423514052637</v>
      </c>
      <c r="I424" s="1">
        <f t="shared" si="84"/>
        <v>8216.4109579283795</v>
      </c>
      <c r="J424" s="1">
        <f t="shared" si="84"/>
        <v>13510.780926844991</v>
      </c>
      <c r="K424" s="1">
        <f t="shared" si="84"/>
        <v>19107.614488660081</v>
      </c>
      <c r="L424" s="1">
        <f t="shared" si="84"/>
        <v>26739.876213531265</v>
      </c>
    </row>
    <row r="425" spans="1:12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15">
      <c r="A429" s="3" t="s">
        <v>261</v>
      </c>
      <c r="B429" s="3"/>
      <c r="C429" s="3"/>
      <c r="D429" s="3"/>
      <c r="E429" s="3"/>
      <c r="F429" s="3"/>
      <c r="G429" s="3"/>
      <c r="H429" s="3"/>
      <c r="I429" s="3"/>
      <c r="J429" s="1" t="s">
        <v>80</v>
      </c>
      <c r="K429" s="1"/>
      <c r="L429" s="1"/>
    </row>
    <row r="430" spans="1:12" x14ac:dyDescent="0.15">
      <c r="A430" s="3" t="s">
        <v>81</v>
      </c>
      <c r="B430" s="3" t="s">
        <v>106</v>
      </c>
      <c r="C430" s="3" t="s">
        <v>132</v>
      </c>
      <c r="D430" s="3"/>
      <c r="E430" s="3" t="s">
        <v>109</v>
      </c>
      <c r="F430" s="3"/>
      <c r="G430" s="3" t="s">
        <v>110</v>
      </c>
      <c r="H430" s="3"/>
      <c r="I430" s="3"/>
      <c r="J430" s="3"/>
      <c r="K430" s="1"/>
      <c r="L430" s="1"/>
    </row>
    <row r="431" spans="1:12" x14ac:dyDescent="0.15">
      <c r="A431" s="3"/>
      <c r="B431" s="3"/>
      <c r="C431" s="1">
        <v>1</v>
      </c>
      <c r="D431" s="1">
        <v>2</v>
      </c>
      <c r="E431" s="1">
        <f t="shared" ref="E431:J431" si="85">D345</f>
        <v>2754.5617452529823</v>
      </c>
      <c r="F431" s="1">
        <f t="shared" si="85"/>
        <v>6874.8563246005479</v>
      </c>
      <c r="G431" s="1">
        <f t="shared" si="85"/>
        <v>12360.883738042696</v>
      </c>
      <c r="H431" s="1">
        <f t="shared" si="85"/>
        <v>18358.849606092248</v>
      </c>
      <c r="I431" s="1">
        <f t="shared" si="85"/>
        <v>24400.453928749201</v>
      </c>
      <c r="J431" s="1">
        <f t="shared" si="85"/>
        <v>30442.058251406153</v>
      </c>
      <c r="K431" s="1"/>
      <c r="L431" s="1"/>
    </row>
    <row r="432" spans="1:12" x14ac:dyDescent="0.15">
      <c r="A432" s="1"/>
      <c r="B432" s="1" t="s">
        <v>188</v>
      </c>
      <c r="C432" s="1"/>
      <c r="D432" s="1"/>
      <c r="E432" s="1">
        <f>C6</f>
        <v>0.6</v>
      </c>
      <c r="F432" s="1">
        <f>D6</f>
        <v>0.8</v>
      </c>
      <c r="G432" s="1">
        <f>E6</f>
        <v>1</v>
      </c>
      <c r="H432" s="1">
        <f>F6</f>
        <v>1</v>
      </c>
      <c r="I432" s="1">
        <f>G6</f>
        <v>1</v>
      </c>
      <c r="J432" s="1">
        <f>H6</f>
        <v>1</v>
      </c>
      <c r="K432" s="1"/>
      <c r="L432" s="1"/>
    </row>
    <row r="433" spans="1:12" x14ac:dyDescent="0.15">
      <c r="A433" s="1" t="s">
        <v>18</v>
      </c>
      <c r="B433" s="1" t="s">
        <v>262</v>
      </c>
      <c r="C433" s="1">
        <f>C434+C439+C440+C441</f>
        <v>5149.1958814575</v>
      </c>
      <c r="D433" s="1">
        <f>D434+D439+D440+D441</f>
        <v>11309.193131520376</v>
      </c>
      <c r="E433" s="1">
        <f t="shared" ref="E433:J433" si="86">E434+E439+E440+E441-F306-F307</f>
        <v>15124.534657447104</v>
      </c>
      <c r="F433" s="1">
        <f t="shared" si="86"/>
        <v>19412.398839162583</v>
      </c>
      <c r="G433" s="1">
        <f t="shared" si="86"/>
        <v>25407.429063496282</v>
      </c>
      <c r="H433" s="1">
        <f t="shared" si="86"/>
        <v>31450.271244978132</v>
      </c>
      <c r="I433" s="1">
        <f t="shared" si="86"/>
        <v>39002.276648299325</v>
      </c>
      <c r="J433" s="1">
        <f t="shared" si="86"/>
        <v>46554.282051620503</v>
      </c>
      <c r="K433" s="1"/>
      <c r="L433" s="1"/>
    </row>
    <row r="434" spans="1:12" x14ac:dyDescent="0.15">
      <c r="A434" s="1" t="s">
        <v>90</v>
      </c>
      <c r="B434" s="1" t="s">
        <v>263</v>
      </c>
      <c r="C434" s="1">
        <f t="shared" ref="C434:J434" si="87">C435+C436+C437+C438</f>
        <v>0</v>
      </c>
      <c r="D434" s="1">
        <f t="shared" si="87"/>
        <v>0</v>
      </c>
      <c r="E434" s="1">
        <f t="shared" si="87"/>
        <v>5378.2389077635644</v>
      </c>
      <c r="F434" s="1">
        <f t="shared" si="87"/>
        <v>11229.000471315872</v>
      </c>
      <c r="G434" s="1">
        <f t="shared" si="87"/>
        <v>18786.928077486409</v>
      </c>
      <c r="H434" s="1">
        <f t="shared" si="87"/>
        <v>26392.667640805092</v>
      </c>
      <c r="I434" s="1">
        <f t="shared" si="87"/>
        <v>34727.070425963117</v>
      </c>
      <c r="J434" s="1">
        <f t="shared" si="87"/>
        <v>48515.25877178333</v>
      </c>
      <c r="K434" s="1"/>
      <c r="L434" s="1"/>
    </row>
    <row r="435" spans="1:12" x14ac:dyDescent="0.15">
      <c r="A435" s="1" t="s">
        <v>264</v>
      </c>
      <c r="B435" s="1" t="s">
        <v>112</v>
      </c>
      <c r="C435" s="1"/>
      <c r="D435" s="1"/>
      <c r="E435" s="1">
        <f>E83</f>
        <v>793.88390836428925</v>
      </c>
      <c r="F435" s="1">
        <f>F83</f>
        <v>1049.3839083642893</v>
      </c>
      <c r="G435" s="1">
        <f>G83</f>
        <v>1304.8839083642893</v>
      </c>
      <c r="H435" s="1">
        <f>H83</f>
        <v>1304.8839083642893</v>
      </c>
      <c r="I435" s="1">
        <f>I83</f>
        <v>1304.8839083642893</v>
      </c>
      <c r="J435" s="1">
        <f>J83</f>
        <v>1304.8839083642893</v>
      </c>
      <c r="K435" s="1"/>
      <c r="L435" s="1"/>
    </row>
    <row r="436" spans="1:12" x14ac:dyDescent="0.15">
      <c r="A436" s="1" t="s">
        <v>265</v>
      </c>
      <c r="B436" s="1" t="s">
        <v>266</v>
      </c>
      <c r="C436" s="1"/>
      <c r="D436" s="1"/>
      <c r="E436" s="1">
        <f>E84</f>
        <v>963.96859175810948</v>
      </c>
      <c r="F436" s="1">
        <f>F84</f>
        <v>1277.8297028692205</v>
      </c>
      <c r="G436" s="1">
        <f>G84</f>
        <v>1591.6908139803318</v>
      </c>
      <c r="H436" s="1">
        <f>H84</f>
        <v>1591.6908139803318</v>
      </c>
      <c r="I436" s="1">
        <f>I84</f>
        <v>1591.6908139803318</v>
      </c>
      <c r="J436" s="1">
        <f>J84</f>
        <v>1591.6908139803318</v>
      </c>
      <c r="K436" s="1"/>
      <c r="L436" s="1"/>
    </row>
    <row r="437" spans="1:12" x14ac:dyDescent="0.15">
      <c r="A437" s="1" t="s">
        <v>267</v>
      </c>
      <c r="B437" s="1" t="s">
        <v>268</v>
      </c>
      <c r="C437" s="1"/>
      <c r="D437" s="1"/>
      <c r="E437" s="1">
        <f>E89</f>
        <v>68.901997818197358</v>
      </c>
      <c r="F437" s="1">
        <f>F89</f>
        <v>91.651997818197358</v>
      </c>
      <c r="G437" s="1">
        <f>G89</f>
        <v>114.40199781819736</v>
      </c>
      <c r="H437" s="1">
        <f>H89</f>
        <v>114.40199781819736</v>
      </c>
      <c r="I437" s="1">
        <f>I89</f>
        <v>114.40199781819736</v>
      </c>
      <c r="J437" s="1">
        <f>J89</f>
        <v>114.40199781819736</v>
      </c>
      <c r="K437" s="1"/>
      <c r="L437" s="1"/>
    </row>
    <row r="438" spans="1:12" x14ac:dyDescent="0.15">
      <c r="A438" s="1" t="s">
        <v>269</v>
      </c>
      <c r="B438" s="1" t="s">
        <v>229</v>
      </c>
      <c r="C438" s="1"/>
      <c r="D438" s="1"/>
      <c r="E438" s="1">
        <f t="shared" ref="E438:J438" si="88">F315</f>
        <v>3551.4844098229682</v>
      </c>
      <c r="F438" s="1">
        <f t="shared" si="88"/>
        <v>8810.1348622641653</v>
      </c>
      <c r="G438" s="1">
        <f t="shared" si="88"/>
        <v>15775.951357323591</v>
      </c>
      <c r="H438" s="1">
        <f t="shared" si="88"/>
        <v>23381.690920642272</v>
      </c>
      <c r="I438" s="1">
        <f t="shared" si="88"/>
        <v>31716.093705800296</v>
      </c>
      <c r="J438" s="1">
        <f t="shared" si="88"/>
        <v>45504.28205162051</v>
      </c>
      <c r="K438" s="1"/>
      <c r="L438" s="1"/>
    </row>
    <row r="439" spans="1:12" x14ac:dyDescent="0.15">
      <c r="A439" s="1" t="s">
        <v>91</v>
      </c>
      <c r="B439" s="1" t="s">
        <v>270</v>
      </c>
      <c r="C439" s="1"/>
      <c r="D439" s="1"/>
      <c r="E439" s="1">
        <f>F193</f>
        <v>7404.7957496835406</v>
      </c>
      <c r="F439" s="1">
        <f>G193</f>
        <v>6622.3983678467084</v>
      </c>
      <c r="G439" s="1">
        <f>H193</f>
        <v>5840.0009860098735</v>
      </c>
      <c r="H439" s="1">
        <f>I193</f>
        <v>5057.6036041730404</v>
      </c>
      <c r="I439" s="1">
        <f>J193</f>
        <v>4275.2062223362063</v>
      </c>
      <c r="J439" s="1">
        <f>K193</f>
        <v>3492.8088404993723</v>
      </c>
      <c r="K439" s="1"/>
      <c r="L439" s="1"/>
    </row>
    <row r="440" spans="1:12" x14ac:dyDescent="0.15">
      <c r="A440" s="1" t="s">
        <v>92</v>
      </c>
      <c r="B440" s="1" t="s">
        <v>271</v>
      </c>
      <c r="C440" s="1"/>
      <c r="D440" s="1"/>
      <c r="E440" s="1">
        <f>E223</f>
        <v>2341.5</v>
      </c>
      <c r="F440" s="1">
        <f>F223</f>
        <v>1561</v>
      </c>
      <c r="G440" s="1">
        <f>G223</f>
        <v>780.5</v>
      </c>
      <c r="H440" s="1">
        <f>H223</f>
        <v>0</v>
      </c>
      <c r="I440" s="1">
        <f>I223</f>
        <v>0</v>
      </c>
      <c r="J440" s="1">
        <f>J223</f>
        <v>0</v>
      </c>
      <c r="K440" s="1"/>
      <c r="L440" s="1"/>
    </row>
    <row r="441" spans="1:12" x14ac:dyDescent="0.15">
      <c r="A441" s="1" t="s">
        <v>93</v>
      </c>
      <c r="B441" s="1" t="s">
        <v>272</v>
      </c>
      <c r="C441" s="1">
        <f>SUM($D$146:D146)</f>
        <v>5149.1958814575</v>
      </c>
      <c r="D441" s="1">
        <f>SUM($D$146:E146)</f>
        <v>11309.193131520376</v>
      </c>
      <c r="E441" s="1"/>
      <c r="F441" s="1"/>
      <c r="G441" s="1"/>
      <c r="H441" s="1"/>
      <c r="I441" s="1"/>
      <c r="J441" s="1"/>
      <c r="K441" s="1"/>
      <c r="L441" s="1"/>
    </row>
    <row r="442" spans="1:12" x14ac:dyDescent="0.15">
      <c r="A442" s="1" t="s">
        <v>20</v>
      </c>
      <c r="B442" s="1" t="s">
        <v>273</v>
      </c>
      <c r="C442" s="1">
        <f t="shared" ref="C442:J442" si="89">C443+C446+C447</f>
        <v>5149.1958814575</v>
      </c>
      <c r="D442" s="1">
        <f t="shared" si="89"/>
        <v>11309.193131520375</v>
      </c>
      <c r="E442" s="1">
        <f t="shared" si="89"/>
        <v>12369.972912194124</v>
      </c>
      <c r="F442" s="1">
        <f t="shared" si="89"/>
        <v>11848.902078248786</v>
      </c>
      <c r="G442" s="1">
        <f t="shared" si="89"/>
        <v>11327.831244303448</v>
      </c>
      <c r="H442" s="1">
        <f t="shared" si="89"/>
        <v>10001.200704375206</v>
      </c>
      <c r="I442" s="1">
        <f t="shared" si="89"/>
        <v>10012.110318027055</v>
      </c>
      <c r="J442" s="1">
        <f t="shared" si="89"/>
        <v>10012.110318027055</v>
      </c>
      <c r="K442" s="1"/>
      <c r="L442" s="1"/>
    </row>
    <row r="443" spans="1:12" x14ac:dyDescent="0.15">
      <c r="A443" s="1" t="s">
        <v>95</v>
      </c>
      <c r="B443" s="1" t="s">
        <v>274</v>
      </c>
      <c r="C443" s="1">
        <f t="shared" ref="C443:J443" si="90">C444+C445</f>
        <v>0</v>
      </c>
      <c r="D443" s="1">
        <f t="shared" si="90"/>
        <v>0</v>
      </c>
      <c r="E443" s="1">
        <f t="shared" si="90"/>
        <v>1467.7281485584172</v>
      </c>
      <c r="F443" s="1">
        <f t="shared" si="90"/>
        <v>1945.2059263361948</v>
      </c>
      <c r="G443" s="1">
        <f t="shared" si="90"/>
        <v>2422.6837041139725</v>
      </c>
      <c r="H443" s="1">
        <f t="shared" si="90"/>
        <v>2422.6837041139725</v>
      </c>
      <c r="I443" s="1">
        <f t="shared" si="90"/>
        <v>2422.6837041139725</v>
      </c>
      <c r="J443" s="1">
        <f t="shared" si="90"/>
        <v>2422.6837041139725</v>
      </c>
      <c r="K443" s="1"/>
      <c r="L443" s="1"/>
    </row>
    <row r="444" spans="1:12" x14ac:dyDescent="0.15">
      <c r="A444" s="1" t="s">
        <v>156</v>
      </c>
      <c r="B444" s="1" t="s">
        <v>124</v>
      </c>
      <c r="C444" s="1"/>
      <c r="D444" s="1"/>
      <c r="E444" s="1">
        <f>E91</f>
        <v>630</v>
      </c>
      <c r="F444" s="1">
        <f>F91</f>
        <v>840</v>
      </c>
      <c r="G444" s="1">
        <f>G91</f>
        <v>1050</v>
      </c>
      <c r="H444" s="1">
        <f>H91</f>
        <v>1050</v>
      </c>
      <c r="I444" s="1">
        <f>I91</f>
        <v>1050</v>
      </c>
      <c r="J444" s="1">
        <f>J91</f>
        <v>1050</v>
      </c>
      <c r="K444" s="1"/>
      <c r="L444" s="1"/>
    </row>
    <row r="445" spans="1:12" x14ac:dyDescent="0.15">
      <c r="A445" s="1" t="s">
        <v>158</v>
      </c>
      <c r="B445" s="1" t="s">
        <v>216</v>
      </c>
      <c r="C445" s="1"/>
      <c r="D445" s="1"/>
      <c r="E445" s="1">
        <f>E92*$C$30</f>
        <v>837.72814855841727</v>
      </c>
      <c r="F445" s="1">
        <f>F92*$C$30</f>
        <v>1105.2059263361948</v>
      </c>
      <c r="G445" s="1">
        <f>G92*$C$30</f>
        <v>1372.6837041139727</v>
      </c>
      <c r="H445" s="1">
        <f>H92*$C$30</f>
        <v>1372.6837041139727</v>
      </c>
      <c r="I445" s="1">
        <f>I92*$C$30</f>
        <v>1372.6837041139727</v>
      </c>
      <c r="J445" s="1">
        <f>J92*$C$30</f>
        <v>1372.6837041139727</v>
      </c>
      <c r="K445" s="1"/>
      <c r="L445" s="1"/>
    </row>
    <row r="446" spans="1:12" x14ac:dyDescent="0.15">
      <c r="A446" s="1" t="s">
        <v>96</v>
      </c>
      <c r="B446" s="1" t="s">
        <v>215</v>
      </c>
      <c r="C446" s="1">
        <f>E121</f>
        <v>2894.0735976075002</v>
      </c>
      <c r="D446" s="1">
        <f>F121</f>
        <v>5818.4606143203746</v>
      </c>
      <c r="E446" s="1">
        <f>G121</f>
        <v>4363.8454607402809</v>
      </c>
      <c r="F446" s="1">
        <f>H121</f>
        <v>2909.2303071601873</v>
      </c>
      <c r="G446" s="1">
        <f>I121</f>
        <v>1454.6151535800936</v>
      </c>
      <c r="H446" s="1">
        <f>J121</f>
        <v>0</v>
      </c>
      <c r="I446" s="1">
        <f>K121</f>
        <v>0</v>
      </c>
      <c r="J446" s="1">
        <f>L121</f>
        <v>0</v>
      </c>
      <c r="K446" s="1"/>
      <c r="L446" s="1"/>
    </row>
    <row r="447" spans="1:12" x14ac:dyDescent="0.15">
      <c r="A447" s="1" t="s">
        <v>97</v>
      </c>
      <c r="B447" s="1" t="s">
        <v>275</v>
      </c>
      <c r="C447" s="1">
        <f t="shared" ref="C447:J447" si="91">SUM(C448:C451)</f>
        <v>2255.1222838499998</v>
      </c>
      <c r="D447" s="1">
        <f t="shared" si="91"/>
        <v>5490.7325172000001</v>
      </c>
      <c r="E447" s="1">
        <f t="shared" si="91"/>
        <v>6538.3993028954246</v>
      </c>
      <c r="F447" s="1">
        <f t="shared" si="91"/>
        <v>6994.4658447524034</v>
      </c>
      <c r="G447" s="1">
        <f t="shared" si="91"/>
        <v>7450.5323866093822</v>
      </c>
      <c r="H447" s="1">
        <f t="shared" si="91"/>
        <v>7578.5170002612322</v>
      </c>
      <c r="I447" s="1">
        <f t="shared" si="91"/>
        <v>7589.4266139130832</v>
      </c>
      <c r="J447" s="1">
        <f t="shared" si="91"/>
        <v>7589.4266139130832</v>
      </c>
      <c r="K447" s="1"/>
      <c r="L447" s="1"/>
    </row>
    <row r="448" spans="1:12" x14ac:dyDescent="0.15">
      <c r="A448" s="1" t="s">
        <v>276</v>
      </c>
      <c r="B448" s="1" t="s">
        <v>277</v>
      </c>
      <c r="C448" s="1">
        <f>SUM($D$151:D151)</f>
        <v>2255.1222838499998</v>
      </c>
      <c r="D448" s="1">
        <f>SUM($D$151:E151)</f>
        <v>5490.7325172000001</v>
      </c>
      <c r="E448" s="1">
        <f>SUM($D$151:F151)</f>
        <v>5849.7588665821786</v>
      </c>
      <c r="F448" s="1">
        <f>SUM($D$151:G151)</f>
        <v>5964.3921999155118</v>
      </c>
      <c r="G448" s="1">
        <f>SUM($D$151:H151)</f>
        <v>6079.025533248845</v>
      </c>
      <c r="H448" s="1">
        <f>SUM($D$151:I151)</f>
        <v>6079.025533248845</v>
      </c>
      <c r="I448" s="1">
        <f>SUM($D$151:J151)</f>
        <v>6079.025533248845</v>
      </c>
      <c r="J448" s="1">
        <f>SUM($D$151:K151)</f>
        <v>6079.025533248845</v>
      </c>
      <c r="K448" s="1"/>
      <c r="L448" s="1"/>
    </row>
    <row r="449" spans="1:12" x14ac:dyDescent="0.15">
      <c r="A449" s="1" t="s">
        <v>278</v>
      </c>
      <c r="B449" s="1" t="s">
        <v>279</v>
      </c>
      <c r="C449" s="1"/>
      <c r="D449" s="1"/>
      <c r="E449" s="1">
        <f t="shared" ref="E449:J450" si="92">SUM(D342:D342)</f>
        <v>344.32021815662284</v>
      </c>
      <c r="F449" s="1">
        <f t="shared" si="92"/>
        <v>515.03682241844569</v>
      </c>
      <c r="G449" s="1">
        <f t="shared" si="92"/>
        <v>685.7534266802686</v>
      </c>
      <c r="H449" s="1">
        <f t="shared" si="92"/>
        <v>749.74573350619391</v>
      </c>
      <c r="I449" s="1">
        <f t="shared" si="92"/>
        <v>755.2005403321192</v>
      </c>
      <c r="J449" s="1">
        <f t="shared" si="92"/>
        <v>755.2005403321192</v>
      </c>
      <c r="K449" s="1"/>
      <c r="L449" s="1"/>
    </row>
    <row r="450" spans="1:12" x14ac:dyDescent="0.15">
      <c r="A450" s="1" t="s">
        <v>280</v>
      </c>
      <c r="B450" s="1" t="s">
        <v>281</v>
      </c>
      <c r="C450" s="1"/>
      <c r="D450" s="1"/>
      <c r="E450" s="1">
        <f t="shared" si="92"/>
        <v>344.32021815662284</v>
      </c>
      <c r="F450" s="1">
        <f t="shared" si="92"/>
        <v>515.03682241844569</v>
      </c>
      <c r="G450" s="1">
        <f t="shared" si="92"/>
        <v>685.7534266802686</v>
      </c>
      <c r="H450" s="1">
        <f t="shared" si="92"/>
        <v>749.74573350619391</v>
      </c>
      <c r="I450" s="1">
        <f t="shared" si="92"/>
        <v>755.2005403321192</v>
      </c>
      <c r="J450" s="1">
        <f t="shared" si="92"/>
        <v>755.2005403321192</v>
      </c>
      <c r="K450" s="1"/>
      <c r="L450" s="1"/>
    </row>
    <row r="451" spans="1:12" x14ac:dyDescent="0.15">
      <c r="A451" s="1" t="s">
        <v>282</v>
      </c>
      <c r="B451" s="1" t="s">
        <v>240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15">
      <c r="A452" s="1" t="s">
        <v>283</v>
      </c>
      <c r="B452" s="1" t="s">
        <v>284</v>
      </c>
      <c r="C452" s="1"/>
      <c r="D452" s="1"/>
      <c r="E452" s="1">
        <f t="shared" ref="E452:J452" si="93">(E443+E446)/E433*100%</f>
        <v>0.38557044837259274</v>
      </c>
      <c r="F452" s="1">
        <f t="shared" si="93"/>
        <v>0.25006884897208276</v>
      </c>
      <c r="G452" s="1">
        <f t="shared" si="93"/>
        <v>0.15260492700793224</v>
      </c>
      <c r="H452" s="1">
        <f t="shared" si="93"/>
        <v>7.7032203800176058E-2</v>
      </c>
      <c r="I452" s="1">
        <f t="shared" si="93"/>
        <v>6.2116468891300285E-2</v>
      </c>
      <c r="J452" s="1">
        <f t="shared" si="93"/>
        <v>5.2039975644509837E-2</v>
      </c>
      <c r="K452" s="1"/>
      <c r="L452" s="1"/>
    </row>
    <row r="453" spans="1:12" x14ac:dyDescent="0.15">
      <c r="A453" s="1"/>
      <c r="B453" s="1" t="s">
        <v>285</v>
      </c>
      <c r="C453" s="1"/>
      <c r="D453" s="1"/>
      <c r="E453" s="1">
        <f t="shared" ref="E453:J453" si="94">E434/E443</f>
        <v>3.6643290605593402</v>
      </c>
      <c r="F453" s="1">
        <f t="shared" si="94"/>
        <v>5.7726538456860199</v>
      </c>
      <c r="G453" s="1">
        <f t="shared" si="94"/>
        <v>7.7545938190710677</v>
      </c>
      <c r="H453" s="1">
        <f t="shared" si="94"/>
        <v>10.893979926470616</v>
      </c>
      <c r="I453" s="1">
        <f t="shared" si="94"/>
        <v>14.334132997631052</v>
      </c>
      <c r="J453" s="1">
        <f t="shared" si="94"/>
        <v>20.025420028788449</v>
      </c>
      <c r="K453" s="1"/>
      <c r="L453" s="1"/>
    </row>
    <row r="454" spans="1:12" x14ac:dyDescent="0.15">
      <c r="A454" s="1"/>
      <c r="B454" s="1" t="s">
        <v>286</v>
      </c>
      <c r="C454" s="1"/>
      <c r="D454" s="1"/>
      <c r="E454" s="1">
        <f t="shared" ref="E454:J454" si="95">(E434-E436)/E443</f>
        <v>3.0075530815029281</v>
      </c>
      <c r="F454" s="1">
        <f t="shared" si="95"/>
        <v>5.1157415437190927</v>
      </c>
      <c r="G454" s="1">
        <f t="shared" si="95"/>
        <v>7.0975989289508785</v>
      </c>
      <c r="H454" s="1">
        <f t="shared" si="95"/>
        <v>10.236985036350427</v>
      </c>
      <c r="I454" s="1">
        <f t="shared" si="95"/>
        <v>13.677138107510862</v>
      </c>
      <c r="J454" s="1">
        <f t="shared" si="95"/>
        <v>19.368425138668258</v>
      </c>
      <c r="K454" s="1"/>
      <c r="L454" s="1"/>
    </row>
  </sheetData>
  <mergeCells count="83">
    <mergeCell ref="A111:K111"/>
    <mergeCell ref="G80:J80"/>
    <mergeCell ref="E80:F80"/>
    <mergeCell ref="H174:K174"/>
    <mergeCell ref="B174:B175"/>
    <mergeCell ref="D174:D175"/>
    <mergeCell ref="D144:E144"/>
    <mergeCell ref="B144:B145"/>
    <mergeCell ref="E213:F213"/>
    <mergeCell ref="G213:J213"/>
    <mergeCell ref="C213:C214"/>
    <mergeCell ref="A213:A214"/>
    <mergeCell ref="D213:D214"/>
    <mergeCell ref="B213:B214"/>
    <mergeCell ref="A430:A431"/>
    <mergeCell ref="B272:B273"/>
    <mergeCell ref="F296:G296"/>
    <mergeCell ref="I362:L362"/>
    <mergeCell ref="A271:H271"/>
    <mergeCell ref="A295:J295"/>
    <mergeCell ref="D272:E272"/>
    <mergeCell ref="A394:K394"/>
    <mergeCell ref="D362:F362"/>
    <mergeCell ref="A395:A396"/>
    <mergeCell ref="C395:C396"/>
    <mergeCell ref="A332:A333"/>
    <mergeCell ref="C430:D430"/>
    <mergeCell ref="F272:I272"/>
    <mergeCell ref="D240:E240"/>
    <mergeCell ref="G430:J430"/>
    <mergeCell ref="C240:C241"/>
    <mergeCell ref="C296:C297"/>
    <mergeCell ref="C362:C363"/>
    <mergeCell ref="I395:L395"/>
    <mergeCell ref="A362:A363"/>
    <mergeCell ref="H296:K296"/>
    <mergeCell ref="G395:H395"/>
    <mergeCell ref="A144:A145"/>
    <mergeCell ref="C144:C145"/>
    <mergeCell ref="A112:A113"/>
    <mergeCell ref="C174:C175"/>
    <mergeCell ref="E174:E175"/>
    <mergeCell ref="A143:J143"/>
    <mergeCell ref="G112:H112"/>
    <mergeCell ref="E112:F112"/>
    <mergeCell ref="B430:B431"/>
    <mergeCell ref="A272:A273"/>
    <mergeCell ref="C272:C273"/>
    <mergeCell ref="C332:C333"/>
    <mergeCell ref="D296:E296"/>
    <mergeCell ref="A361:K361"/>
    <mergeCell ref="B395:B396"/>
    <mergeCell ref="F240:I240"/>
    <mergeCell ref="B332:B333"/>
    <mergeCell ref="D395:F395"/>
    <mergeCell ref="B362:B363"/>
    <mergeCell ref="E430:F430"/>
    <mergeCell ref="A240:A241"/>
    <mergeCell ref="A429:I429"/>
    <mergeCell ref="F332:I332"/>
    <mergeCell ref="G362:H362"/>
    <mergeCell ref="A296:A297"/>
    <mergeCell ref="B296:B297"/>
    <mergeCell ref="A331:H331"/>
    <mergeCell ref="D332:E332"/>
    <mergeCell ref="B240:B241"/>
    <mergeCell ref="A239:H239"/>
    <mergeCell ref="H144:K144"/>
    <mergeCell ref="A212:I212"/>
    <mergeCell ref="F174:G174"/>
    <mergeCell ref="A62:G62"/>
    <mergeCell ref="A173:J173"/>
    <mergeCell ref="F144:G144"/>
    <mergeCell ref="B80:B81"/>
    <mergeCell ref="B112:B113"/>
    <mergeCell ref="D112:D113"/>
    <mergeCell ref="A79:I79"/>
    <mergeCell ref="C112:C113"/>
    <mergeCell ref="I112:L112"/>
    <mergeCell ref="D80:D81"/>
    <mergeCell ref="A80:A81"/>
    <mergeCell ref="C80:C81"/>
    <mergeCell ref="A174:A175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天诚 王</cp:lastModifiedBy>
  <dcterms:created xsi:type="dcterms:W3CDTF">2024-09-13T21:27:53Z</dcterms:created>
  <dcterms:modified xsi:type="dcterms:W3CDTF">2024-09-14T00:28:31Z</dcterms:modified>
</cp:coreProperties>
</file>