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ocuments/POSE-Things/"/>
    </mc:Choice>
  </mc:AlternateContent>
  <xr:revisionPtr revIDLastSave="0" documentId="13_ncr:1_{971BD251-A2F5-C244-B202-0AB7AAD9597F}" xr6:coauthVersionLast="43" xr6:coauthVersionMax="43" xr10:uidLastSave="{00000000-0000-0000-0000-000000000000}"/>
  <bookViews>
    <workbookView xWindow="180" yWindow="1220" windowWidth="32180" windowHeight="24040" activeTab="2" xr2:uid="{773535E8-FA9A-224B-8EDE-DB8EDC99EDCE}"/>
  </bookViews>
  <sheets>
    <sheet name="Application Data" sheetId="8" r:id="rId1"/>
    <sheet name="POSE Insights" sheetId="4" r:id="rId2"/>
    <sheet name="Et^n POSE Model" sheetId="14" r:id="rId3"/>
    <sheet name="EDS POSE Model" sheetId="13" r:id="rId4"/>
    <sheet name="EDD POSE Model" sheetId="2" r:id="rId5"/>
    <sheet name="System Summary POSE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4" l="1"/>
  <c r="C7" i="12"/>
  <c r="D7" i="12"/>
  <c r="B7" i="12"/>
  <c r="B11" i="12"/>
  <c r="B10" i="12"/>
  <c r="B9" i="12"/>
  <c r="D52" i="13"/>
  <c r="D53" i="13"/>
  <c r="D54" i="13"/>
  <c r="D55" i="13"/>
  <c r="D51" i="13"/>
  <c r="D44" i="13"/>
  <c r="D45" i="13"/>
  <c r="D46" i="13"/>
  <c r="D47" i="13"/>
  <c r="D43" i="13"/>
  <c r="D36" i="13"/>
  <c r="D37" i="13"/>
  <c r="D38" i="13"/>
  <c r="D39" i="13"/>
  <c r="D35" i="13"/>
  <c r="I9" i="13"/>
  <c r="J9" i="13"/>
  <c r="J8" i="13"/>
  <c r="J7" i="13"/>
  <c r="J6" i="13"/>
  <c r="J5" i="13"/>
  <c r="J4" i="13"/>
  <c r="I8" i="13"/>
  <c r="I6" i="13"/>
  <c r="I4" i="13" s="1"/>
  <c r="I5" i="13"/>
  <c r="I7" i="13"/>
  <c r="J9" i="14"/>
  <c r="J7" i="14"/>
  <c r="I8" i="14"/>
  <c r="I6" i="14"/>
  <c r="I5" i="14"/>
  <c r="J5" i="14" s="1"/>
  <c r="I4" i="14"/>
  <c r="J4" i="14" s="1"/>
  <c r="C36" i="4"/>
  <c r="C35" i="4"/>
  <c r="I7" i="14"/>
  <c r="I9" i="14"/>
  <c r="E38" i="4"/>
  <c r="C37" i="4"/>
  <c r="C34" i="4"/>
  <c r="C33" i="4"/>
  <c r="C9" i="14"/>
  <c r="C9" i="13"/>
  <c r="C35" i="14" l="1"/>
  <c r="D35" i="14" s="1"/>
  <c r="J6" i="14"/>
  <c r="J8" i="14"/>
  <c r="D11" i="12"/>
  <c r="D10" i="12"/>
  <c r="D9" i="12"/>
  <c r="D8" i="12"/>
  <c r="C11" i="12"/>
  <c r="C10" i="12"/>
  <c r="C9" i="12"/>
  <c r="C8" i="12"/>
  <c r="B8" i="12"/>
  <c r="C55" i="14" l="1"/>
  <c r="D55" i="14" s="1"/>
  <c r="C51" i="14"/>
  <c r="D51" i="14" s="1"/>
  <c r="C47" i="14"/>
  <c r="D47" i="14" s="1"/>
  <c r="C43" i="14"/>
  <c r="D43" i="14" s="1"/>
  <c r="C55" i="13"/>
  <c r="C51" i="13"/>
  <c r="C47" i="13"/>
  <c r="C43" i="13"/>
  <c r="S19" i="8"/>
  <c r="S18" i="8"/>
  <c r="C53" i="14" l="1"/>
  <c r="C31" i="14"/>
  <c r="C39" i="14"/>
  <c r="D39" i="14" s="1"/>
  <c r="C30" i="14"/>
  <c r="C45" i="14"/>
  <c r="D45" i="14" s="1"/>
  <c r="C53" i="13"/>
  <c r="C45" i="13"/>
  <c r="C44" i="13" s="1"/>
  <c r="C31" i="13"/>
  <c r="C30" i="13"/>
  <c r="C39" i="13"/>
  <c r="C35" i="13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C21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C20" i="8"/>
  <c r="T19" i="8"/>
  <c r="T18" i="8"/>
  <c r="T17" i="8"/>
  <c r="S17" i="8"/>
  <c r="C52" i="14" l="1"/>
  <c r="D52" i="14" s="1"/>
  <c r="D53" i="14"/>
  <c r="E30" i="14"/>
  <c r="D30" i="14"/>
  <c r="D31" i="14"/>
  <c r="E31" i="14"/>
  <c r="C54" i="14"/>
  <c r="D54" i="14" s="1"/>
  <c r="C37" i="14"/>
  <c r="D37" i="14" s="1"/>
  <c r="C46" i="14"/>
  <c r="D46" i="14" s="1"/>
  <c r="C44" i="14"/>
  <c r="D44" i="14" s="1"/>
  <c r="C54" i="13"/>
  <c r="C52" i="13"/>
  <c r="E30" i="13"/>
  <c r="D30" i="13"/>
  <c r="D31" i="13"/>
  <c r="E31" i="13"/>
  <c r="C46" i="13"/>
  <c r="C37" i="13"/>
  <c r="C36" i="13"/>
  <c r="S20" i="8"/>
  <c r="S21" i="8"/>
  <c r="T21" i="8"/>
  <c r="T20" i="8"/>
  <c r="C36" i="14" l="1"/>
  <c r="D36" i="14" s="1"/>
  <c r="C38" i="14"/>
  <c r="D38" i="14" s="1"/>
  <c r="C38" i="13"/>
  <c r="D38" i="4"/>
  <c r="C38" i="4"/>
  <c r="D36" i="4"/>
  <c r="I38" i="4"/>
  <c r="H38" i="4"/>
  <c r="H36" i="4"/>
  <c r="N38" i="4"/>
  <c r="M38" i="4"/>
  <c r="M36" i="4"/>
  <c r="N36" i="4" s="1"/>
  <c r="O36" i="4" s="1"/>
  <c r="E6" i="4"/>
  <c r="M37" i="4" s="1"/>
  <c r="N37" i="4" s="1"/>
  <c r="O37" i="4" s="1"/>
  <c r="J9" i="2"/>
  <c r="B10" i="4" l="1"/>
  <c r="E36" i="4"/>
  <c r="O38" i="4"/>
  <c r="J38" i="4"/>
  <c r="F10" i="4"/>
  <c r="D37" i="4"/>
  <c r="E37" i="4" s="1"/>
  <c r="D34" i="4"/>
  <c r="E34" i="4" s="1"/>
  <c r="M34" i="4"/>
  <c r="N34" i="4" s="1"/>
  <c r="O34" i="4" s="1"/>
  <c r="I36" i="4"/>
  <c r="D10" i="4" s="1"/>
  <c r="H34" i="4"/>
  <c r="H37" i="4"/>
  <c r="D13" i="4" s="1"/>
  <c r="M35" i="4"/>
  <c r="M33" i="4" s="1"/>
  <c r="N33" i="4" s="1"/>
  <c r="O33" i="4" s="1"/>
  <c r="D33" i="4"/>
  <c r="E33" i="4" s="1"/>
  <c r="G13" i="4"/>
  <c r="D35" i="4"/>
  <c r="E35" i="4" s="1"/>
  <c r="H35" i="4"/>
  <c r="F13" i="4"/>
  <c r="G10" i="4"/>
  <c r="C9" i="2"/>
  <c r="I9" i="2"/>
  <c r="I7" i="2" s="1"/>
  <c r="J7" i="2" s="1"/>
  <c r="I6" i="2" l="1"/>
  <c r="J6" i="2" s="1"/>
  <c r="I35" i="4"/>
  <c r="J35" i="4" s="1"/>
  <c r="E11" i="4" s="1"/>
  <c r="H33" i="4"/>
  <c r="F12" i="4"/>
  <c r="C13" i="4"/>
  <c r="B13" i="4"/>
  <c r="B12" i="4"/>
  <c r="C12" i="4"/>
  <c r="B14" i="4"/>
  <c r="G12" i="4"/>
  <c r="C11" i="4"/>
  <c r="E10" i="4"/>
  <c r="J36" i="4"/>
  <c r="I37" i="4"/>
  <c r="J37" i="4" s="1"/>
  <c r="F14" i="4"/>
  <c r="G14" i="4"/>
  <c r="D12" i="4"/>
  <c r="I34" i="4"/>
  <c r="J34" i="4" s="1"/>
  <c r="N35" i="4"/>
  <c r="O35" i="4" s="1"/>
  <c r="G11" i="4" s="1"/>
  <c r="C14" i="4"/>
  <c r="E12" i="4"/>
  <c r="E13" i="4"/>
  <c r="I5" i="2"/>
  <c r="J5" i="2" s="1"/>
  <c r="I8" i="2"/>
  <c r="J8" i="2" s="1"/>
  <c r="C51" i="2" l="1"/>
  <c r="D51" i="2" s="1"/>
  <c r="C55" i="2"/>
  <c r="D55" i="2" s="1"/>
  <c r="I4" i="2"/>
  <c r="C30" i="2" s="1"/>
  <c r="E30" i="2" s="1"/>
  <c r="I33" i="4"/>
  <c r="J33" i="4" s="1"/>
  <c r="D14" i="4"/>
  <c r="E14" i="4"/>
  <c r="C43" i="2"/>
  <c r="C47" i="2"/>
  <c r="D47" i="2" s="1"/>
  <c r="C53" i="2" l="1"/>
  <c r="C52" i="2" s="1"/>
  <c r="D52" i="2" s="1"/>
  <c r="J4" i="2"/>
  <c r="C35" i="2"/>
  <c r="C39" i="2"/>
  <c r="D39" i="2" s="1"/>
  <c r="C31" i="2"/>
  <c r="D31" i="2" s="1"/>
  <c r="D43" i="2"/>
  <c r="C44" i="2"/>
  <c r="D44" i="2" s="1"/>
  <c r="D30" i="2"/>
  <c r="C45" i="2"/>
  <c r="C54" i="2" l="1"/>
  <c r="D54" i="2" s="1"/>
  <c r="D53" i="2"/>
  <c r="C46" i="2"/>
  <c r="D46" i="2" s="1"/>
  <c r="D45" i="2"/>
  <c r="C37" i="2"/>
  <c r="C36" i="2" s="1"/>
  <c r="D36" i="2" s="1"/>
  <c r="D35" i="2"/>
  <c r="E31" i="2"/>
  <c r="C38" i="2" l="1"/>
  <c r="D38" i="2" s="1"/>
  <c r="D37" i="2"/>
</calcChain>
</file>

<file path=xl/sharedStrings.xml><?xml version="1.0" encoding="utf-8"?>
<sst xmlns="http://schemas.openxmlformats.org/spreadsheetml/2006/main" count="177" uniqueCount="64">
  <si>
    <t>Average</t>
  </si>
  <si>
    <t>StdDev</t>
  </si>
  <si>
    <t>Params:</t>
  </si>
  <si>
    <t>CPUEnergy (J)</t>
  </si>
  <si>
    <t>NodeEnergy (J)</t>
  </si>
  <si>
    <t>Pmin</t>
  </si>
  <si>
    <t>Pmax</t>
  </si>
  <si>
    <t>Code Runtime (s)</t>
  </si>
  <si>
    <t>Code Energy (J)</t>
  </si>
  <si>
    <t>Pmin (W)</t>
  </si>
  <si>
    <t>Pmax (W)</t>
  </si>
  <si>
    <t>A</t>
  </si>
  <si>
    <t>B</t>
  </si>
  <si>
    <t>C</t>
  </si>
  <si>
    <t>D</t>
  </si>
  <si>
    <t>E</t>
  </si>
  <si>
    <t>Theta</t>
  </si>
  <si>
    <t>x</t>
  </si>
  <si>
    <t>y</t>
  </si>
  <si>
    <t>Code Power (W)</t>
  </si>
  <si>
    <t>Alpha</t>
  </si>
  <si>
    <t>Beta</t>
  </si>
  <si>
    <t>FPE</t>
  </si>
  <si>
    <t>Optimsation Limit</t>
  </si>
  <si>
    <t>Optimisation Bound</t>
  </si>
  <si>
    <t>Contribution Bound</t>
  </si>
  <si>
    <t>Power Bounds</t>
  </si>
  <si>
    <t>Runtime (s)</t>
  </si>
  <si>
    <t xml:space="preserve">Maximum energy saved by reduced power consumption </t>
  </si>
  <si>
    <t xml:space="preserve">Maximum improvement in metric from power optimisation </t>
  </si>
  <si>
    <t>Worst case slowdown as a result of power optimisation</t>
  </si>
  <si>
    <t>Speed-up required to dominate power optimisation</t>
  </si>
  <si>
    <t>Minimum speed-up guaranteed to outperform theta</t>
  </si>
  <si>
    <t>Energy (J)</t>
  </si>
  <si>
    <t>EDS alpha</t>
  </si>
  <si>
    <t>EDS beta</t>
  </si>
  <si>
    <t>EDD alpha</t>
  </si>
  <si>
    <t>EDD beta</t>
  </si>
  <si>
    <t>EDS</t>
  </si>
  <si>
    <t>EDD</t>
  </si>
  <si>
    <t>x (time)</t>
  </si>
  <si>
    <t>y (energy)</t>
  </si>
  <si>
    <t>Power (W)</t>
  </si>
  <si>
    <t>M(x,y)</t>
  </si>
  <si>
    <t>Et^n</t>
  </si>
  <si>
    <t>Application</t>
  </si>
  <si>
    <t>FIRESTARTER</t>
  </si>
  <si>
    <t>omp_critical</t>
  </si>
  <si>
    <t>omp_parallel</t>
  </si>
  <si>
    <t>mpi_parallel</t>
  </si>
  <si>
    <t>mpi_barrier</t>
  </si>
  <si>
    <t>NODE</t>
  </si>
  <si>
    <t>CPU</t>
  </si>
  <si>
    <t>CPU Power (W)</t>
  </si>
  <si>
    <t>Minimum speed-up guaranteed to outperform θ</t>
  </si>
  <si>
    <t>Maximum energy saved by reduced power consumption</t>
  </si>
  <si>
    <t xml:space="preserve">Worst case slowdown as a result of power optimisation </t>
  </si>
  <si>
    <t xml:space="preserve">Speed-up required to dominate power optimisation </t>
  </si>
  <si>
    <t>Maximum improvement in metric from power optimisation</t>
  </si>
  <si>
    <t>-parameters</t>
  </si>
  <si>
    <t>n</t>
  </si>
  <si>
    <t>Et^n n</t>
  </si>
  <si>
    <t>Parameters</t>
  </si>
  <si>
    <t>Seconds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</si>
</sst>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5" xfId="0" applyNumberFormat="1" applyBorder="1" applyAlignment="1"/>
    <xf numFmtId="2" fontId="0" fillId="0" borderId="8" xfId="0" applyNumberFormat="1" applyBorder="1" applyAlignmen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/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quotePrefix="1" applyAlignment="1"/>
    <xf numFmtId="0" fontId="0" fillId="0" borderId="0" xfId="0" applyAlignment="1"/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0" fontId="0" fillId="0" borderId="14" xfId="0" applyBorder="1"/>
    <xf numFmtId="2" fontId="0" fillId="0" borderId="15" xfId="0" applyNumberFormat="1" applyBorder="1"/>
    <xf numFmtId="2" fontId="0" fillId="0" borderId="16" xfId="0" applyNumberFormat="1" applyBorder="1"/>
    <xf numFmtId="0" fontId="1" fillId="0" borderId="0" xfId="0" applyFont="1" applyAlignment="1"/>
    <xf numFmtId="2" fontId="0" fillId="0" borderId="0" xfId="0" applyNumberFormat="1" applyAlignment="1"/>
    <xf numFmtId="0" fontId="0" fillId="0" borderId="17" xfId="0" applyBorder="1"/>
    <xf numFmtId="0" fontId="4" fillId="0" borderId="20" xfId="0" applyFont="1" applyBorder="1"/>
    <xf numFmtId="2" fontId="0" fillId="0" borderId="21" xfId="0" applyNumberFormat="1" applyBorder="1"/>
    <xf numFmtId="0" fontId="4" fillId="0" borderId="22" xfId="0" applyFont="1" applyBorder="1"/>
    <xf numFmtId="2" fontId="0" fillId="0" borderId="23" xfId="0" applyNumberFormat="1" applyBorder="1"/>
    <xf numFmtId="2" fontId="0" fillId="0" borderId="24" xfId="0" applyNumberFormat="1" applyBorder="1"/>
    <xf numFmtId="0" fontId="4" fillId="0" borderId="20" xfId="0" applyFont="1" applyBorder="1" applyAlignment="1"/>
    <xf numFmtId="0" fontId="4" fillId="0" borderId="22" xfId="0" applyFont="1" applyBorder="1" applyAlignment="1"/>
    <xf numFmtId="0" fontId="2" fillId="0" borderId="18" xfId="0" applyFont="1" applyBorder="1"/>
    <xf numFmtId="0" fontId="2" fillId="0" borderId="19" xfId="0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center"/>
    </xf>
    <xf numFmtId="0" fontId="2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'Et^n POSE Model'!$D$29</c:f>
              <c:strCache>
                <c:ptCount val="1"/>
                <c:pt idx="0">
                  <c:v>Pmin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'Et^n POSE Model'!$C$30:$C$31</c:f>
              <c:numCache>
                <c:formatCode>0.00</c:formatCode>
                <c:ptCount val="2"/>
                <c:pt idx="0">
                  <c:v>-17.340852051527506</c:v>
                </c:pt>
                <c:pt idx="1">
                  <c:v>37.782794100389225</c:v>
                </c:pt>
              </c:numCache>
            </c:numRef>
          </c:xVal>
          <c:yVal>
            <c:numRef>
              <c:f>'Et^n POSE Model'!$D$30:$D$31</c:f>
              <c:numCache>
                <c:formatCode>General</c:formatCode>
                <c:ptCount val="2"/>
                <c:pt idx="0">
                  <c:v>-173.40852051527506</c:v>
                </c:pt>
                <c:pt idx="1">
                  <c:v>377.82794100389225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F-AB40-841D-174CE0FCDB3F}"/>
            </c:ext>
          </c:extLst>
        </c:ser>
        <c:ser>
          <c:idx val="7"/>
          <c:order val="1"/>
          <c:tx>
            <c:strRef>
              <c:f>'Et^n POSE Model'!$E$29</c:f>
              <c:strCache>
                <c:ptCount val="1"/>
                <c:pt idx="0">
                  <c:v>Pmax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'Et^n POSE Model'!$C$30:$C$31</c:f>
              <c:numCache>
                <c:formatCode>0.00</c:formatCode>
                <c:ptCount val="2"/>
                <c:pt idx="0">
                  <c:v>-17.340852051527506</c:v>
                </c:pt>
                <c:pt idx="1">
                  <c:v>37.782794100389225</c:v>
                </c:pt>
              </c:numCache>
            </c:numRef>
          </c:xVal>
          <c:yVal>
            <c:numRef>
              <c:f>'Et^n POSE Model'!$E$30:$E$31</c:f>
              <c:numCache>
                <c:formatCode>General</c:formatCode>
                <c:ptCount val="2"/>
                <c:pt idx="0">
                  <c:v>-3468.1704103055013</c:v>
                </c:pt>
                <c:pt idx="1">
                  <c:v>7556.5588200778448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F-AB40-841D-174CE0FCDB3F}"/>
            </c:ext>
          </c:extLst>
        </c:ser>
        <c:ser>
          <c:idx val="8"/>
          <c:order val="2"/>
          <c:tx>
            <c:strRef>
              <c:f>'Et^n POSE Model'!$B$33</c:f>
              <c:strCache>
                <c:ptCount val="1"/>
                <c:pt idx="0">
                  <c:v>Optimsation Limit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'Et^n POSE Model'!$C$35:$C$39</c:f>
              <c:numCache>
                <c:formatCode>0.00</c:formatCode>
                <c:ptCount val="5"/>
                <c:pt idx="0">
                  <c:v>2.6591479484724942</c:v>
                </c:pt>
                <c:pt idx="1">
                  <c:v>3.4002142743302435</c:v>
                </c:pt>
                <c:pt idx="2">
                  <c:v>4.1412806001879927</c:v>
                </c:pt>
                <c:pt idx="3">
                  <c:v>4.8823469260457415</c:v>
                </c:pt>
                <c:pt idx="4">
                  <c:v>5.6234132519034912</c:v>
                </c:pt>
              </c:numCache>
            </c:numRef>
          </c:xVal>
          <c:yVal>
            <c:numRef>
              <c:f>'Et^n POSE Model'!$D$35:$D$39</c:f>
              <c:numCache>
                <c:formatCode>General</c:formatCode>
                <c:ptCount val="5"/>
                <c:pt idx="0">
                  <c:v>531.82958969449919</c:v>
                </c:pt>
                <c:pt idx="1">
                  <c:v>254.37893299473816</c:v>
                </c:pt>
                <c:pt idx="2">
                  <c:v>140.79785099754648</c:v>
                </c:pt>
                <c:pt idx="3">
                  <c:v>85.923921997348941</c:v>
                </c:pt>
                <c:pt idx="4">
                  <c:v>56.234132519034915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0F-AB40-841D-174CE0FCDB3F}"/>
            </c:ext>
          </c:extLst>
        </c:ser>
        <c:ser>
          <c:idx val="9"/>
          <c:order val="3"/>
          <c:tx>
            <c:strRef>
              <c:f>'Et^n POSE Model'!$B$41</c:f>
              <c:strCache>
                <c:ptCount val="1"/>
                <c:pt idx="0">
                  <c:v>Optimisation Bound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'Et^n POSE Model'!$C$43:$C$47</c:f>
              <c:numCache>
                <c:formatCode>0.00</c:formatCode>
                <c:ptCount val="5"/>
                <c:pt idx="0">
                  <c:v>8.4089641525371448</c:v>
                </c:pt>
                <c:pt idx="1">
                  <c:v>10.752421639500167</c:v>
                </c:pt>
                <c:pt idx="2">
                  <c:v>13.095879126463187</c:v>
                </c:pt>
                <c:pt idx="3">
                  <c:v>15.439336613426207</c:v>
                </c:pt>
                <c:pt idx="4">
                  <c:v>17.782794100389228</c:v>
                </c:pt>
              </c:numCache>
            </c:numRef>
          </c:xVal>
          <c:yVal>
            <c:numRef>
              <c:f>'Et^n POSE Model'!$D$43:$D$47</c:f>
              <c:numCache>
                <c:formatCode>General</c:formatCode>
                <c:ptCount val="5"/>
                <c:pt idx="0">
                  <c:v>1681.7928305074302</c:v>
                </c:pt>
                <c:pt idx="1">
                  <c:v>804.4168170267294</c:v>
                </c:pt>
                <c:pt idx="2">
                  <c:v>445.24189880925735</c:v>
                </c:pt>
                <c:pt idx="3">
                  <c:v>271.71529900626689</c:v>
                </c:pt>
                <c:pt idx="4">
                  <c:v>177.82794100389228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0F-AB40-841D-174CE0FCDB3F}"/>
            </c:ext>
          </c:extLst>
        </c:ser>
        <c:ser>
          <c:idx val="10"/>
          <c:order val="4"/>
          <c:tx>
            <c:strRef>
              <c:f>'Et^n POSE Model'!$B$49</c:f>
              <c:strCache>
                <c:ptCount val="1"/>
                <c:pt idx="0">
                  <c:v>Contribution Bound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'Et^n POSE Model'!$C$51:$C$55</c:f>
              <c:numCache>
                <c:formatCode>0.00</c:formatCode>
                <c:ptCount val="5"/>
                <c:pt idx="0">
                  <c:v>5.6234132519034912</c:v>
                </c:pt>
                <c:pt idx="1">
                  <c:v>6.7175599389276179</c:v>
                </c:pt>
                <c:pt idx="2">
                  <c:v>7.8117066259517456</c:v>
                </c:pt>
                <c:pt idx="3">
                  <c:v>8.9058533129758732</c:v>
                </c:pt>
                <c:pt idx="4">
                  <c:v>10</c:v>
                </c:pt>
              </c:numCache>
            </c:numRef>
          </c:xVal>
          <c:yVal>
            <c:numRef>
              <c:f>'Et^n POSE Model'!$D$51:$D$55</c:f>
              <c:numCache>
                <c:formatCode>General</c:formatCode>
                <c:ptCount val="5"/>
                <c:pt idx="0">
                  <c:v>56.234132519034915</c:v>
                </c:pt>
                <c:pt idx="1">
                  <c:v>136.79107137944041</c:v>
                </c:pt>
                <c:pt idx="2">
                  <c:v>290.89055714619008</c:v>
                </c:pt>
                <c:pt idx="3">
                  <c:v>560.24461166944059</c:v>
                </c:pt>
                <c:pt idx="4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0F-AB40-841D-174CE0FCDB3F}"/>
            </c:ext>
          </c:extLst>
        </c:ser>
        <c:ser>
          <c:idx val="2"/>
          <c:order val="5"/>
          <c:tx>
            <c:strRef>
              <c:f>'Et^n POSE Model'!$H$4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19050"/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'Et^n POSE Model'!$I$4</c:f>
              <c:numCache>
                <c:formatCode>0.00</c:formatCode>
                <c:ptCount val="1"/>
                <c:pt idx="0">
                  <c:v>2.6591479484724942</c:v>
                </c:pt>
              </c:numCache>
            </c:numRef>
          </c:xVal>
          <c:yVal>
            <c:numRef>
              <c:f>'Et^n POSE Model'!$J$4</c:f>
              <c:numCache>
                <c:formatCode>0.00</c:formatCode>
                <c:ptCount val="1"/>
                <c:pt idx="0">
                  <c:v>531.82958969449885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0F-AB40-841D-174CE0FCDB3F}"/>
            </c:ext>
          </c:extLst>
        </c:ser>
        <c:ser>
          <c:idx val="0"/>
          <c:order val="6"/>
          <c:tx>
            <c:strRef>
              <c:f>'Et^n POSE Model'!$H$5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19050"/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'Et^n POSE Model'!$I$5</c:f>
              <c:numCache>
                <c:formatCode>0.00</c:formatCode>
                <c:ptCount val="1"/>
                <c:pt idx="0">
                  <c:v>8.4089641525371448</c:v>
                </c:pt>
              </c:numCache>
            </c:numRef>
          </c:xVal>
          <c:yVal>
            <c:numRef>
              <c:f>'Et^n POSE Model'!$J$5</c:f>
              <c:numCache>
                <c:formatCode>0.00</c:formatCode>
                <c:ptCount val="1"/>
                <c:pt idx="0">
                  <c:v>1681.792830507429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0F-AB40-841D-174CE0FCDB3F}"/>
            </c:ext>
          </c:extLst>
        </c:ser>
        <c:ser>
          <c:idx val="1"/>
          <c:order val="7"/>
          <c:tx>
            <c:strRef>
              <c:f>'Et^n POSE Model'!$H$6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19050"/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'Et^n POSE Model'!$I$6</c:f>
              <c:numCache>
                <c:formatCode>0.00</c:formatCode>
                <c:ptCount val="1"/>
                <c:pt idx="0">
                  <c:v>5.6234132519034912</c:v>
                </c:pt>
              </c:numCache>
            </c:numRef>
          </c:xVal>
          <c:yVal>
            <c:numRef>
              <c:f>'Et^n POSE Model'!$J$6</c:f>
              <c:numCache>
                <c:formatCode>0.00</c:formatCode>
                <c:ptCount val="1"/>
                <c:pt idx="0">
                  <c:v>56.234132519034915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0F-AB40-841D-174CE0FCDB3F}"/>
            </c:ext>
          </c:extLst>
        </c:ser>
        <c:ser>
          <c:idx val="3"/>
          <c:order val="8"/>
          <c:tx>
            <c:strRef>
              <c:f>'Et^n POSE Model'!$H$7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19050"/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'Et^n POSE Model'!$I$7</c:f>
              <c:numCache>
                <c:formatCode>0.00</c:formatCode>
                <c:ptCount val="1"/>
                <c:pt idx="0">
                  <c:v>10</c:v>
                </c:pt>
              </c:numCache>
            </c:numRef>
          </c:xVal>
          <c:yVal>
            <c:numRef>
              <c:f>'Et^n POSE Model'!$J$7</c:f>
              <c:numCache>
                <c:formatCode>0.00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90F-AB40-841D-174CE0FCDB3F}"/>
            </c:ext>
          </c:extLst>
        </c:ser>
        <c:ser>
          <c:idx val="4"/>
          <c:order val="9"/>
          <c:tx>
            <c:strRef>
              <c:f>'Et^n POSE Model'!$H$8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19050"/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'Et^n POSE Model'!$I$8</c:f>
              <c:numCache>
                <c:formatCode>0.00</c:formatCode>
                <c:ptCount val="1"/>
                <c:pt idx="0">
                  <c:v>17.782794100389228</c:v>
                </c:pt>
              </c:numCache>
            </c:numRef>
          </c:xVal>
          <c:yVal>
            <c:numRef>
              <c:f>'Et^n POSE Model'!$J$8</c:f>
              <c:numCache>
                <c:formatCode>0.00</c:formatCode>
                <c:ptCount val="1"/>
                <c:pt idx="0">
                  <c:v>177.82794100389228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90F-AB40-841D-174CE0FCDB3F}"/>
            </c:ext>
          </c:extLst>
        </c:ser>
        <c:ser>
          <c:idx val="5"/>
          <c:order val="10"/>
          <c:tx>
            <c:strRef>
              <c:f>'Et^n POSE Model'!$H$9</c:f>
              <c:strCache>
                <c:ptCount val="1"/>
                <c:pt idx="0">
                  <c:v>Theta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19050"/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'Et^n POSE Model'!$I$9</c:f>
              <c:numCache>
                <c:formatCode>0.00</c:formatCode>
                <c:ptCount val="1"/>
                <c:pt idx="0">
                  <c:v>10</c:v>
                </c:pt>
              </c:numCache>
            </c:numRef>
          </c:xVal>
          <c:yVal>
            <c:numRef>
              <c:f>'Et^n POSE Model'!$J$9</c:f>
              <c:numCache>
                <c:formatCode>0.00</c:formatCode>
                <c:ptCount val="1"/>
                <c:pt idx="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90F-AB40-841D-174CE0FCDB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12329600"/>
        <c:axId val="1612221504"/>
      </c:scatterChart>
      <c:valAx>
        <c:axId val="16123296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19050"/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21504"/>
        <c:crosses val="autoZero"/>
        <c:crossBetween val="midCat"/>
      </c:valAx>
      <c:valAx>
        <c:axId val="16122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19050"/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2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19050"/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19050"/>
          <a:solidFill>
            <a:sysClr val="windowText" lastClr="000000"/>
          </a:solidFill>
          <a:effectLst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'EDS POSE Model'!$D$29</c:f>
              <c:strCache>
                <c:ptCount val="1"/>
                <c:pt idx="0">
                  <c:v>Pmin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'EDS POSE Model'!$C$30:$C$31</c:f>
              <c:numCache>
                <c:formatCode>0.00</c:formatCode>
                <c:ptCount val="2"/>
                <c:pt idx="0">
                  <c:v>-12.471818181818183</c:v>
                </c:pt>
                <c:pt idx="1">
                  <c:v>30.989010989010989</c:v>
                </c:pt>
              </c:numCache>
            </c:numRef>
          </c:xVal>
          <c:yVal>
            <c:numRef>
              <c:f>'EDS POSE Model'!$D$30:$D$31</c:f>
              <c:numCache>
                <c:formatCode>General</c:formatCode>
                <c:ptCount val="2"/>
                <c:pt idx="0">
                  <c:v>-124.71818181818182</c:v>
                </c:pt>
                <c:pt idx="1">
                  <c:v>309.8901098901099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3-CD44-9C0D-B5E6F874EA4F}"/>
            </c:ext>
          </c:extLst>
        </c:ser>
        <c:ser>
          <c:idx val="7"/>
          <c:order val="1"/>
          <c:tx>
            <c:strRef>
              <c:f>'EDS POSE Model'!$E$29</c:f>
              <c:strCache>
                <c:ptCount val="1"/>
                <c:pt idx="0">
                  <c:v>Pmax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'EDS POSE Model'!$C$30:$C$31</c:f>
              <c:numCache>
                <c:formatCode>0.00</c:formatCode>
                <c:ptCount val="2"/>
                <c:pt idx="0">
                  <c:v>-12.471818181818183</c:v>
                </c:pt>
                <c:pt idx="1">
                  <c:v>30.989010989010989</c:v>
                </c:pt>
              </c:numCache>
            </c:numRef>
          </c:xVal>
          <c:yVal>
            <c:numRef>
              <c:f>'EDS POSE Model'!$E$30:$E$31</c:f>
              <c:numCache>
                <c:formatCode>General</c:formatCode>
                <c:ptCount val="2"/>
                <c:pt idx="0">
                  <c:v>-2494.3636363636365</c:v>
                </c:pt>
                <c:pt idx="1">
                  <c:v>6197.802197802198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3-CD44-9C0D-B5E6F874EA4F}"/>
            </c:ext>
          </c:extLst>
        </c:ser>
        <c:ser>
          <c:idx val="8"/>
          <c:order val="2"/>
          <c:tx>
            <c:strRef>
              <c:f>'EDS POSE Model'!$B$33</c:f>
              <c:strCache>
                <c:ptCount val="1"/>
                <c:pt idx="0">
                  <c:v>Optimsation Limit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'EDS POSE Model'!$C$35:$C$39</c:f>
              <c:numCache>
                <c:formatCode>0.00</c:formatCode>
                <c:ptCount val="5"/>
                <c:pt idx="0">
                  <c:v>7.5281818181818183</c:v>
                </c:pt>
                <c:pt idx="1">
                  <c:v>7.9211363636363643</c:v>
                </c:pt>
                <c:pt idx="2">
                  <c:v>8.3140909090909094</c:v>
                </c:pt>
                <c:pt idx="3">
                  <c:v>8.7070454545454545</c:v>
                </c:pt>
                <c:pt idx="4">
                  <c:v>9.1</c:v>
                </c:pt>
              </c:numCache>
            </c:numRef>
          </c:xVal>
          <c:yVal>
            <c:numRef>
              <c:f>'EDS POSE Model'!$D$35:$D$39</c:f>
              <c:numCache>
                <c:formatCode>General</c:formatCode>
                <c:ptCount val="5"/>
                <c:pt idx="0">
                  <c:v>1505.6363636363633</c:v>
                </c:pt>
                <c:pt idx="1">
                  <c:v>1151.9772727272718</c:v>
                </c:pt>
                <c:pt idx="2">
                  <c:v>798.31818181818119</c:v>
                </c:pt>
                <c:pt idx="3">
                  <c:v>444.65909090909059</c:v>
                </c:pt>
                <c:pt idx="4">
                  <c:v>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53-CD44-9C0D-B5E6F874EA4F}"/>
            </c:ext>
          </c:extLst>
        </c:ser>
        <c:ser>
          <c:idx val="9"/>
          <c:order val="3"/>
          <c:tx>
            <c:strRef>
              <c:f>'EDS POSE Model'!$B$41</c:f>
              <c:strCache>
                <c:ptCount val="1"/>
                <c:pt idx="0">
                  <c:v>Optimisation Bound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'EDS POSE Model'!$C$43:$C$47</c:f>
              <c:numCache>
                <c:formatCode>0.00</c:formatCode>
                <c:ptCount val="5"/>
                <c:pt idx="0">
                  <c:v>9.0909090909090917</c:v>
                </c:pt>
                <c:pt idx="1">
                  <c:v>9.5654345654345647</c:v>
                </c:pt>
                <c:pt idx="2">
                  <c:v>10.039960039960039</c:v>
                </c:pt>
                <c:pt idx="3">
                  <c:v>10.514485514485514</c:v>
                </c:pt>
                <c:pt idx="4">
                  <c:v>10.989010989010989</c:v>
                </c:pt>
              </c:numCache>
            </c:numRef>
          </c:xVal>
          <c:yVal>
            <c:numRef>
              <c:f>'EDS POSE Model'!$D$43:$D$47</c:f>
              <c:numCache>
                <c:formatCode>General</c:formatCode>
                <c:ptCount val="5"/>
                <c:pt idx="0">
                  <c:v>1818.1818181818176</c:v>
                </c:pt>
                <c:pt idx="1">
                  <c:v>1391.1088911088918</c:v>
                </c:pt>
                <c:pt idx="2">
                  <c:v>964.03596403596453</c:v>
                </c:pt>
                <c:pt idx="3">
                  <c:v>536.96303696303721</c:v>
                </c:pt>
                <c:pt idx="4">
                  <c:v>109.8901098901099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53-CD44-9C0D-B5E6F874EA4F}"/>
            </c:ext>
          </c:extLst>
        </c:ser>
        <c:ser>
          <c:idx val="10"/>
          <c:order val="4"/>
          <c:tx>
            <c:strRef>
              <c:f>'EDS POSE Model'!$B$49</c:f>
              <c:strCache>
                <c:ptCount val="1"/>
                <c:pt idx="0">
                  <c:v>Contribution Bound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'EDS POSE Model'!$C$51:$C$55</c:f>
              <c:numCache>
                <c:formatCode>0.00</c:formatCode>
                <c:ptCount val="5"/>
                <c:pt idx="0">
                  <c:v>9.1</c:v>
                </c:pt>
                <c:pt idx="1">
                  <c:v>9.3249999999999993</c:v>
                </c:pt>
                <c:pt idx="2">
                  <c:v>9.5500000000000007</c:v>
                </c:pt>
                <c:pt idx="3">
                  <c:v>9.7750000000000004</c:v>
                </c:pt>
                <c:pt idx="4">
                  <c:v>10</c:v>
                </c:pt>
              </c:numCache>
            </c:numRef>
          </c:xVal>
          <c:yVal>
            <c:numRef>
              <c:f>'EDS POSE Model'!$D$51:$D$55</c:f>
              <c:numCache>
                <c:formatCode>General</c:formatCode>
                <c:ptCount val="5"/>
                <c:pt idx="0">
                  <c:v>90.999999999998963</c:v>
                </c:pt>
                <c:pt idx="1">
                  <c:v>303.06249999999892</c:v>
                </c:pt>
                <c:pt idx="2">
                  <c:v>525.25000000000114</c:v>
                </c:pt>
                <c:pt idx="3">
                  <c:v>757.5625</c:v>
                </c:pt>
                <c:pt idx="4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53-CD44-9C0D-B5E6F874EA4F}"/>
            </c:ext>
          </c:extLst>
        </c:ser>
        <c:ser>
          <c:idx val="2"/>
          <c:order val="5"/>
          <c:tx>
            <c:strRef>
              <c:f>'EDS POSE Model'!$H$4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19050"/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'EDS POSE Model'!$I$4</c:f>
              <c:numCache>
                <c:formatCode>0.00</c:formatCode>
                <c:ptCount val="1"/>
                <c:pt idx="0">
                  <c:v>7.5281818181818183</c:v>
                </c:pt>
              </c:numCache>
            </c:numRef>
          </c:xVal>
          <c:yVal>
            <c:numRef>
              <c:f>'EDS POSE Model'!$J$4</c:f>
              <c:numCache>
                <c:formatCode>0.00</c:formatCode>
                <c:ptCount val="1"/>
                <c:pt idx="0">
                  <c:v>1505.6363636363637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53-CD44-9C0D-B5E6F874EA4F}"/>
            </c:ext>
          </c:extLst>
        </c:ser>
        <c:ser>
          <c:idx val="0"/>
          <c:order val="6"/>
          <c:tx>
            <c:strRef>
              <c:f>'EDS POSE Model'!$H$5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19050"/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'EDS POSE Model'!$I$5</c:f>
              <c:numCache>
                <c:formatCode>0.00</c:formatCode>
                <c:ptCount val="1"/>
                <c:pt idx="0">
                  <c:v>9.0909090909090917</c:v>
                </c:pt>
              </c:numCache>
            </c:numRef>
          </c:xVal>
          <c:yVal>
            <c:numRef>
              <c:f>'EDS POSE Model'!$J$5</c:f>
              <c:numCache>
                <c:formatCode>0.00</c:formatCode>
                <c:ptCount val="1"/>
                <c:pt idx="0">
                  <c:v>1818.1818181818182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53-CD44-9C0D-B5E6F874EA4F}"/>
            </c:ext>
          </c:extLst>
        </c:ser>
        <c:ser>
          <c:idx val="1"/>
          <c:order val="7"/>
          <c:tx>
            <c:strRef>
              <c:f>'EDS POSE Model'!$H$6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19050"/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'EDS POSE Model'!$I$6</c:f>
              <c:numCache>
                <c:formatCode>0.00</c:formatCode>
                <c:ptCount val="1"/>
                <c:pt idx="0">
                  <c:v>9.1</c:v>
                </c:pt>
              </c:numCache>
            </c:numRef>
          </c:xVal>
          <c:yVal>
            <c:numRef>
              <c:f>'EDS POSE Model'!$J$6</c:f>
              <c:numCache>
                <c:formatCode>0.00</c:formatCode>
                <c:ptCount val="1"/>
                <c:pt idx="0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53-CD44-9C0D-B5E6F874EA4F}"/>
            </c:ext>
          </c:extLst>
        </c:ser>
        <c:ser>
          <c:idx val="3"/>
          <c:order val="8"/>
          <c:tx>
            <c:strRef>
              <c:f>'EDS POSE Model'!$H$7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19050"/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'EDS POSE Model'!$I$7</c:f>
              <c:numCache>
                <c:formatCode>0.00</c:formatCode>
                <c:ptCount val="1"/>
                <c:pt idx="0">
                  <c:v>10</c:v>
                </c:pt>
              </c:numCache>
            </c:numRef>
          </c:xVal>
          <c:yVal>
            <c:numRef>
              <c:f>'EDS POSE Model'!$J$7</c:f>
              <c:numCache>
                <c:formatCode>0.00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53-CD44-9C0D-B5E6F874EA4F}"/>
            </c:ext>
          </c:extLst>
        </c:ser>
        <c:ser>
          <c:idx val="4"/>
          <c:order val="9"/>
          <c:tx>
            <c:strRef>
              <c:f>'EDS POSE Model'!$H$8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19050"/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'EDS POSE Model'!$I$8</c:f>
              <c:numCache>
                <c:formatCode>0.00</c:formatCode>
                <c:ptCount val="1"/>
                <c:pt idx="0">
                  <c:v>10.989010989010989</c:v>
                </c:pt>
              </c:numCache>
            </c:numRef>
          </c:xVal>
          <c:yVal>
            <c:numRef>
              <c:f>'EDS POSE Model'!$J$8</c:f>
              <c:numCache>
                <c:formatCode>0.00</c:formatCode>
                <c:ptCount val="1"/>
                <c:pt idx="0">
                  <c:v>109.8901098901099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53-CD44-9C0D-B5E6F874EA4F}"/>
            </c:ext>
          </c:extLst>
        </c:ser>
        <c:ser>
          <c:idx val="5"/>
          <c:order val="10"/>
          <c:tx>
            <c:strRef>
              <c:f>'EDS POSE Model'!$H$9</c:f>
              <c:strCache>
                <c:ptCount val="1"/>
                <c:pt idx="0">
                  <c:v>Theta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19050"/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'EDS POSE Model'!$I$9</c:f>
              <c:numCache>
                <c:formatCode>0.00</c:formatCode>
                <c:ptCount val="1"/>
                <c:pt idx="0">
                  <c:v>10</c:v>
                </c:pt>
              </c:numCache>
            </c:numRef>
          </c:xVal>
          <c:yVal>
            <c:numRef>
              <c:f>'EDS POSE Model'!$J$9</c:f>
              <c:numCache>
                <c:formatCode>0.00</c:formatCode>
                <c:ptCount val="1"/>
                <c:pt idx="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053-CD44-9C0D-B5E6F874EA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12329600"/>
        <c:axId val="1612221504"/>
      </c:scatterChart>
      <c:valAx>
        <c:axId val="16123296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19050"/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21504"/>
        <c:crosses val="autoZero"/>
        <c:crossBetween val="midCat"/>
      </c:valAx>
      <c:valAx>
        <c:axId val="16122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19050"/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2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19050"/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19050"/>
          <a:solidFill>
            <a:sysClr val="windowText" lastClr="000000"/>
          </a:solidFill>
          <a:effectLst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'EDD POSE Model'!$D$29</c:f>
              <c:strCache>
                <c:ptCount val="1"/>
                <c:pt idx="0">
                  <c:v>Pmin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'EDD POSE Model'!$C$30:$C$31</c:f>
              <c:numCache>
                <c:formatCode>0.00</c:formatCode>
                <c:ptCount val="2"/>
                <c:pt idx="0">
                  <c:v>-10.832209330296461</c:v>
                </c:pt>
                <c:pt idx="1">
                  <c:v>30.181616402192716</c:v>
                </c:pt>
              </c:numCache>
            </c:numRef>
          </c:xVal>
          <c:yVal>
            <c:numRef>
              <c:f>'EDD POSE Model'!$D$30:$D$31</c:f>
              <c:numCache>
                <c:formatCode>General</c:formatCode>
                <c:ptCount val="2"/>
                <c:pt idx="0">
                  <c:v>-108.32209330296462</c:v>
                </c:pt>
                <c:pt idx="1">
                  <c:v>301.81616402192719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8F-7E4C-93EA-2B30FB3CCE52}"/>
            </c:ext>
          </c:extLst>
        </c:ser>
        <c:ser>
          <c:idx val="7"/>
          <c:order val="1"/>
          <c:tx>
            <c:strRef>
              <c:f>'EDD POSE Model'!$E$29</c:f>
              <c:strCache>
                <c:ptCount val="1"/>
                <c:pt idx="0">
                  <c:v>Pmax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'EDD POSE Model'!$C$30:$C$31</c:f>
              <c:numCache>
                <c:formatCode>0.00</c:formatCode>
                <c:ptCount val="2"/>
                <c:pt idx="0">
                  <c:v>-10.832209330296461</c:v>
                </c:pt>
                <c:pt idx="1">
                  <c:v>30.181616402192716</c:v>
                </c:pt>
              </c:numCache>
            </c:numRef>
          </c:xVal>
          <c:yVal>
            <c:numRef>
              <c:f>'EDD POSE Model'!$E$30:$E$31</c:f>
              <c:numCache>
                <c:formatCode>General</c:formatCode>
                <c:ptCount val="2"/>
                <c:pt idx="0">
                  <c:v>-2166.4418660592924</c:v>
                </c:pt>
                <c:pt idx="1">
                  <c:v>6036.3232804385434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8F-7E4C-93EA-2B30FB3CCE52}"/>
            </c:ext>
          </c:extLst>
        </c:ser>
        <c:ser>
          <c:idx val="8"/>
          <c:order val="2"/>
          <c:tx>
            <c:strRef>
              <c:f>'EDD POSE Model'!$B$33</c:f>
              <c:strCache>
                <c:ptCount val="1"/>
                <c:pt idx="0">
                  <c:v>Optimsation Limit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'EDD POSE Model'!$C$35:$C$39</c:f>
              <c:numCache>
                <c:formatCode>0.00</c:formatCode>
                <c:ptCount val="5"/>
                <c:pt idx="0">
                  <c:v>9.167790669703539</c:v>
                </c:pt>
                <c:pt idx="1">
                  <c:v>9.3312488054874461</c:v>
                </c:pt>
                <c:pt idx="2">
                  <c:v>9.4947069412713532</c:v>
                </c:pt>
                <c:pt idx="3">
                  <c:v>9.6581650770552621</c:v>
                </c:pt>
                <c:pt idx="4">
                  <c:v>9.8216232128391692</c:v>
                </c:pt>
              </c:numCache>
            </c:numRef>
          </c:xVal>
          <c:yVal>
            <c:numRef>
              <c:f>'EDD POSE Model'!$D$35:$D$39</c:f>
              <c:numCache>
                <c:formatCode>General</c:formatCode>
                <c:ptCount val="5"/>
                <c:pt idx="0">
                  <c:v>1833.5581339407086</c:v>
                </c:pt>
                <c:pt idx="1">
                  <c:v>1595.463943538675</c:v>
                </c:pt>
                <c:pt idx="2">
                  <c:v>1309.4452831694896</c:v>
                </c:pt>
                <c:pt idx="3">
                  <c:v>932.39513833388185</c:v>
                </c:pt>
                <c:pt idx="4">
                  <c:v>98.216232128391695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F8F-7E4C-93EA-2B30FB3CCE52}"/>
            </c:ext>
          </c:extLst>
        </c:ser>
        <c:ser>
          <c:idx val="9"/>
          <c:order val="3"/>
          <c:tx>
            <c:strRef>
              <c:f>'EDD POSE Model'!$B$41</c:f>
              <c:strCache>
                <c:ptCount val="1"/>
                <c:pt idx="0">
                  <c:v>Optimisation Bound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'EDD POSE Model'!$C$43:$C$47</c:f>
              <c:numCache>
                <c:formatCode>0.00</c:formatCode>
                <c:ptCount val="5"/>
                <c:pt idx="0">
                  <c:v>9.5038188527230165</c:v>
                </c:pt>
                <c:pt idx="1">
                  <c:v>9.6732682400904402</c:v>
                </c:pt>
                <c:pt idx="2">
                  <c:v>9.8427176274578656</c:v>
                </c:pt>
                <c:pt idx="3">
                  <c:v>10.012167014825291</c:v>
                </c:pt>
                <c:pt idx="4">
                  <c:v>10.181616402192716</c:v>
                </c:pt>
              </c:numCache>
            </c:numRef>
          </c:xVal>
          <c:yVal>
            <c:numRef>
              <c:f>'EDD POSE Model'!$D$43:$D$47</c:f>
              <c:numCache>
                <c:formatCode>General</c:formatCode>
                <c:ptCount val="5"/>
                <c:pt idx="0">
                  <c:v>1900.7637705446027</c:v>
                </c:pt>
                <c:pt idx="1">
                  <c:v>1653.9426838738013</c:v>
                </c:pt>
                <c:pt idx="2">
                  <c:v>1357.4405456181551</c:v>
                </c:pt>
                <c:pt idx="3">
                  <c:v>966.57033446111393</c:v>
                </c:pt>
                <c:pt idx="4">
                  <c:v>101.8161640219043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F8F-7E4C-93EA-2B30FB3CCE52}"/>
            </c:ext>
          </c:extLst>
        </c:ser>
        <c:ser>
          <c:idx val="10"/>
          <c:order val="4"/>
          <c:tx>
            <c:strRef>
              <c:f>'EDD POSE Model'!$B$49</c:f>
              <c:strCache>
                <c:ptCount val="1"/>
                <c:pt idx="0">
                  <c:v>Contribution Bound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'EDD POSE Model'!$C$51:$C$55</c:f>
              <c:numCache>
                <c:formatCode>0.00</c:formatCode>
                <c:ptCount val="5"/>
                <c:pt idx="0">
                  <c:v>9.8216232128391692</c:v>
                </c:pt>
                <c:pt idx="1">
                  <c:v>9.8662174096293782</c:v>
                </c:pt>
                <c:pt idx="2">
                  <c:v>9.9108116064195855</c:v>
                </c:pt>
                <c:pt idx="3">
                  <c:v>9.9554058032097927</c:v>
                </c:pt>
                <c:pt idx="4">
                  <c:v>10</c:v>
                </c:pt>
              </c:numCache>
            </c:numRef>
          </c:xVal>
          <c:yVal>
            <c:numRef>
              <c:f>'EDD POSE Model'!$D$51:$D$55</c:f>
              <c:numCache>
                <c:formatCode>General</c:formatCode>
                <c:ptCount val="5"/>
                <c:pt idx="0">
                  <c:v>98.216232128391695</c:v>
                </c:pt>
                <c:pt idx="1">
                  <c:v>499.02927964943001</c:v>
                </c:pt>
                <c:pt idx="2">
                  <c:v>702.74064749601882</c:v>
                </c:pt>
                <c:pt idx="3">
                  <c:v>862.64010174681994</c:v>
                </c:pt>
                <c:pt idx="4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F8F-7E4C-93EA-2B30FB3CCE52}"/>
            </c:ext>
          </c:extLst>
        </c:ser>
        <c:ser>
          <c:idx val="2"/>
          <c:order val="5"/>
          <c:tx>
            <c:strRef>
              <c:f>'EDD POSE Model'!$H$4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19050"/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'EDD POSE Model'!$I$4</c:f>
              <c:numCache>
                <c:formatCode>0.00</c:formatCode>
                <c:ptCount val="1"/>
                <c:pt idx="0">
                  <c:v>9.167790669703539</c:v>
                </c:pt>
              </c:numCache>
            </c:numRef>
          </c:xVal>
          <c:yVal>
            <c:numRef>
              <c:f>'EDD POSE Model'!$J$4</c:f>
              <c:numCache>
                <c:formatCode>0.00</c:formatCode>
                <c:ptCount val="1"/>
                <c:pt idx="0">
                  <c:v>1833.5581339407079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8F-7E4C-93EA-2B30FB3CCE52}"/>
            </c:ext>
          </c:extLst>
        </c:ser>
        <c:ser>
          <c:idx val="0"/>
          <c:order val="6"/>
          <c:tx>
            <c:strRef>
              <c:f>'EDD POSE Model'!$H$5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19050"/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'EDD POSE Model'!$I$5</c:f>
              <c:numCache>
                <c:formatCode>0.00</c:formatCode>
                <c:ptCount val="1"/>
                <c:pt idx="0">
                  <c:v>9.5038188527230165</c:v>
                </c:pt>
              </c:numCache>
            </c:numRef>
          </c:xVal>
          <c:yVal>
            <c:numRef>
              <c:f>'EDD POSE Model'!$J$5</c:f>
              <c:numCache>
                <c:formatCode>0.00</c:formatCode>
                <c:ptCount val="1"/>
                <c:pt idx="0">
                  <c:v>1900.7637705446034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8F-7E4C-93EA-2B30FB3CCE52}"/>
            </c:ext>
          </c:extLst>
        </c:ser>
        <c:ser>
          <c:idx val="1"/>
          <c:order val="7"/>
          <c:tx>
            <c:strRef>
              <c:f>'EDD POSE Model'!$H$6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19050"/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'EDD POSE Model'!$I$6</c:f>
              <c:numCache>
                <c:formatCode>0.00</c:formatCode>
                <c:ptCount val="1"/>
                <c:pt idx="0">
                  <c:v>9.8216232128391692</c:v>
                </c:pt>
              </c:numCache>
            </c:numRef>
          </c:xVal>
          <c:yVal>
            <c:numRef>
              <c:f>'EDD POSE Model'!$J$6</c:f>
              <c:numCache>
                <c:formatCode>0.00</c:formatCode>
                <c:ptCount val="1"/>
                <c:pt idx="0">
                  <c:v>98.216232128391695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8F-7E4C-93EA-2B30FB3CCE52}"/>
            </c:ext>
          </c:extLst>
        </c:ser>
        <c:ser>
          <c:idx val="3"/>
          <c:order val="8"/>
          <c:tx>
            <c:strRef>
              <c:f>'EDD POSE Model'!$H$7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19050"/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'EDD POSE Model'!$I$7</c:f>
              <c:numCache>
                <c:formatCode>0.00</c:formatCode>
                <c:ptCount val="1"/>
                <c:pt idx="0">
                  <c:v>10</c:v>
                </c:pt>
              </c:numCache>
            </c:numRef>
          </c:xVal>
          <c:yVal>
            <c:numRef>
              <c:f>'EDD POSE Model'!$J$7</c:f>
              <c:numCache>
                <c:formatCode>0.00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8F-7E4C-93EA-2B30FB3CCE52}"/>
            </c:ext>
          </c:extLst>
        </c:ser>
        <c:ser>
          <c:idx val="4"/>
          <c:order val="9"/>
          <c:tx>
            <c:strRef>
              <c:f>'EDD POSE Model'!$H$8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19050"/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'EDD POSE Model'!$I$8</c:f>
              <c:numCache>
                <c:formatCode>0.00</c:formatCode>
                <c:ptCount val="1"/>
                <c:pt idx="0">
                  <c:v>10.181616402192716</c:v>
                </c:pt>
              </c:numCache>
            </c:numRef>
          </c:xVal>
          <c:yVal>
            <c:numRef>
              <c:f>'EDD POSE Model'!$J$8</c:f>
              <c:numCache>
                <c:formatCode>0.00</c:formatCode>
                <c:ptCount val="1"/>
                <c:pt idx="0">
                  <c:v>101.81616402192716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8F-7E4C-93EA-2B30FB3CCE52}"/>
            </c:ext>
          </c:extLst>
        </c:ser>
        <c:ser>
          <c:idx val="5"/>
          <c:order val="10"/>
          <c:tx>
            <c:strRef>
              <c:f>'EDD POSE Model'!$H$9</c:f>
              <c:strCache>
                <c:ptCount val="1"/>
                <c:pt idx="0">
                  <c:v>Theta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19050"/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'EDD POSE Model'!$I$9</c:f>
              <c:numCache>
                <c:formatCode>0.00</c:formatCode>
                <c:ptCount val="1"/>
                <c:pt idx="0">
                  <c:v>10</c:v>
                </c:pt>
              </c:numCache>
            </c:numRef>
          </c:xVal>
          <c:yVal>
            <c:numRef>
              <c:f>'EDD POSE Model'!$J$9</c:f>
              <c:numCache>
                <c:formatCode>0.00</c:formatCode>
                <c:ptCount val="1"/>
                <c:pt idx="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8F-7E4C-93EA-2B30FB3CCE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12329600"/>
        <c:axId val="1612221504"/>
      </c:scatterChart>
      <c:valAx>
        <c:axId val="16123296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19050"/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21504"/>
        <c:crosses val="autoZero"/>
        <c:crossBetween val="midCat"/>
      </c:valAx>
      <c:valAx>
        <c:axId val="16122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19050"/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2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19050"/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19050"/>
          <a:solidFill>
            <a:sysClr val="windowText" lastClr="000000"/>
          </a:solidFill>
          <a:effectLst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521025</xdr:colOff>
      <xdr:row>15</xdr:row>
      <xdr:rowOff>11073</xdr:rowOff>
    </xdr:from>
    <xdr:to>
      <xdr:col>15</xdr:col>
      <xdr:colOff>19918</xdr:colOff>
      <xdr:row>57</xdr:row>
      <xdr:rowOff>191911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C52D7-4030-8341-88BA-CE12B85C9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271366</xdr:colOff>
      <xdr:row>13</xdr:row>
      <xdr:rowOff>152184</xdr:rowOff>
    </xdr:from>
    <xdr:to>
      <xdr:col>14</xdr:col>
      <xdr:colOff>595216</xdr:colOff>
      <xdr:row>56</xdr:row>
      <xdr:rowOff>126784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38072-046D-F541-B944-BB03F4D47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488460</xdr:colOff>
      <xdr:row>15</xdr:row>
      <xdr:rowOff>43635</xdr:rowOff>
    </xdr:from>
    <xdr:to>
      <xdr:col>14</xdr:col>
      <xdr:colOff>812310</xdr:colOff>
      <xdr:row>58</xdr:row>
      <xdr:rowOff>18234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7DDD60-643F-D64F-AC77-DAA81EA89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5372-4FB3-224C-9D5E-300080B3E0F2}">
  <dimension ref="A1:T243"/>
  <sheetViews>
    <sheetView workbookViewId="0">
      <selection activeCell="L9" sqref="L9"/>
    </sheetView>
  </sheetViews>
  <sheetFormatPr baseColWidth="10" defaultRowHeight="16" x14ac:dyDescent="0.2"/>
  <cols>
    <col min="1" max="1" width="17.1640625" customWidth="1"/>
    <col min="2" max="2" width="17.6640625" customWidth="1"/>
    <col min="3" max="3" width="13.1640625" customWidth="1"/>
    <col min="19" max="19" width="13.6640625" bestFit="1" customWidth="1"/>
    <col min="20" max="20" width="11.33203125" bestFit="1" customWidth="1"/>
  </cols>
  <sheetData>
    <row r="1" spans="1:20" x14ac:dyDescent="0.2">
      <c r="D1" s="32"/>
      <c r="E1" s="32"/>
      <c r="F1" s="32"/>
      <c r="G1" s="32"/>
      <c r="H1" s="32"/>
    </row>
    <row r="2" spans="1:20" x14ac:dyDescent="0.2">
      <c r="D2" s="22"/>
      <c r="E2" s="22"/>
      <c r="F2" s="22"/>
      <c r="G2" s="22"/>
      <c r="H2" s="22"/>
    </row>
    <row r="3" spans="1:20" x14ac:dyDescent="0.2">
      <c r="D3" s="22"/>
      <c r="E3" s="22"/>
      <c r="F3" s="22"/>
      <c r="G3" s="22"/>
      <c r="H3" s="22"/>
    </row>
    <row r="4" spans="1:20" x14ac:dyDescent="0.2">
      <c r="D4" s="22" t="s">
        <v>51</v>
      </c>
      <c r="E4" s="22" t="s">
        <v>52</v>
      </c>
      <c r="F4" s="22"/>
      <c r="G4" s="22"/>
      <c r="H4" s="22"/>
    </row>
    <row r="5" spans="1:20" x14ac:dyDescent="0.2">
      <c r="A5" s="4" t="s">
        <v>26</v>
      </c>
      <c r="B5" s="1"/>
    </row>
    <row r="6" spans="1:20" x14ac:dyDescent="0.2">
      <c r="B6" s="1" t="s">
        <v>9</v>
      </c>
      <c r="C6" s="5" t="s">
        <v>47</v>
      </c>
      <c r="D6">
        <v>0</v>
      </c>
      <c r="E6" s="23">
        <v>0</v>
      </c>
      <c r="G6" s="5"/>
      <c r="I6" s="5"/>
    </row>
    <row r="7" spans="1:20" x14ac:dyDescent="0.2">
      <c r="B7" s="1"/>
      <c r="C7" s="5" t="s">
        <v>48</v>
      </c>
      <c r="D7">
        <v>0</v>
      </c>
      <c r="E7" s="23">
        <v>0</v>
      </c>
      <c r="G7" s="5"/>
      <c r="I7" s="5"/>
    </row>
    <row r="8" spans="1:20" x14ac:dyDescent="0.2">
      <c r="B8" s="1"/>
      <c r="C8" s="5" t="s">
        <v>49</v>
      </c>
      <c r="D8">
        <v>0</v>
      </c>
      <c r="E8" s="23">
        <v>0</v>
      </c>
      <c r="G8" s="5"/>
      <c r="I8" s="5"/>
    </row>
    <row r="9" spans="1:20" x14ac:dyDescent="0.2">
      <c r="B9" s="1"/>
      <c r="C9" s="5" t="s">
        <v>50</v>
      </c>
      <c r="D9">
        <v>0</v>
      </c>
      <c r="E9" s="23">
        <v>0</v>
      </c>
      <c r="G9" s="5"/>
      <c r="I9" s="5"/>
    </row>
    <row r="10" spans="1:20" x14ac:dyDescent="0.2">
      <c r="B10" s="1" t="s">
        <v>10</v>
      </c>
      <c r="C10" s="5" t="s">
        <v>46</v>
      </c>
      <c r="D10">
        <v>0</v>
      </c>
      <c r="E10" s="23">
        <v>0</v>
      </c>
      <c r="G10" s="5"/>
      <c r="I10" s="5"/>
    </row>
    <row r="14" spans="1:20" x14ac:dyDescent="0.2">
      <c r="A14" s="4" t="s">
        <v>45</v>
      </c>
      <c r="C14" t="s">
        <v>2</v>
      </c>
      <c r="D14" s="33" t="s">
        <v>59</v>
      </c>
      <c r="E14" s="34"/>
    </row>
    <row r="16" spans="1:20" x14ac:dyDescent="0.2">
      <c r="C16" s="1">
        <v>1</v>
      </c>
      <c r="D16" s="1">
        <v>2</v>
      </c>
      <c r="E16" s="1">
        <v>3</v>
      </c>
      <c r="F16" s="1">
        <v>4</v>
      </c>
      <c r="G16" s="1">
        <v>5</v>
      </c>
      <c r="H16" s="1">
        <v>6</v>
      </c>
      <c r="I16" s="1">
        <v>7</v>
      </c>
      <c r="J16" s="1">
        <v>8</v>
      </c>
      <c r="K16" s="1">
        <v>9</v>
      </c>
      <c r="L16" s="1">
        <v>10</v>
      </c>
      <c r="M16" s="1">
        <v>11</v>
      </c>
      <c r="N16" s="1">
        <v>12</v>
      </c>
      <c r="O16" s="1">
        <v>13</v>
      </c>
      <c r="P16" s="1">
        <v>14</v>
      </c>
      <c r="Q16" s="1">
        <v>15</v>
      </c>
      <c r="S16" s="2" t="s">
        <v>0</v>
      </c>
      <c r="T16" s="2" t="s">
        <v>1</v>
      </c>
    </row>
    <row r="17" spans="1:20" x14ac:dyDescent="0.2">
      <c r="B17" s="1" t="s">
        <v>27</v>
      </c>
      <c r="S17" s="3" t="e">
        <f>AVERAGE(C17:Q17)</f>
        <v>#DIV/0!</v>
      </c>
      <c r="T17" s="3" t="e">
        <f>STDEV(C17:Q17)</f>
        <v>#DIV/0!</v>
      </c>
    </row>
    <row r="18" spans="1:20" x14ac:dyDescent="0.2">
      <c r="B18" s="1" t="s">
        <v>3</v>
      </c>
      <c r="S18" s="3" t="e">
        <f>AVERAGE(C18:Q18)</f>
        <v>#DIV/0!</v>
      </c>
      <c r="T18" s="3" t="e">
        <f>STDEV(C19:Q19)</f>
        <v>#DIV/0!</v>
      </c>
    </row>
    <row r="19" spans="1:20" x14ac:dyDescent="0.2">
      <c r="B19" s="1" t="s">
        <v>4</v>
      </c>
      <c r="S19" s="3" t="e">
        <f>AVERAGE(C19:Q19)</f>
        <v>#DIV/0!</v>
      </c>
      <c r="T19" s="3" t="e">
        <f>STDEV(C18:Q18)</f>
        <v>#DIV/0!</v>
      </c>
    </row>
    <row r="20" spans="1:20" x14ac:dyDescent="0.2">
      <c r="B20" s="1" t="s">
        <v>53</v>
      </c>
      <c r="C20" t="e">
        <f>C18/C17</f>
        <v>#DIV/0!</v>
      </c>
      <c r="D20" t="e">
        <f t="shared" ref="D20:Q20" si="0">D18/D17</f>
        <v>#DIV/0!</v>
      </c>
      <c r="E20" t="e">
        <f t="shared" si="0"/>
        <v>#DIV/0!</v>
      </c>
      <c r="F20" t="e">
        <f t="shared" si="0"/>
        <v>#DIV/0!</v>
      </c>
      <c r="G20" t="e">
        <f t="shared" si="0"/>
        <v>#DIV/0!</v>
      </c>
      <c r="H20" t="e">
        <f t="shared" si="0"/>
        <v>#DIV/0!</v>
      </c>
      <c r="I20" t="e">
        <f t="shared" si="0"/>
        <v>#DIV/0!</v>
      </c>
      <c r="J20" t="e">
        <f t="shared" si="0"/>
        <v>#DIV/0!</v>
      </c>
      <c r="K20" t="e">
        <f t="shared" si="0"/>
        <v>#DIV/0!</v>
      </c>
      <c r="L20" t="e">
        <f t="shared" si="0"/>
        <v>#DIV/0!</v>
      </c>
      <c r="M20" t="e">
        <f t="shared" si="0"/>
        <v>#DIV/0!</v>
      </c>
      <c r="N20" t="e">
        <f t="shared" si="0"/>
        <v>#DIV/0!</v>
      </c>
      <c r="O20" t="e">
        <f t="shared" si="0"/>
        <v>#DIV/0!</v>
      </c>
      <c r="P20" t="e">
        <f t="shared" si="0"/>
        <v>#DIV/0!</v>
      </c>
      <c r="Q20" t="e">
        <f t="shared" si="0"/>
        <v>#DIV/0!</v>
      </c>
      <c r="S20" s="3" t="e">
        <f>AVERAGE(C20:Q20)</f>
        <v>#DIV/0!</v>
      </c>
      <c r="T20" s="3" t="e">
        <f t="shared" ref="T20:T21" si="1">STDEV(C20:Q20)</f>
        <v>#DIV/0!</v>
      </c>
    </row>
    <row r="21" spans="1:20" x14ac:dyDescent="0.2">
      <c r="B21" s="1" t="s">
        <v>42</v>
      </c>
      <c r="C21" t="e">
        <f>C19/C17</f>
        <v>#DIV/0!</v>
      </c>
      <c r="D21" t="e">
        <f t="shared" ref="D21:Q21" si="2">D19/D17</f>
        <v>#DIV/0!</v>
      </c>
      <c r="E21" t="e">
        <f t="shared" si="2"/>
        <v>#DIV/0!</v>
      </c>
      <c r="F21" t="e">
        <f t="shared" si="2"/>
        <v>#DIV/0!</v>
      </c>
      <c r="G21" t="e">
        <f t="shared" si="2"/>
        <v>#DIV/0!</v>
      </c>
      <c r="H21" t="e">
        <f t="shared" si="2"/>
        <v>#DIV/0!</v>
      </c>
      <c r="I21" t="e">
        <f t="shared" si="2"/>
        <v>#DIV/0!</v>
      </c>
      <c r="J21" t="e">
        <f t="shared" si="2"/>
        <v>#DIV/0!</v>
      </c>
      <c r="K21" t="e">
        <f t="shared" si="2"/>
        <v>#DIV/0!</v>
      </c>
      <c r="L21" t="e">
        <f t="shared" si="2"/>
        <v>#DIV/0!</v>
      </c>
      <c r="M21" t="e">
        <f t="shared" si="2"/>
        <v>#DIV/0!</v>
      </c>
      <c r="N21" t="e">
        <f t="shared" si="2"/>
        <v>#DIV/0!</v>
      </c>
      <c r="O21" t="e">
        <f t="shared" si="2"/>
        <v>#DIV/0!</v>
      </c>
      <c r="P21" t="e">
        <f t="shared" si="2"/>
        <v>#DIV/0!</v>
      </c>
      <c r="Q21" t="e">
        <f t="shared" si="2"/>
        <v>#DIV/0!</v>
      </c>
      <c r="S21" s="3" t="e">
        <f>AVERAGE(C21:Q21)</f>
        <v>#DIV/0!</v>
      </c>
      <c r="T21" s="3" t="e">
        <f t="shared" si="1"/>
        <v>#DIV/0!</v>
      </c>
    </row>
    <row r="22" spans="1:20" x14ac:dyDescent="0.2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S22" s="3"/>
    </row>
    <row r="23" spans="1:20" x14ac:dyDescent="0.2">
      <c r="A23" s="4"/>
      <c r="B23" s="30"/>
      <c r="C23" s="30"/>
      <c r="D23" s="28"/>
      <c r="E23" s="28"/>
      <c r="F23" s="30"/>
      <c r="G23" s="30"/>
      <c r="H23" s="30"/>
      <c r="I23" s="30"/>
      <c r="J23" s="30"/>
      <c r="K23" s="30"/>
      <c r="L23" s="30"/>
      <c r="M23" s="30"/>
    </row>
    <row r="24" spans="1:20" x14ac:dyDescent="0.2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20" x14ac:dyDescent="0.2">
      <c r="B25" s="3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S25" s="2"/>
      <c r="T25" s="2"/>
    </row>
    <row r="26" spans="1:20" x14ac:dyDescent="0.2">
      <c r="B26" s="1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S26" s="3"/>
      <c r="T26" s="3"/>
    </row>
    <row r="27" spans="1:20" x14ac:dyDescent="0.2">
      <c r="B27" s="1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S27" s="3"/>
      <c r="T27" s="3"/>
    </row>
    <row r="28" spans="1:20" x14ac:dyDescent="0.2">
      <c r="B28" s="1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S28" s="3"/>
      <c r="T28" s="3"/>
    </row>
    <row r="29" spans="1:20" x14ac:dyDescent="0.2">
      <c r="B29" s="1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S29" s="3"/>
      <c r="T29" s="3"/>
    </row>
    <row r="30" spans="1:20" x14ac:dyDescent="0.2">
      <c r="B30" s="1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S30" s="3"/>
      <c r="T30" s="3"/>
    </row>
    <row r="31" spans="1:20" x14ac:dyDescent="0.2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</row>
    <row r="32" spans="1:20" x14ac:dyDescent="0.2">
      <c r="A32" s="4"/>
      <c r="B32" s="30"/>
      <c r="C32" s="30"/>
      <c r="D32" s="28"/>
      <c r="E32" s="28"/>
      <c r="F32" s="30"/>
      <c r="G32" s="30"/>
      <c r="H32" s="30"/>
      <c r="I32" s="30"/>
      <c r="J32" s="30"/>
      <c r="K32" s="30"/>
      <c r="L32" s="30"/>
      <c r="M32" s="30"/>
    </row>
    <row r="33" spans="1:20" x14ac:dyDescent="0.2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</row>
    <row r="34" spans="1:20" x14ac:dyDescent="0.2">
      <c r="B34" s="3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2"/>
      <c r="T34" s="2"/>
    </row>
    <row r="35" spans="1:20" x14ac:dyDescent="0.2">
      <c r="B35" s="1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S35" s="3"/>
      <c r="T35" s="3"/>
    </row>
    <row r="36" spans="1:20" x14ac:dyDescent="0.2">
      <c r="B36" s="1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S36" s="3"/>
      <c r="T36" s="3"/>
    </row>
    <row r="37" spans="1:20" x14ac:dyDescent="0.2">
      <c r="B37" s="1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S37" s="3"/>
      <c r="T37" s="3"/>
    </row>
    <row r="38" spans="1:20" x14ac:dyDescent="0.2">
      <c r="B38" s="1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S38" s="3"/>
      <c r="T38" s="3"/>
    </row>
    <row r="39" spans="1:20" x14ac:dyDescent="0.2">
      <c r="B39" s="1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S39" s="3"/>
      <c r="T39" s="3"/>
    </row>
    <row r="40" spans="1:20" x14ac:dyDescent="0.2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</row>
    <row r="41" spans="1:20" x14ac:dyDescent="0.2">
      <c r="A41" s="4"/>
      <c r="B41" s="30"/>
      <c r="C41" s="30"/>
      <c r="D41" s="28"/>
      <c r="E41" s="28"/>
      <c r="F41" s="30"/>
      <c r="G41" s="30"/>
      <c r="H41" s="30"/>
      <c r="I41" s="30"/>
      <c r="J41" s="30"/>
      <c r="K41" s="30"/>
      <c r="L41" s="30"/>
      <c r="M41" s="30"/>
    </row>
    <row r="42" spans="1:20" x14ac:dyDescent="0.2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</row>
    <row r="43" spans="1:20" x14ac:dyDescent="0.2">
      <c r="B43" s="30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S43" s="2"/>
      <c r="T43" s="2"/>
    </row>
    <row r="44" spans="1:20" x14ac:dyDescent="0.2">
      <c r="B44" s="1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</row>
    <row r="45" spans="1:20" x14ac:dyDescent="0.2">
      <c r="B45" s="1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</row>
    <row r="46" spans="1:20" x14ac:dyDescent="0.2">
      <c r="B46" s="1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</row>
    <row r="47" spans="1:20" x14ac:dyDescent="0.2">
      <c r="B47" s="1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S47" s="3"/>
      <c r="T47" s="3"/>
    </row>
    <row r="48" spans="1:20" x14ac:dyDescent="0.2">
      <c r="B48" s="1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S48" s="3"/>
      <c r="T48" s="3"/>
    </row>
    <row r="49" spans="1:20" x14ac:dyDescent="0.2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</row>
    <row r="50" spans="1:20" x14ac:dyDescent="0.2">
      <c r="A50" s="4"/>
      <c r="B50" s="30"/>
      <c r="C50" s="30"/>
      <c r="D50" s="28"/>
      <c r="E50" s="28"/>
      <c r="F50" s="30"/>
      <c r="G50" s="30"/>
      <c r="H50" s="30"/>
      <c r="I50" s="30"/>
      <c r="J50" s="30"/>
      <c r="K50" s="30"/>
      <c r="L50" s="30"/>
      <c r="M50" s="30"/>
    </row>
    <row r="51" spans="1:20" x14ac:dyDescent="0.2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</row>
    <row r="52" spans="1:20" x14ac:dyDescent="0.2">
      <c r="B52" s="30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S52" s="2"/>
      <c r="T52" s="2"/>
    </row>
    <row r="53" spans="1:20" x14ac:dyDescent="0.2">
      <c r="B53" s="1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</row>
    <row r="54" spans="1:20" x14ac:dyDescent="0.2">
      <c r="B54" s="1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</row>
    <row r="55" spans="1:20" x14ac:dyDescent="0.2">
      <c r="B55" s="1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</row>
    <row r="56" spans="1:20" x14ac:dyDescent="0.2">
      <c r="B56" s="1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S56" s="3"/>
      <c r="T56" s="3"/>
    </row>
    <row r="57" spans="1:20" x14ac:dyDescent="0.2">
      <c r="B57" s="1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S57" s="3"/>
      <c r="T57" s="3"/>
    </row>
    <row r="58" spans="1:20" x14ac:dyDescent="0.2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</row>
    <row r="59" spans="1:20" x14ac:dyDescent="0.2">
      <c r="A59" s="4"/>
      <c r="B59" s="30"/>
      <c r="C59" s="30"/>
      <c r="D59" s="29"/>
      <c r="E59" s="29"/>
      <c r="F59" s="30"/>
      <c r="G59" s="30"/>
      <c r="H59" s="30"/>
      <c r="I59" s="30"/>
      <c r="J59" s="30"/>
      <c r="K59" s="30"/>
      <c r="L59" s="30"/>
      <c r="M59" s="30"/>
    </row>
    <row r="60" spans="1:20" x14ac:dyDescent="0.2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</row>
    <row r="61" spans="1:20" x14ac:dyDescent="0.2">
      <c r="B61" s="30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S61" s="2"/>
      <c r="T61" s="2"/>
    </row>
    <row r="62" spans="1:20" x14ac:dyDescent="0.2">
      <c r="B62" s="1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</row>
    <row r="63" spans="1:20" x14ac:dyDescent="0.2">
      <c r="B63" s="1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</row>
    <row r="64" spans="1:20" x14ac:dyDescent="0.2">
      <c r="B64" s="1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20" x14ac:dyDescent="0.2">
      <c r="B65" s="1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S65" s="3"/>
      <c r="T65" s="3"/>
    </row>
    <row r="66" spans="1:20" x14ac:dyDescent="0.2">
      <c r="B66" s="1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S66" s="3"/>
      <c r="T66" s="3"/>
    </row>
    <row r="67" spans="1:20" x14ac:dyDescent="0.2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</row>
    <row r="68" spans="1:20" x14ac:dyDescent="0.2">
      <c r="A68" s="4"/>
      <c r="B68" s="30"/>
      <c r="C68" s="30"/>
      <c r="D68" s="29"/>
      <c r="E68" s="29"/>
      <c r="F68" s="30"/>
      <c r="G68" s="30"/>
      <c r="H68" s="30"/>
      <c r="I68" s="30"/>
      <c r="J68" s="30"/>
      <c r="K68" s="30"/>
      <c r="L68" s="30"/>
      <c r="M68" s="30"/>
    </row>
    <row r="69" spans="1:20" x14ac:dyDescent="0.2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</row>
    <row r="70" spans="1:20" x14ac:dyDescent="0.2">
      <c r="B70" s="3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S70" s="2"/>
      <c r="T70" s="2"/>
    </row>
    <row r="71" spans="1:20" x14ac:dyDescent="0.2">
      <c r="B71" s="1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</row>
    <row r="72" spans="1:20" x14ac:dyDescent="0.2">
      <c r="B72" s="1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</row>
    <row r="73" spans="1:20" x14ac:dyDescent="0.2">
      <c r="B73" s="1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</row>
    <row r="74" spans="1:20" x14ac:dyDescent="0.2">
      <c r="B74" s="1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S74" s="3"/>
      <c r="T74" s="3"/>
    </row>
    <row r="75" spans="1:20" x14ac:dyDescent="0.2">
      <c r="B75" s="1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S75" s="3"/>
      <c r="T75" s="3"/>
    </row>
    <row r="76" spans="1:20" x14ac:dyDescent="0.2"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</row>
    <row r="77" spans="1:20" x14ac:dyDescent="0.2">
      <c r="A77" s="4"/>
      <c r="D77" s="19"/>
      <c r="E77" s="20"/>
    </row>
    <row r="79" spans="1:20" x14ac:dyDescent="0.2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S79" s="2"/>
      <c r="T79" s="2"/>
    </row>
    <row r="80" spans="1:20" x14ac:dyDescent="0.2">
      <c r="B80" s="1"/>
    </row>
    <row r="81" spans="1:20" x14ac:dyDescent="0.2">
      <c r="B81" s="1"/>
    </row>
    <row r="82" spans="1:20" x14ac:dyDescent="0.2">
      <c r="B82" s="1"/>
    </row>
    <row r="83" spans="1:20" x14ac:dyDescent="0.2">
      <c r="B83" s="1"/>
      <c r="S83" s="3"/>
      <c r="T83" s="3"/>
    </row>
    <row r="84" spans="1:20" x14ac:dyDescent="0.2">
      <c r="B84" s="1"/>
      <c r="S84" s="3"/>
      <c r="T84" s="3"/>
    </row>
    <row r="85" spans="1:20" x14ac:dyDescent="0.2">
      <c r="B85" s="1"/>
      <c r="S85" s="3"/>
      <c r="T85" s="3"/>
    </row>
    <row r="86" spans="1:20" x14ac:dyDescent="0.2">
      <c r="A86" s="4"/>
      <c r="D86" s="19"/>
      <c r="E86" s="21"/>
    </row>
    <row r="88" spans="1:20" x14ac:dyDescent="0.2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S88" s="2"/>
      <c r="T88" s="2"/>
    </row>
    <row r="89" spans="1:20" x14ac:dyDescent="0.2">
      <c r="B89" s="1"/>
    </row>
    <row r="90" spans="1:20" x14ac:dyDescent="0.2">
      <c r="B90" s="1"/>
    </row>
    <row r="91" spans="1:20" x14ac:dyDescent="0.2">
      <c r="B91" s="1"/>
    </row>
    <row r="92" spans="1:20" x14ac:dyDescent="0.2">
      <c r="B92" s="1"/>
      <c r="S92" s="3"/>
      <c r="T92" s="3"/>
    </row>
    <row r="93" spans="1:20" x14ac:dyDescent="0.2">
      <c r="B93" s="1"/>
      <c r="S93" s="3"/>
      <c r="T93" s="3"/>
    </row>
    <row r="95" spans="1:20" x14ac:dyDescent="0.2">
      <c r="A95" s="4"/>
      <c r="D95" s="19"/>
      <c r="E95" s="20"/>
    </row>
    <row r="97" spans="1:20" x14ac:dyDescent="0.2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S97" s="2"/>
      <c r="T97" s="2"/>
    </row>
    <row r="98" spans="1:20" x14ac:dyDescent="0.2">
      <c r="B98" s="1"/>
    </row>
    <row r="99" spans="1:20" x14ac:dyDescent="0.2">
      <c r="B99" s="1"/>
    </row>
    <row r="100" spans="1:20" x14ac:dyDescent="0.2">
      <c r="B100" s="1"/>
    </row>
    <row r="101" spans="1:20" x14ac:dyDescent="0.2">
      <c r="B101" s="1"/>
      <c r="S101" s="3"/>
      <c r="T101" s="3"/>
    </row>
    <row r="102" spans="1:20" x14ac:dyDescent="0.2">
      <c r="B102" s="1"/>
      <c r="S102" s="3"/>
      <c r="T102" s="3"/>
    </row>
    <row r="104" spans="1:20" x14ac:dyDescent="0.2">
      <c r="A104" s="4"/>
      <c r="D104" s="19"/>
      <c r="E104" s="21"/>
    </row>
    <row r="106" spans="1:20" x14ac:dyDescent="0.2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S106" s="2"/>
      <c r="T106" s="2"/>
    </row>
    <row r="107" spans="1:20" x14ac:dyDescent="0.2">
      <c r="B107" s="1"/>
    </row>
    <row r="108" spans="1:20" x14ac:dyDescent="0.2">
      <c r="B108" s="1"/>
    </row>
    <row r="109" spans="1:20" x14ac:dyDescent="0.2">
      <c r="B109" s="1"/>
    </row>
    <row r="110" spans="1:20" x14ac:dyDescent="0.2">
      <c r="B110" s="1"/>
      <c r="S110" s="3"/>
      <c r="T110" s="3"/>
    </row>
    <row r="111" spans="1:20" x14ac:dyDescent="0.2">
      <c r="B111" s="1"/>
      <c r="S111" s="3"/>
      <c r="T111" s="3"/>
    </row>
    <row r="113" spans="1:20" x14ac:dyDescent="0.2">
      <c r="A113" s="4"/>
      <c r="D113" s="19"/>
      <c r="E113" s="20"/>
    </row>
    <row r="115" spans="1:20" x14ac:dyDescent="0.2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S115" s="2"/>
      <c r="T115" s="2"/>
    </row>
    <row r="116" spans="1:20" x14ac:dyDescent="0.2">
      <c r="B116" s="1"/>
    </row>
    <row r="117" spans="1:20" x14ac:dyDescent="0.2">
      <c r="B117" s="1"/>
    </row>
    <row r="118" spans="1:20" x14ac:dyDescent="0.2">
      <c r="B118" s="1"/>
    </row>
    <row r="119" spans="1:20" x14ac:dyDescent="0.2">
      <c r="B119" s="1"/>
      <c r="S119" s="3"/>
      <c r="T119" s="3"/>
    </row>
    <row r="120" spans="1:20" x14ac:dyDescent="0.2">
      <c r="B120" s="1"/>
      <c r="S120" s="3"/>
      <c r="T120" s="3"/>
    </row>
    <row r="122" spans="1:20" x14ac:dyDescent="0.2">
      <c r="A122" s="4"/>
      <c r="D122" s="19"/>
      <c r="E122" s="21"/>
    </row>
    <row r="124" spans="1:20" x14ac:dyDescent="0.2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S124" s="2"/>
      <c r="T124" s="2"/>
    </row>
    <row r="125" spans="1:20" x14ac:dyDescent="0.2">
      <c r="B125" s="1"/>
    </row>
    <row r="126" spans="1:20" x14ac:dyDescent="0.2">
      <c r="B126" s="1"/>
    </row>
    <row r="127" spans="1:20" x14ac:dyDescent="0.2">
      <c r="B127" s="1"/>
    </row>
    <row r="128" spans="1:20" x14ac:dyDescent="0.2">
      <c r="B128" s="1"/>
      <c r="S128" s="3"/>
      <c r="T128" s="3"/>
    </row>
    <row r="129" spans="1:20" x14ac:dyDescent="0.2">
      <c r="B129" s="1"/>
      <c r="S129" s="3"/>
      <c r="T129" s="3"/>
    </row>
    <row r="131" spans="1:20" x14ac:dyDescent="0.2">
      <c r="A131" s="4"/>
      <c r="D131" s="19"/>
      <c r="E131" s="21"/>
    </row>
    <row r="133" spans="1:20" x14ac:dyDescent="0.2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S133" s="2"/>
      <c r="T133" s="2"/>
    </row>
    <row r="134" spans="1:20" x14ac:dyDescent="0.2">
      <c r="B134" s="1"/>
    </row>
    <row r="135" spans="1:20" x14ac:dyDescent="0.2">
      <c r="B135" s="1"/>
    </row>
    <row r="136" spans="1:20" x14ac:dyDescent="0.2">
      <c r="B136" s="1"/>
    </row>
    <row r="137" spans="1:20" x14ac:dyDescent="0.2">
      <c r="B137" s="1"/>
      <c r="S137" s="3"/>
      <c r="T137" s="3"/>
    </row>
    <row r="138" spans="1:20" x14ac:dyDescent="0.2">
      <c r="B138" s="1"/>
      <c r="S138" s="3"/>
      <c r="T138" s="3"/>
    </row>
    <row r="140" spans="1:20" x14ac:dyDescent="0.2">
      <c r="D140" s="19"/>
      <c r="E140" s="21"/>
    </row>
    <row r="141" spans="1:20" x14ac:dyDescent="0.2">
      <c r="A141" s="4"/>
    </row>
    <row r="142" spans="1:20" x14ac:dyDescent="0.2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S142" s="2"/>
      <c r="T142" s="2"/>
    </row>
    <row r="143" spans="1:20" x14ac:dyDescent="0.2">
      <c r="B143" s="1"/>
    </row>
    <row r="144" spans="1:20" x14ac:dyDescent="0.2">
      <c r="B144" s="1"/>
    </row>
    <row r="145" spans="2:20" x14ac:dyDescent="0.2">
      <c r="B145" s="1"/>
    </row>
    <row r="146" spans="2:20" x14ac:dyDescent="0.2">
      <c r="B146" s="1"/>
      <c r="S146" s="3"/>
      <c r="T146" s="3"/>
    </row>
    <row r="147" spans="2:20" x14ac:dyDescent="0.2">
      <c r="B147" s="1"/>
      <c r="S147" s="3"/>
      <c r="T147" s="3"/>
    </row>
    <row r="190" spans="1:4" x14ac:dyDescent="0.2">
      <c r="A190" s="24"/>
    </row>
    <row r="191" spans="1:4" x14ac:dyDescent="0.2">
      <c r="D191" s="19"/>
    </row>
    <row r="192" spans="1:4" x14ac:dyDescent="0.2">
      <c r="A192" s="4"/>
    </row>
    <row r="193" spans="1:20" x14ac:dyDescent="0.2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S193" s="2"/>
      <c r="T193" s="2"/>
    </row>
    <row r="194" spans="1:20" x14ac:dyDescent="0.2">
      <c r="B194" s="1"/>
    </row>
    <row r="195" spans="1:20" x14ac:dyDescent="0.2">
      <c r="B195" s="1"/>
    </row>
    <row r="196" spans="1:20" x14ac:dyDescent="0.2">
      <c r="B196" s="1"/>
    </row>
    <row r="197" spans="1:20" x14ac:dyDescent="0.2">
      <c r="B197" s="1"/>
      <c r="S197" s="3"/>
      <c r="T197" s="3"/>
    </row>
    <row r="198" spans="1:20" x14ac:dyDescent="0.2">
      <c r="B198" s="1"/>
      <c r="S198" s="3"/>
      <c r="T198" s="3"/>
    </row>
    <row r="200" spans="1:20" x14ac:dyDescent="0.2">
      <c r="D200" s="19"/>
      <c r="E200" s="20"/>
    </row>
    <row r="201" spans="1:20" x14ac:dyDescent="0.2">
      <c r="A201" s="4"/>
    </row>
    <row r="202" spans="1:20" x14ac:dyDescent="0.2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S202" s="2"/>
      <c r="T202" s="2"/>
    </row>
    <row r="203" spans="1:20" x14ac:dyDescent="0.2">
      <c r="B203" s="1"/>
    </row>
    <row r="204" spans="1:20" x14ac:dyDescent="0.2">
      <c r="B204" s="1"/>
    </row>
    <row r="205" spans="1:20" x14ac:dyDescent="0.2">
      <c r="B205" s="1"/>
    </row>
    <row r="206" spans="1:20" x14ac:dyDescent="0.2">
      <c r="B206" s="1"/>
      <c r="S206" s="3"/>
      <c r="T206" s="3"/>
    </row>
    <row r="207" spans="1:20" x14ac:dyDescent="0.2">
      <c r="B207" s="1"/>
      <c r="S207" s="3"/>
      <c r="T207" s="3"/>
    </row>
    <row r="209" spans="1:20" x14ac:dyDescent="0.2">
      <c r="B209" s="1"/>
      <c r="D209" s="19"/>
      <c r="E209" s="20"/>
    </row>
    <row r="210" spans="1:20" x14ac:dyDescent="0.2">
      <c r="A210" s="4"/>
    </row>
    <row r="211" spans="1:20" x14ac:dyDescent="0.2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S211" s="2"/>
      <c r="T211" s="2"/>
    </row>
    <row r="212" spans="1:20" x14ac:dyDescent="0.2">
      <c r="B212" s="1"/>
    </row>
    <row r="213" spans="1:20" x14ac:dyDescent="0.2">
      <c r="B213" s="1"/>
    </row>
    <row r="214" spans="1:20" x14ac:dyDescent="0.2">
      <c r="B214" s="1"/>
    </row>
    <row r="215" spans="1:20" x14ac:dyDescent="0.2">
      <c r="B215" s="1"/>
      <c r="S215" s="3"/>
      <c r="T215" s="3"/>
    </row>
    <row r="216" spans="1:20" x14ac:dyDescent="0.2">
      <c r="B216" s="1"/>
      <c r="S216" s="3"/>
      <c r="T216" s="3"/>
    </row>
    <row r="218" spans="1:20" x14ac:dyDescent="0.2">
      <c r="A218" s="4"/>
      <c r="D218" s="19"/>
      <c r="E218" s="21"/>
    </row>
    <row r="220" spans="1:20" x14ac:dyDescent="0.2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S220" s="2"/>
      <c r="T220" s="2"/>
    </row>
    <row r="221" spans="1:20" x14ac:dyDescent="0.2">
      <c r="B221" s="1"/>
    </row>
    <row r="222" spans="1:20" x14ac:dyDescent="0.2">
      <c r="B222" s="1"/>
    </row>
    <row r="223" spans="1:20" x14ac:dyDescent="0.2">
      <c r="B223" s="1"/>
    </row>
    <row r="224" spans="1:20" x14ac:dyDescent="0.2">
      <c r="B224" s="1"/>
      <c r="S224" s="3"/>
      <c r="T224" s="3"/>
    </row>
    <row r="225" spans="1:20" x14ac:dyDescent="0.2">
      <c r="B225" s="1"/>
      <c r="S225" s="3"/>
      <c r="T225" s="3"/>
    </row>
    <row r="227" spans="1:20" x14ac:dyDescent="0.2">
      <c r="A227" s="4"/>
      <c r="D227" s="20"/>
      <c r="E227" s="20"/>
    </row>
    <row r="229" spans="1:20" x14ac:dyDescent="0.2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S229" s="2"/>
      <c r="T229" s="2"/>
    </row>
    <row r="230" spans="1:20" x14ac:dyDescent="0.2">
      <c r="B230" s="1"/>
    </row>
    <row r="231" spans="1:20" x14ac:dyDescent="0.2">
      <c r="B231" s="1"/>
    </row>
    <row r="232" spans="1:20" x14ac:dyDescent="0.2">
      <c r="B232" s="1"/>
    </row>
    <row r="233" spans="1:20" x14ac:dyDescent="0.2">
      <c r="B233" s="1"/>
      <c r="S233" s="3"/>
      <c r="T233" s="3"/>
    </row>
    <row r="234" spans="1:20" x14ac:dyDescent="0.2">
      <c r="B234" s="1"/>
      <c r="S234" s="3"/>
      <c r="T234" s="3"/>
    </row>
    <row r="236" spans="1:20" x14ac:dyDescent="0.2">
      <c r="A236" s="4"/>
      <c r="D236" s="35"/>
      <c r="E236" s="35"/>
    </row>
    <row r="238" spans="1:20" x14ac:dyDescent="0.2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S238" s="2"/>
      <c r="T238" s="2"/>
    </row>
    <row r="239" spans="1:20" x14ac:dyDescent="0.2">
      <c r="B239" s="1"/>
      <c r="S239" s="3"/>
      <c r="T239" s="3"/>
    </row>
    <row r="240" spans="1:20" x14ac:dyDescent="0.2">
      <c r="B240" s="1"/>
      <c r="S240" s="3"/>
      <c r="T240" s="3"/>
    </row>
    <row r="241" spans="2:20" x14ac:dyDescent="0.2">
      <c r="B241" s="1"/>
      <c r="S241" s="3"/>
      <c r="T241" s="3"/>
    </row>
    <row r="242" spans="2:20" x14ac:dyDescent="0.2">
      <c r="B242" s="1"/>
      <c r="S242" s="3"/>
      <c r="T242" s="3"/>
    </row>
    <row r="243" spans="2:20" x14ac:dyDescent="0.2">
      <c r="B243" s="1"/>
      <c r="S243" s="3"/>
      <c r="T243" s="3"/>
    </row>
  </sheetData>
  <mergeCells count="3">
    <mergeCell ref="D1:H1"/>
    <mergeCell ref="D14:E14"/>
    <mergeCell ref="D236:E236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9AB3-FA85-184D-BFA6-5A9944DD2B3D}">
  <dimension ref="A1:O63"/>
  <sheetViews>
    <sheetView zoomScale="99" workbookViewId="0">
      <selection activeCell="K20" sqref="K20"/>
    </sheetView>
  </sheetViews>
  <sheetFormatPr baseColWidth="10" defaultRowHeight="16" x14ac:dyDescent="0.2"/>
  <cols>
    <col min="1" max="1" width="56.83203125" customWidth="1"/>
    <col min="15" max="15" width="16.83203125" customWidth="1"/>
    <col min="25" max="25" width="10.83203125" customWidth="1"/>
  </cols>
  <sheetData>
    <row r="1" spans="1:11" s="30" customFormat="1" x14ac:dyDescent="0.2"/>
    <row r="2" spans="1:11" s="30" customFormat="1" x14ac:dyDescent="0.2"/>
    <row r="3" spans="1:11" s="30" customFormat="1" x14ac:dyDescent="0.2"/>
    <row r="4" spans="1:11" x14ac:dyDescent="0.2">
      <c r="A4" s="2" t="s">
        <v>62</v>
      </c>
      <c r="B4" s="1" t="s">
        <v>9</v>
      </c>
      <c r="C4" s="31">
        <v>10</v>
      </c>
      <c r="D4" s="1" t="s">
        <v>27</v>
      </c>
      <c r="E4" s="3">
        <v>10</v>
      </c>
      <c r="F4" s="1" t="s">
        <v>61</v>
      </c>
      <c r="G4">
        <v>3</v>
      </c>
      <c r="H4" s="1" t="s">
        <v>34</v>
      </c>
      <c r="I4">
        <v>1</v>
      </c>
      <c r="J4" s="1" t="s">
        <v>36</v>
      </c>
      <c r="K4">
        <v>1</v>
      </c>
    </row>
    <row r="5" spans="1:11" x14ac:dyDescent="0.2">
      <c r="B5" s="1" t="s">
        <v>10</v>
      </c>
      <c r="C5" s="31">
        <v>200</v>
      </c>
      <c r="D5" s="1" t="s">
        <v>33</v>
      </c>
      <c r="E5" s="3">
        <v>1000</v>
      </c>
      <c r="H5" s="1" t="s">
        <v>35</v>
      </c>
      <c r="I5">
        <v>900</v>
      </c>
      <c r="J5" s="1" t="s">
        <v>37</v>
      </c>
      <c r="K5">
        <v>519.61500000000001</v>
      </c>
    </row>
    <row r="6" spans="1:11" x14ac:dyDescent="0.2">
      <c r="D6" s="1" t="s">
        <v>42</v>
      </c>
      <c r="E6">
        <f>E5/E4</f>
        <v>100</v>
      </c>
    </row>
    <row r="8" spans="1:11" x14ac:dyDescent="0.2">
      <c r="A8" s="46"/>
      <c r="B8" s="56" t="s">
        <v>44</v>
      </c>
      <c r="C8" s="56"/>
      <c r="D8" s="56" t="s">
        <v>38</v>
      </c>
      <c r="E8" s="56"/>
      <c r="F8" s="56" t="s">
        <v>39</v>
      </c>
      <c r="G8" s="57"/>
    </row>
    <row r="9" spans="1:11" s="30" customFormat="1" x14ac:dyDescent="0.2">
      <c r="A9" s="58"/>
      <c r="B9" s="59" t="s">
        <v>63</v>
      </c>
      <c r="C9" s="59" t="s">
        <v>17</v>
      </c>
      <c r="D9" s="59" t="s">
        <v>63</v>
      </c>
      <c r="E9" s="59" t="s">
        <v>17</v>
      </c>
      <c r="F9" s="59" t="s">
        <v>63</v>
      </c>
      <c r="G9" s="60" t="s">
        <v>17</v>
      </c>
    </row>
    <row r="10" spans="1:11" x14ac:dyDescent="0.2">
      <c r="A10" s="47" t="s">
        <v>28</v>
      </c>
      <c r="B10" s="12">
        <f>$E$5-D36</f>
        <v>900</v>
      </c>
      <c r="C10" s="12">
        <f>$E$5/D36</f>
        <v>10</v>
      </c>
      <c r="D10" s="12">
        <f>$E$5-I36</f>
        <v>900</v>
      </c>
      <c r="E10" s="12">
        <f>$E$5/I36</f>
        <v>10</v>
      </c>
      <c r="F10" s="12">
        <f>$E$5-N36</f>
        <v>900</v>
      </c>
      <c r="G10" s="48">
        <f>$E$5/N36</f>
        <v>10</v>
      </c>
    </row>
    <row r="11" spans="1:11" x14ac:dyDescent="0.2">
      <c r="A11" s="47" t="s">
        <v>29</v>
      </c>
      <c r="B11" s="12"/>
      <c r="C11" s="12">
        <f>E38/E35</f>
        <v>99.999999999999957</v>
      </c>
      <c r="D11" s="12"/>
      <c r="E11" s="12">
        <f>J38/J35</f>
        <v>1.2075836251660428</v>
      </c>
      <c r="F11" s="12"/>
      <c r="G11" s="48">
        <f>O38/O35</f>
        <v>1.0366531256139973</v>
      </c>
    </row>
    <row r="12" spans="1:11" x14ac:dyDescent="0.2">
      <c r="A12" s="47" t="s">
        <v>32</v>
      </c>
      <c r="B12" s="12">
        <f>C38-C34</f>
        <v>1.5910358474628552</v>
      </c>
      <c r="C12" s="12">
        <f>C38/C34</f>
        <v>1.1892071150027212</v>
      </c>
      <c r="D12" s="12">
        <f>H38-H34</f>
        <v>0.90909090909090828</v>
      </c>
      <c r="E12" s="12">
        <f>H38/H34</f>
        <v>1.0999999999999999</v>
      </c>
      <c r="F12" s="12">
        <f>M38-M34</f>
        <v>0.49618114727698348</v>
      </c>
      <c r="G12" s="48">
        <f>M38/M34</f>
        <v>1.0522086073994159</v>
      </c>
    </row>
    <row r="13" spans="1:11" x14ac:dyDescent="0.2">
      <c r="A13" s="47" t="s">
        <v>30</v>
      </c>
      <c r="B13" s="12">
        <f>C37-C38</f>
        <v>7.7827941003892285</v>
      </c>
      <c r="C13" s="12">
        <f>C37/C38</f>
        <v>1.7782794100389228</v>
      </c>
      <c r="D13" s="12">
        <f>H37-H38</f>
        <v>0.98901098901098905</v>
      </c>
      <c r="E13" s="12">
        <f>H37/H38</f>
        <v>1.098901098901099</v>
      </c>
      <c r="F13" s="12">
        <f>M37-M38</f>
        <v>0.18161640219271646</v>
      </c>
      <c r="G13" s="48">
        <f>M37/M38</f>
        <v>1.0181616402192717</v>
      </c>
    </row>
    <row r="14" spans="1:11" x14ac:dyDescent="0.2">
      <c r="A14" s="49" t="s">
        <v>31</v>
      </c>
      <c r="B14" s="50">
        <f>C38-C33</f>
        <v>7.3408520515275058</v>
      </c>
      <c r="C14" s="50">
        <f>C38/C33</f>
        <v>3.7606030930863938</v>
      </c>
      <c r="D14" s="50">
        <f>H38-H33</f>
        <v>2.4718181818181817</v>
      </c>
      <c r="E14" s="50">
        <f>H38/H33</f>
        <v>1.328341987682647</v>
      </c>
      <c r="F14" s="50">
        <f>M38-M33</f>
        <v>0.83220933029646105</v>
      </c>
      <c r="G14" s="51">
        <f>M38/M33</f>
        <v>1.0907753416585559</v>
      </c>
    </row>
    <row r="29" spans="2:15" x14ac:dyDescent="0.2">
      <c r="B29" s="5"/>
    </row>
    <row r="30" spans="2:15" ht="17" thickBot="1" x14ac:dyDescent="0.25">
      <c r="B30" s="5"/>
    </row>
    <row r="31" spans="2:15" x14ac:dyDescent="0.2">
      <c r="B31" s="6" t="s">
        <v>44</v>
      </c>
      <c r="C31" s="7"/>
      <c r="D31" s="7"/>
      <c r="E31" s="8"/>
      <c r="G31" s="6" t="s">
        <v>38</v>
      </c>
      <c r="H31" s="7"/>
      <c r="I31" s="7"/>
      <c r="J31" s="8"/>
      <c r="L31" s="6" t="s">
        <v>39</v>
      </c>
      <c r="M31" s="7"/>
      <c r="N31" s="7"/>
      <c r="O31" s="8"/>
    </row>
    <row r="32" spans="2:15" x14ac:dyDescent="0.2">
      <c r="B32" s="9"/>
      <c r="C32" s="10" t="s">
        <v>40</v>
      </c>
      <c r="D32" s="10" t="s">
        <v>41</v>
      </c>
      <c r="E32" s="11" t="s">
        <v>43</v>
      </c>
      <c r="G32" s="9"/>
      <c r="H32" s="10" t="s">
        <v>40</v>
      </c>
      <c r="I32" s="10" t="s">
        <v>41</v>
      </c>
      <c r="J32" s="11" t="s">
        <v>43</v>
      </c>
      <c r="L32" s="9"/>
      <c r="M32" s="10" t="s">
        <v>40</v>
      </c>
      <c r="N32" s="10" t="s">
        <v>41</v>
      </c>
      <c r="O32" s="11" t="s">
        <v>43</v>
      </c>
    </row>
    <row r="33" spans="2:15" x14ac:dyDescent="0.2">
      <c r="B33" s="9" t="s">
        <v>11</v>
      </c>
      <c r="C33" s="12">
        <f>E4*(((C4^2)/(E6*C5))^(1/($G$4+1)))</f>
        <v>2.6591479484724942</v>
      </c>
      <c r="D33" s="12">
        <f>$C$33*$C$5</f>
        <v>531.82958969449885</v>
      </c>
      <c r="E33" s="13">
        <f>D33*(C33^$G$4)</f>
        <v>9999.9999999999982</v>
      </c>
      <c r="G33" s="9" t="s">
        <v>11</v>
      </c>
      <c r="H33" s="12">
        <f>H35 * (C4 + (I5/I4)) / (C5 + (I5 / I4))</f>
        <v>7.5281818181818183</v>
      </c>
      <c r="I33" s="12">
        <f>$H$33*$C$5</f>
        <v>1505.6363636363637</v>
      </c>
      <c r="J33" s="13">
        <f>($I$4*I33)+($I$5*H33)</f>
        <v>8281</v>
      </c>
      <c r="L33" s="9" t="s">
        <v>11</v>
      </c>
      <c r="M33" s="12">
        <f>(($M$35^2  * ( ($C$4^2 + ($K$5/$K$4)^2) / ($C$5^2 + ($K$5/$K$4)^2)))^(1/2)  )</f>
        <v>9.167790669703539</v>
      </c>
      <c r="N33" s="12">
        <f>$M$33*$C$5</f>
        <v>1833.5581339407079</v>
      </c>
      <c r="O33" s="17">
        <f>SQRT(($K$4*N33)^2+($K$5*M33)^2)</f>
        <v>5104.4077448224771</v>
      </c>
    </row>
    <row r="34" spans="2:15" x14ac:dyDescent="0.2">
      <c r="B34" s="9" t="s">
        <v>12</v>
      </c>
      <c r="C34" s="12">
        <f>E4*((E6/C5)^(1/($G$4+1)))</f>
        <v>8.4089641525371448</v>
      </c>
      <c r="D34" s="12">
        <f>$C$34*$C$5</f>
        <v>1681.792830507429</v>
      </c>
      <c r="E34" s="13">
        <f t="shared" ref="E34:E38" si="0">D34*(C34^$G$4)</f>
        <v>999999.99999999965</v>
      </c>
      <c r="G34" s="9" t="s">
        <v>12</v>
      </c>
      <c r="H34" s="12">
        <f>E4 * (E6  + (I5/I4)) / (C5 + (I5 /I4))</f>
        <v>9.0909090909090917</v>
      </c>
      <c r="I34" s="12">
        <f>$H$34*$C$5</f>
        <v>1818.1818181818182</v>
      </c>
      <c r="J34" s="13">
        <f>($I$4*I34)+($I$5*H34)</f>
        <v>10000.000000000002</v>
      </c>
      <c r="L34" s="9" t="s">
        <v>12</v>
      </c>
      <c r="M34" s="12">
        <f>( ( $E$4^2 * ( ( $E$6^2 + ($K$5/$K$4)^2) / ($C$5^2 + ($K$5/$K$4)^2)))^(1/2))</f>
        <v>9.5038188527230165</v>
      </c>
      <c r="N34" s="12">
        <f>$M$34*$C$5</f>
        <v>1900.7637705446034</v>
      </c>
      <c r="O34" s="17">
        <f>SQRT(($K$4*N34)^2+($K$5*M34)^2)</f>
        <v>5291.5002430785162</v>
      </c>
    </row>
    <row r="35" spans="2:15" x14ac:dyDescent="0.2">
      <c r="B35" s="9" t="s">
        <v>13</v>
      </c>
      <c r="C35" s="12">
        <f>E4*((C4/E6)^(1/($G$4+1)))</f>
        <v>5.6234132519034912</v>
      </c>
      <c r="D35" s="12">
        <f>$C$35*$C$4</f>
        <v>56.234132519034915</v>
      </c>
      <c r="E35" s="13">
        <f t="shared" si="0"/>
        <v>10000.000000000004</v>
      </c>
      <c r="G35" s="9" t="s">
        <v>13</v>
      </c>
      <c r="H35" s="12">
        <f>E4 * (C4 + (I5 / I4)) / (E6  + (I5/I4))</f>
        <v>9.1</v>
      </c>
      <c r="I35" s="12">
        <f>$H$35*$C$4</f>
        <v>91</v>
      </c>
      <c r="J35" s="13">
        <f>($I$4*I35)+($I$5*H35)</f>
        <v>8281</v>
      </c>
      <c r="L35" s="9" t="s">
        <v>13</v>
      </c>
      <c r="M35" s="12">
        <f>$E$4 * ( (($K$4 * $C$4)^2 +$K$5^2) / (($K$4 * $E$6)^2 + $K$5^2))^(1/2)</f>
        <v>9.8216232128391692</v>
      </c>
      <c r="N35" s="12">
        <f>$M$35*$C$4</f>
        <v>98.216232128391695</v>
      </c>
      <c r="O35" s="17">
        <f>SQRT(($K$4*N35)^2+($K$5*M35)^2)</f>
        <v>5104.407744822478</v>
      </c>
    </row>
    <row r="36" spans="2:15" x14ac:dyDescent="0.2">
      <c r="B36" s="9" t="s">
        <v>14</v>
      </c>
      <c r="C36" s="12">
        <f>$E$4</f>
        <v>10</v>
      </c>
      <c r="D36" s="12">
        <f>$C$36*$C$4</f>
        <v>100</v>
      </c>
      <c r="E36" s="13">
        <f t="shared" si="0"/>
        <v>100000</v>
      </c>
      <c r="G36" s="9" t="s">
        <v>14</v>
      </c>
      <c r="H36" s="12">
        <f>$E$4</f>
        <v>10</v>
      </c>
      <c r="I36" s="12">
        <f>$H$36*$C$4</f>
        <v>100</v>
      </c>
      <c r="J36" s="13">
        <f>($I$4*I36)+($I$5*H36)</f>
        <v>9100</v>
      </c>
      <c r="L36" s="9" t="s">
        <v>14</v>
      </c>
      <c r="M36" s="12">
        <f>$E$4</f>
        <v>10</v>
      </c>
      <c r="N36" s="12">
        <f>$M$36*$C$4</f>
        <v>100</v>
      </c>
      <c r="O36" s="17">
        <f>SQRT(($K$4*N36)^2+($K$5*M36)^2)</f>
        <v>5197.1121618164061</v>
      </c>
    </row>
    <row r="37" spans="2:15" x14ac:dyDescent="0.2">
      <c r="B37" s="9" t="s">
        <v>15</v>
      </c>
      <c r="C37" s="12">
        <f>E4*((E6/C4)^(1/($G$4+1)))</f>
        <v>17.782794100389228</v>
      </c>
      <c r="D37" s="12">
        <f>$C$37*$C$4</f>
        <v>177.82794100389228</v>
      </c>
      <c r="E37" s="13">
        <f t="shared" si="0"/>
        <v>1000000</v>
      </c>
      <c r="G37" s="9" t="s">
        <v>15</v>
      </c>
      <c r="H37" s="12">
        <f>E4 * (E6  + (I5/I4)) / (C4 + (I5 / I4))</f>
        <v>10.989010989010989</v>
      </c>
      <c r="I37" s="12">
        <f>$H$37*$C$4</f>
        <v>109.8901098901099</v>
      </c>
      <c r="J37" s="13">
        <f>($I$4*I37)+($I$5*H37)</f>
        <v>10000</v>
      </c>
      <c r="L37" s="9" t="s">
        <v>15</v>
      </c>
      <c r="M37" s="12">
        <f>(  ( $E$4^2  * ( ($E$6^2 + ($K$5/$K$4)^2) / ($C$4^2 + ($K$5/$K$4)^2)))^(1/2)  )</f>
        <v>10.181616402192716</v>
      </c>
      <c r="N37" s="12">
        <f>$M$37*$C$4</f>
        <v>101.81616402192716</v>
      </c>
      <c r="O37" s="17">
        <f>SQRT(($K$4*N37)^2+($K$5*M37)^2)</f>
        <v>5291.5002430785171</v>
      </c>
    </row>
    <row r="38" spans="2:15" ht="17" thickBot="1" x14ac:dyDescent="0.25">
      <c r="B38" s="14" t="s">
        <v>16</v>
      </c>
      <c r="C38" s="15">
        <f>$E$4</f>
        <v>10</v>
      </c>
      <c r="D38" s="15">
        <f>$E$5</f>
        <v>1000</v>
      </c>
      <c r="E38" s="16">
        <f t="shared" si="0"/>
        <v>1000000</v>
      </c>
      <c r="G38" s="14" t="s">
        <v>16</v>
      </c>
      <c r="H38" s="15">
        <f>$E$4</f>
        <v>10</v>
      </c>
      <c r="I38" s="15">
        <f>$E$5</f>
        <v>1000</v>
      </c>
      <c r="J38" s="16">
        <f>($I$4*I38)+($I$5*H38)</f>
        <v>10000</v>
      </c>
      <c r="L38" s="14" t="s">
        <v>16</v>
      </c>
      <c r="M38" s="15">
        <f>$E$4</f>
        <v>10</v>
      </c>
      <c r="N38" s="15">
        <f>$E$5</f>
        <v>1000</v>
      </c>
      <c r="O38" s="18">
        <f>SQRT(($K$4*N38)^2+($K$5*M38)^2)</f>
        <v>5291.5002430785162</v>
      </c>
    </row>
    <row r="41" spans="2:15" x14ac:dyDescent="0.2">
      <c r="F41" s="27"/>
    </row>
    <row r="42" spans="2:15" x14ac:dyDescent="0.2">
      <c r="F42" s="27"/>
    </row>
    <row r="43" spans="2:15" x14ac:dyDescent="0.2">
      <c r="F43" s="27"/>
    </row>
    <row r="44" spans="2:15" x14ac:dyDescent="0.2">
      <c r="F44" s="27"/>
    </row>
    <row r="45" spans="2:15" x14ac:dyDescent="0.2">
      <c r="F45" s="27"/>
    </row>
    <row r="47" spans="2:15" x14ac:dyDescent="0.2">
      <c r="C47" s="1"/>
      <c r="D47" s="5"/>
    </row>
    <row r="48" spans="2:15" x14ac:dyDescent="0.2">
      <c r="C48" s="1"/>
      <c r="D48" s="5"/>
    </row>
    <row r="49" spans="3:5" x14ac:dyDescent="0.2">
      <c r="C49" s="1"/>
      <c r="D49" s="5"/>
    </row>
    <row r="50" spans="3:5" x14ac:dyDescent="0.2">
      <c r="C50" s="1"/>
      <c r="D50" s="5"/>
    </row>
    <row r="51" spans="3:5" x14ac:dyDescent="0.2">
      <c r="C51" s="1"/>
      <c r="D51" s="5"/>
    </row>
    <row r="53" spans="3:5" x14ac:dyDescent="0.2">
      <c r="C53" s="1"/>
      <c r="D53" s="5"/>
    </row>
    <row r="54" spans="3:5" x14ac:dyDescent="0.2">
      <c r="C54" s="1"/>
      <c r="D54" s="5"/>
    </row>
    <row r="55" spans="3:5" x14ac:dyDescent="0.2">
      <c r="C55" s="1"/>
      <c r="D55" s="5"/>
    </row>
    <row r="56" spans="3:5" x14ac:dyDescent="0.2">
      <c r="C56" s="1"/>
      <c r="D56" s="5"/>
    </row>
    <row r="57" spans="3:5" x14ac:dyDescent="0.2">
      <c r="C57" s="1"/>
      <c r="D57" s="5"/>
    </row>
    <row r="59" spans="3:5" x14ac:dyDescent="0.2">
      <c r="C59" s="25"/>
      <c r="D59" s="26"/>
      <c r="E59" s="27"/>
    </row>
    <row r="60" spans="3:5" x14ac:dyDescent="0.2">
      <c r="C60" s="25"/>
      <c r="D60" s="26"/>
      <c r="E60" s="27"/>
    </row>
    <row r="61" spans="3:5" x14ac:dyDescent="0.2">
      <c r="C61" s="25"/>
      <c r="D61" s="26"/>
      <c r="E61" s="27"/>
    </row>
    <row r="62" spans="3:5" x14ac:dyDescent="0.2">
      <c r="C62" s="25"/>
      <c r="D62" s="26"/>
      <c r="E62" s="27"/>
    </row>
    <row r="63" spans="3:5" x14ac:dyDescent="0.2">
      <c r="C63" s="25"/>
      <c r="D63" s="26"/>
      <c r="E63" s="27"/>
    </row>
  </sheetData>
  <mergeCells count="3">
    <mergeCell ref="B8:C8"/>
    <mergeCell ref="D8:E8"/>
    <mergeCell ref="F8:G8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9D0C-30D3-FE49-A263-2FC1634D16E3}">
  <dimension ref="A2:N55"/>
  <sheetViews>
    <sheetView tabSelected="1" zoomScale="117" workbookViewId="0">
      <selection activeCell="C12" sqref="C12"/>
    </sheetView>
  </sheetViews>
  <sheetFormatPr baseColWidth="10" defaultRowHeight="16" x14ac:dyDescent="0.2"/>
  <cols>
    <col min="1" max="1" width="10.83203125" style="30"/>
    <col min="2" max="2" width="16" style="30" customWidth="1"/>
    <col min="3" max="3" width="11.6640625" style="30" bestFit="1" customWidth="1"/>
    <col min="4" max="8" width="10.83203125" style="30"/>
    <col min="9" max="9" width="11" style="30" bestFit="1" customWidth="1"/>
    <col min="10" max="10" width="11.6640625" style="30" bestFit="1" customWidth="1"/>
    <col min="11" max="16384" width="10.83203125" style="30"/>
  </cols>
  <sheetData>
    <row r="2" spans="1:14" ht="17" thickBot="1" x14ac:dyDescent="0.25"/>
    <row r="3" spans="1:14" ht="17" thickTop="1" x14ac:dyDescent="0.2">
      <c r="A3" s="2" t="s">
        <v>62</v>
      </c>
      <c r="H3" s="36"/>
      <c r="I3" s="37" t="s">
        <v>40</v>
      </c>
      <c r="J3" s="38" t="s">
        <v>41</v>
      </c>
    </row>
    <row r="4" spans="1:14" x14ac:dyDescent="0.2">
      <c r="B4" s="1" t="s">
        <v>9</v>
      </c>
      <c r="C4" s="30">
        <v>10</v>
      </c>
      <c r="H4" s="39" t="s">
        <v>11</v>
      </c>
      <c r="I4" s="12">
        <f>C7*(((C4^2)/(C9*C5))^(1/($C$11+1)))</f>
        <v>2.6591479484724942</v>
      </c>
      <c r="J4" s="40">
        <f>$I$4*$C$5</f>
        <v>531.82958969449885</v>
      </c>
      <c r="M4" s="3"/>
      <c r="N4" s="3"/>
    </row>
    <row r="5" spans="1:14" x14ac:dyDescent="0.2">
      <c r="B5" s="1" t="s">
        <v>10</v>
      </c>
      <c r="C5" s="30">
        <v>200</v>
      </c>
      <c r="H5" s="39" t="s">
        <v>12</v>
      </c>
      <c r="I5" s="12">
        <f>C7*((C9/C5)^(1/($C$11+1)))</f>
        <v>8.4089641525371448</v>
      </c>
      <c r="J5" s="40">
        <f>$I$5*$C$5</f>
        <v>1681.792830507429</v>
      </c>
      <c r="M5" s="3"/>
      <c r="N5" s="3"/>
    </row>
    <row r="6" spans="1:14" x14ac:dyDescent="0.2">
      <c r="H6" s="39" t="s">
        <v>13</v>
      </c>
      <c r="I6" s="12">
        <f>C7*((C4/C9)^(1/($C$11+1)))</f>
        <v>5.6234132519034912</v>
      </c>
      <c r="J6" s="40">
        <f>$I$6*$C$4</f>
        <v>56.234132519034915</v>
      </c>
      <c r="M6" s="3"/>
      <c r="N6" s="3"/>
    </row>
    <row r="7" spans="1:14" x14ac:dyDescent="0.2">
      <c r="B7" s="1" t="s">
        <v>7</v>
      </c>
      <c r="C7" s="30">
        <v>10</v>
      </c>
      <c r="H7" s="39" t="s">
        <v>14</v>
      </c>
      <c r="I7" s="12">
        <f>$C$7</f>
        <v>10</v>
      </c>
      <c r="J7" s="40">
        <f>$I$7*$C$4</f>
        <v>100</v>
      </c>
      <c r="M7" s="3"/>
      <c r="N7" s="3"/>
    </row>
    <row r="8" spans="1:14" x14ac:dyDescent="0.2">
      <c r="B8" s="1" t="s">
        <v>8</v>
      </c>
      <c r="C8" s="30">
        <v>1000</v>
      </c>
      <c r="H8" s="39" t="s">
        <v>15</v>
      </c>
      <c r="I8" s="12">
        <f>C7*((C9/C4)^(1/($C$11+1)))</f>
        <v>17.782794100389228</v>
      </c>
      <c r="J8" s="40">
        <f>$I$8*$C$4</f>
        <v>177.82794100389228</v>
      </c>
      <c r="M8" s="3"/>
      <c r="N8" s="3"/>
    </row>
    <row r="9" spans="1:14" ht="17" thickBot="1" x14ac:dyDescent="0.25">
      <c r="B9" s="1" t="s">
        <v>19</v>
      </c>
      <c r="C9" s="30">
        <f>C8/C7</f>
        <v>100</v>
      </c>
      <c r="H9" s="41" t="s">
        <v>16</v>
      </c>
      <c r="I9" s="42">
        <f>$C$7</f>
        <v>10</v>
      </c>
      <c r="J9" s="43">
        <f>$C$8</f>
        <v>1000</v>
      </c>
      <c r="M9" s="3"/>
      <c r="N9" s="3"/>
    </row>
    <row r="10" spans="1:14" ht="17" thickTop="1" x14ac:dyDescent="0.2"/>
    <row r="11" spans="1:14" x14ac:dyDescent="0.2">
      <c r="B11" s="1" t="s">
        <v>60</v>
      </c>
      <c r="C11" s="30">
        <v>3</v>
      </c>
    </row>
    <row r="28" spans="2:5" x14ac:dyDescent="0.2">
      <c r="B28" s="30" t="s">
        <v>22</v>
      </c>
    </row>
    <row r="29" spans="2:5" x14ac:dyDescent="0.2">
      <c r="C29" s="30" t="s">
        <v>17</v>
      </c>
      <c r="D29" s="30" t="s">
        <v>5</v>
      </c>
      <c r="E29" s="30" t="s">
        <v>6</v>
      </c>
    </row>
    <row r="30" spans="2:5" x14ac:dyDescent="0.2">
      <c r="C30" s="3">
        <f>MIN(I4:I9)-20</f>
        <v>-17.340852051527506</v>
      </c>
      <c r="D30" s="30">
        <f>C30*$C$4</f>
        <v>-173.40852051527506</v>
      </c>
      <c r="E30" s="30">
        <f>C30*$C$5</f>
        <v>-3468.1704103055013</v>
      </c>
    </row>
    <row r="31" spans="2:5" x14ac:dyDescent="0.2">
      <c r="C31" s="3">
        <f>MAX(I4:I9)+20</f>
        <v>37.782794100389225</v>
      </c>
      <c r="D31" s="30">
        <f t="shared" ref="D31" si="0">C31*$C$4</f>
        <v>377.82794100389225</v>
      </c>
      <c r="E31" s="30">
        <f t="shared" ref="E31" si="1">C31*$C$5</f>
        <v>7556.5588200778448</v>
      </c>
    </row>
    <row r="33" spans="2:4" x14ac:dyDescent="0.2">
      <c r="B33" s="30" t="s">
        <v>23</v>
      </c>
    </row>
    <row r="34" spans="2:4" x14ac:dyDescent="0.2">
      <c r="C34" s="30" t="s">
        <v>17</v>
      </c>
      <c r="D34" s="30" t="s">
        <v>18</v>
      </c>
    </row>
    <row r="35" spans="2:4" x14ac:dyDescent="0.2">
      <c r="C35" s="3">
        <f>MIN(I4,I6)</f>
        <v>2.6591479484724942</v>
      </c>
      <c r="D35" s="30">
        <f>($C$4*$I$6)*(($I$6/C35)^$C$11)</f>
        <v>531.82958969449919</v>
      </c>
    </row>
    <row r="36" spans="2:4" x14ac:dyDescent="0.2">
      <c r="C36" s="3">
        <f>AVERAGE(C35,C37)</f>
        <v>3.4002142743302435</v>
      </c>
      <c r="D36" s="30">
        <f>($C$4*$I$6)*(($I$6/C36)^$C$11)</f>
        <v>254.37893299473816</v>
      </c>
    </row>
    <row r="37" spans="2:4" x14ac:dyDescent="0.2">
      <c r="C37" s="3">
        <f>AVERAGE(C35,C39)</f>
        <v>4.1412806001879927</v>
      </c>
      <c r="D37" s="30">
        <f>($C$4*$I$6)*(($I$6/C37)^$C$11)</f>
        <v>140.79785099754648</v>
      </c>
    </row>
    <row r="38" spans="2:4" x14ac:dyDescent="0.2">
      <c r="C38" s="3">
        <f>AVERAGE(C37,C39)</f>
        <v>4.8823469260457415</v>
      </c>
      <c r="D38" s="30">
        <f>($C$4*$I$6)*(($I$6/C38)^$C$11)</f>
        <v>85.923921997348941</v>
      </c>
    </row>
    <row r="39" spans="2:4" x14ac:dyDescent="0.2">
      <c r="C39" s="3">
        <f>MAX(I4,I6)</f>
        <v>5.6234132519034912</v>
      </c>
      <c r="D39" s="30">
        <f>($C$4*$I$6)*(($I$6/C39)^$C$11)</f>
        <v>56.234132519034915</v>
      </c>
    </row>
    <row r="41" spans="2:4" x14ac:dyDescent="0.2">
      <c r="B41" s="30" t="s">
        <v>24</v>
      </c>
    </row>
    <row r="42" spans="2:4" x14ac:dyDescent="0.2">
      <c r="C42" s="30" t="s">
        <v>17</v>
      </c>
      <c r="D42" s="30" t="s">
        <v>18</v>
      </c>
    </row>
    <row r="43" spans="2:4" x14ac:dyDescent="0.2">
      <c r="C43" s="3">
        <f>MIN(I5,I8)</f>
        <v>8.4089641525371448</v>
      </c>
      <c r="D43" s="30">
        <f>($C$4*$I$8)*(($I$8/C43)^$C$11)</f>
        <v>1681.7928305074302</v>
      </c>
    </row>
    <row r="44" spans="2:4" x14ac:dyDescent="0.2">
      <c r="C44" s="3">
        <f>AVERAGE(C43,C45)</f>
        <v>10.752421639500167</v>
      </c>
      <c r="D44" s="30">
        <f>($C$4*$I$8)*(($I$8/C44)^$C$11)</f>
        <v>804.4168170267294</v>
      </c>
    </row>
    <row r="45" spans="2:4" x14ac:dyDescent="0.2">
      <c r="C45" s="3">
        <f>AVERAGE(C43,C47)</f>
        <v>13.095879126463187</v>
      </c>
      <c r="D45" s="30">
        <f>($C$4*$I$8)*(($I$8/C45)^$C$11)</f>
        <v>445.24189880925735</v>
      </c>
    </row>
    <row r="46" spans="2:4" x14ac:dyDescent="0.2">
      <c r="C46" s="3">
        <f>AVERAGE(C45,C47)</f>
        <v>15.439336613426207</v>
      </c>
      <c r="D46" s="30">
        <f>($C$4*$I$8)*(($I$8/C46)^$C$11)</f>
        <v>271.71529900626689</v>
      </c>
    </row>
    <row r="47" spans="2:4" x14ac:dyDescent="0.2">
      <c r="C47" s="3">
        <f>MAX(I5,I8)</f>
        <v>17.782794100389228</v>
      </c>
      <c r="D47" s="30">
        <f>($C$4*$I$8)*(($I$8/C47)^$C$11)</f>
        <v>177.82794100389228</v>
      </c>
    </row>
    <row r="49" spans="2:4" x14ac:dyDescent="0.2">
      <c r="B49" s="30" t="s">
        <v>25</v>
      </c>
    </row>
    <row r="50" spans="2:4" x14ac:dyDescent="0.2">
      <c r="C50" s="30" t="s">
        <v>17</v>
      </c>
      <c r="D50" s="30" t="s">
        <v>18</v>
      </c>
    </row>
    <row r="51" spans="2:4" x14ac:dyDescent="0.2">
      <c r="C51" s="3">
        <f>MIN(I6,I9)</f>
        <v>5.6234132519034912</v>
      </c>
      <c r="D51" s="30">
        <f>$C$9*C51*((C51/$C$7)^($C$11+1))</f>
        <v>56.234132519034915</v>
      </c>
    </row>
    <row r="52" spans="2:4" x14ac:dyDescent="0.2">
      <c r="C52" s="3">
        <f>AVERAGE(C51,C53)</f>
        <v>6.7175599389276179</v>
      </c>
      <c r="D52" s="30">
        <f>$C$9*C52*((C52/$C$7)^($C$11+1))</f>
        <v>136.79107137944041</v>
      </c>
    </row>
    <row r="53" spans="2:4" x14ac:dyDescent="0.2">
      <c r="C53" s="3">
        <f>AVERAGE(C51,C55)</f>
        <v>7.8117066259517456</v>
      </c>
      <c r="D53" s="30">
        <f>$C$9*C53*((C53/$C$7)^($C$11+1))</f>
        <v>290.89055714619008</v>
      </c>
    </row>
    <row r="54" spans="2:4" x14ac:dyDescent="0.2">
      <c r="C54" s="3">
        <f>AVERAGE(C53,C55)</f>
        <v>8.9058533129758732</v>
      </c>
      <c r="D54" s="30">
        <f>$C$9*C54*((C54/$C$7)^($C$11+1))</f>
        <v>560.24461166944059</v>
      </c>
    </row>
    <row r="55" spans="2:4" x14ac:dyDescent="0.2">
      <c r="C55" s="3">
        <f>MAX(I6,I9)</f>
        <v>10</v>
      </c>
      <c r="D55" s="30">
        <f>$C$9*C55*((C55/$C$7)^($C$11+1))</f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052D-0CC3-D949-ADDD-1B1EA27B75B3}">
  <dimension ref="A2:J55"/>
  <sheetViews>
    <sheetView zoomScale="117" workbookViewId="0">
      <selection activeCell="E7" sqref="E7"/>
    </sheetView>
  </sheetViews>
  <sheetFormatPr baseColWidth="10" defaultRowHeight="16" x14ac:dyDescent="0.2"/>
  <cols>
    <col min="1" max="1" width="10.83203125" style="30"/>
    <col min="2" max="2" width="16" style="30" customWidth="1"/>
    <col min="3" max="3" width="11.6640625" style="30" bestFit="1" customWidth="1"/>
    <col min="4" max="8" width="10.83203125" style="30"/>
    <col min="9" max="9" width="11" style="30" bestFit="1" customWidth="1"/>
    <col min="10" max="10" width="11.6640625" style="30" bestFit="1" customWidth="1"/>
    <col min="11" max="16384" width="10.83203125" style="30"/>
  </cols>
  <sheetData>
    <row r="2" spans="1:10" ht="17" thickBot="1" x14ac:dyDescent="0.25"/>
    <row r="3" spans="1:10" ht="17" thickTop="1" x14ac:dyDescent="0.2">
      <c r="A3" s="2" t="s">
        <v>62</v>
      </c>
      <c r="H3" s="36"/>
      <c r="I3" s="37" t="s">
        <v>40</v>
      </c>
      <c r="J3" s="38" t="s">
        <v>41</v>
      </c>
    </row>
    <row r="4" spans="1:10" x14ac:dyDescent="0.2">
      <c r="B4" s="1" t="s">
        <v>9</v>
      </c>
      <c r="C4" s="30">
        <v>10</v>
      </c>
      <c r="H4" s="39" t="s">
        <v>11</v>
      </c>
      <c r="I4" s="12">
        <f>I6 * (C4 + (C12/C11)) / (C5 + (C12 /C11))</f>
        <v>7.5281818181818183</v>
      </c>
      <c r="J4" s="40">
        <f>$I$4*$C$5</f>
        <v>1505.6363636363637</v>
      </c>
    </row>
    <row r="5" spans="1:10" x14ac:dyDescent="0.2">
      <c r="B5" s="1" t="s">
        <v>10</v>
      </c>
      <c r="C5" s="30">
        <v>200</v>
      </c>
      <c r="H5" s="39" t="s">
        <v>12</v>
      </c>
      <c r="I5" s="12">
        <f>C7 * (C9  + (C12/C11)) / (C5 + (C12/C11))</f>
        <v>9.0909090909090917</v>
      </c>
      <c r="J5" s="40">
        <f>$I$5*$C$5</f>
        <v>1818.1818181818182</v>
      </c>
    </row>
    <row r="6" spans="1:10" x14ac:dyDescent="0.2">
      <c r="B6" s="1"/>
      <c r="H6" s="39" t="s">
        <v>13</v>
      </c>
      <c r="I6" s="12">
        <f>C7 * (C4 + (C12/C11)) / (C9  + (C12/C11))</f>
        <v>9.1</v>
      </c>
      <c r="J6" s="40">
        <f>$I$6*$C$4</f>
        <v>91</v>
      </c>
    </row>
    <row r="7" spans="1:10" x14ac:dyDescent="0.2">
      <c r="B7" s="1" t="s">
        <v>7</v>
      </c>
      <c r="C7" s="30">
        <v>10</v>
      </c>
      <c r="H7" s="39" t="s">
        <v>14</v>
      </c>
      <c r="I7" s="12">
        <f>$C$7</f>
        <v>10</v>
      </c>
      <c r="J7" s="40">
        <f>$I$7*$C$4</f>
        <v>100</v>
      </c>
    </row>
    <row r="8" spans="1:10" x14ac:dyDescent="0.2">
      <c r="B8" s="1" t="s">
        <v>8</v>
      </c>
      <c r="C8" s="30">
        <v>1000</v>
      </c>
      <c r="H8" s="39" t="s">
        <v>15</v>
      </c>
      <c r="I8" s="12">
        <f>C7 * (C9  + (C12/C11)) / (C4 + (C12/C11))</f>
        <v>10.989010989010989</v>
      </c>
      <c r="J8" s="40">
        <f>$I$8*$C$4</f>
        <v>109.8901098901099</v>
      </c>
    </row>
    <row r="9" spans="1:10" ht="17" thickBot="1" x14ac:dyDescent="0.25">
      <c r="B9" s="1" t="s">
        <v>19</v>
      </c>
      <c r="C9" s="30">
        <f>C8/C7</f>
        <v>100</v>
      </c>
      <c r="H9" s="41" t="s">
        <v>16</v>
      </c>
      <c r="I9" s="42">
        <f>$C$7</f>
        <v>10</v>
      </c>
      <c r="J9" s="43">
        <f>$C$8</f>
        <v>1000</v>
      </c>
    </row>
    <row r="10" spans="1:10" ht="17" thickTop="1" x14ac:dyDescent="0.2">
      <c r="B10" s="1"/>
    </row>
    <row r="11" spans="1:10" x14ac:dyDescent="0.2">
      <c r="B11" s="1" t="s">
        <v>20</v>
      </c>
      <c r="C11" s="30">
        <v>1</v>
      </c>
    </row>
    <row r="12" spans="1:10" x14ac:dyDescent="0.2">
      <c r="B12" s="1" t="s">
        <v>21</v>
      </c>
      <c r="C12" s="30">
        <v>900</v>
      </c>
    </row>
    <row r="28" spans="2:5" x14ac:dyDescent="0.2">
      <c r="B28" s="30" t="s">
        <v>22</v>
      </c>
    </row>
    <row r="29" spans="2:5" x14ac:dyDescent="0.2">
      <c r="C29" s="30" t="s">
        <v>17</v>
      </c>
      <c r="D29" s="30" t="s">
        <v>5</v>
      </c>
      <c r="E29" s="30" t="s">
        <v>6</v>
      </c>
    </row>
    <row r="30" spans="2:5" x14ac:dyDescent="0.2">
      <c r="C30" s="3">
        <f>MIN(I4:I9)-20</f>
        <v>-12.471818181818183</v>
      </c>
      <c r="D30" s="30">
        <f>C30*$C$4</f>
        <v>-124.71818181818182</v>
      </c>
      <c r="E30" s="30">
        <f>C30*$C$5</f>
        <v>-2494.3636363636365</v>
      </c>
    </row>
    <row r="31" spans="2:5" x14ac:dyDescent="0.2">
      <c r="C31" s="3">
        <f>MAX(I4:I9)+20</f>
        <v>30.989010989010989</v>
      </c>
      <c r="D31" s="30">
        <f t="shared" ref="D31" si="0">C31*$C$4</f>
        <v>309.8901098901099</v>
      </c>
      <c r="E31" s="30">
        <f t="shared" ref="E31" si="1">C31*$C$5</f>
        <v>6197.802197802198</v>
      </c>
    </row>
    <row r="33" spans="2:4" x14ac:dyDescent="0.2">
      <c r="B33" s="30" t="s">
        <v>23</v>
      </c>
    </row>
    <row r="34" spans="2:4" x14ac:dyDescent="0.2">
      <c r="C34" s="30" t="s">
        <v>17</v>
      </c>
      <c r="D34" s="30" t="s">
        <v>18</v>
      </c>
    </row>
    <row r="35" spans="2:4" x14ac:dyDescent="0.2">
      <c r="C35" s="3">
        <f>MIN(I4,I6)</f>
        <v>7.5281818181818183</v>
      </c>
      <c r="D35" s="30">
        <f>$I$6*$C$4 + (($C$12/$C$11)*($I$6-C35))</f>
        <v>1505.6363636363633</v>
      </c>
    </row>
    <row r="36" spans="2:4" x14ac:dyDescent="0.2">
      <c r="C36" s="3">
        <f>AVERAGE(C35,C37)</f>
        <v>7.9211363636363643</v>
      </c>
      <c r="D36" s="30">
        <f t="shared" ref="D36:D39" si="2">$I$6*$C$4 + (($C$12/$C$11)*($I$6-C36))</f>
        <v>1151.9772727272718</v>
      </c>
    </row>
    <row r="37" spans="2:4" x14ac:dyDescent="0.2">
      <c r="C37" s="3">
        <f>AVERAGE(C35,C39)</f>
        <v>8.3140909090909094</v>
      </c>
      <c r="D37" s="30">
        <f t="shared" si="2"/>
        <v>798.31818181818119</v>
      </c>
    </row>
    <row r="38" spans="2:4" x14ac:dyDescent="0.2">
      <c r="C38" s="3">
        <f>AVERAGE(C37,C39)</f>
        <v>8.7070454545454545</v>
      </c>
      <c r="D38" s="30">
        <f t="shared" si="2"/>
        <v>444.65909090909059</v>
      </c>
    </row>
    <row r="39" spans="2:4" x14ac:dyDescent="0.2">
      <c r="C39" s="3">
        <f>MAX(I4,I6)</f>
        <v>9.1</v>
      </c>
      <c r="D39" s="30">
        <f t="shared" si="2"/>
        <v>91</v>
      </c>
    </row>
    <row r="41" spans="2:4" x14ac:dyDescent="0.2">
      <c r="B41" s="30" t="s">
        <v>24</v>
      </c>
    </row>
    <row r="42" spans="2:4" x14ac:dyDescent="0.2">
      <c r="C42" s="30" t="s">
        <v>17</v>
      </c>
      <c r="D42" s="30" t="s">
        <v>18</v>
      </c>
    </row>
    <row r="43" spans="2:4" x14ac:dyDescent="0.2">
      <c r="C43" s="3">
        <f>MIN(I5,I8)</f>
        <v>9.0909090909090917</v>
      </c>
      <c r="D43" s="30">
        <f>$I$8*$C$4 + (($C$12/$C$11)*($I$8-C43))</f>
        <v>1818.1818181818176</v>
      </c>
    </row>
    <row r="44" spans="2:4" x14ac:dyDescent="0.2">
      <c r="C44" s="3">
        <f>AVERAGE(C43,C45)</f>
        <v>9.5654345654345647</v>
      </c>
      <c r="D44" s="30">
        <f t="shared" ref="D44:D47" si="3">$I$8*$C$4 + (($C$12/$C$11)*($I$8-C44))</f>
        <v>1391.1088911088918</v>
      </c>
    </row>
    <row r="45" spans="2:4" x14ac:dyDescent="0.2">
      <c r="C45" s="3">
        <f>AVERAGE(C43,C47)</f>
        <v>10.039960039960039</v>
      </c>
      <c r="D45" s="30">
        <f t="shared" si="3"/>
        <v>964.03596403596453</v>
      </c>
    </row>
    <row r="46" spans="2:4" x14ac:dyDescent="0.2">
      <c r="C46" s="3">
        <f>AVERAGE(C45,C47)</f>
        <v>10.514485514485514</v>
      </c>
      <c r="D46" s="30">
        <f t="shared" si="3"/>
        <v>536.96303696303721</v>
      </c>
    </row>
    <row r="47" spans="2:4" x14ac:dyDescent="0.2">
      <c r="C47" s="3">
        <f>MAX(I5,I8)</f>
        <v>10.989010989010989</v>
      </c>
      <c r="D47" s="30">
        <f t="shared" si="3"/>
        <v>109.8901098901099</v>
      </c>
    </row>
    <row r="49" spans="2:4" x14ac:dyDescent="0.2">
      <c r="B49" s="30" t="s">
        <v>25</v>
      </c>
    </row>
    <row r="50" spans="2:4" x14ac:dyDescent="0.2">
      <c r="C50" s="30" t="s">
        <v>17</v>
      </c>
      <c r="D50" s="30" t="s">
        <v>18</v>
      </c>
    </row>
    <row r="51" spans="2:4" x14ac:dyDescent="0.2">
      <c r="C51" s="3">
        <f>MIN(I6,I9)</f>
        <v>9.1</v>
      </c>
      <c r="D51" s="30">
        <f>C51* ((C51/$C$7)*($C$9+($C$12/$C$11)) - ($C$12/$C$11))</f>
        <v>90.999999999998963</v>
      </c>
    </row>
    <row r="52" spans="2:4" x14ac:dyDescent="0.2">
      <c r="C52" s="3">
        <f>AVERAGE(C51,C53)</f>
        <v>9.3249999999999993</v>
      </c>
      <c r="D52" s="30">
        <f t="shared" ref="D52:D55" si="4">C52* ((C52/$C$7)*($C$9+($C$12/$C$11)) - ($C$12/$C$11))</f>
        <v>303.06249999999892</v>
      </c>
    </row>
    <row r="53" spans="2:4" x14ac:dyDescent="0.2">
      <c r="C53" s="3">
        <f>AVERAGE(C51,C55)</f>
        <v>9.5500000000000007</v>
      </c>
      <c r="D53" s="30">
        <f t="shared" si="4"/>
        <v>525.25000000000114</v>
      </c>
    </row>
    <row r="54" spans="2:4" x14ac:dyDescent="0.2">
      <c r="C54" s="3">
        <f>AVERAGE(C53,C55)</f>
        <v>9.7750000000000004</v>
      </c>
      <c r="D54" s="30">
        <f t="shared" si="4"/>
        <v>757.5625</v>
      </c>
    </row>
    <row r="55" spans="2:4" x14ac:dyDescent="0.2">
      <c r="C55" s="3">
        <f>MAX(I6,I9)</f>
        <v>10</v>
      </c>
      <c r="D55" s="30">
        <f t="shared" si="4"/>
        <v>1000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0AFC-307D-8D43-A413-6A965156A4CB}">
  <dimension ref="A1:J55"/>
  <sheetViews>
    <sheetView zoomScale="117" workbookViewId="0">
      <selection activeCell="B5" sqref="B5"/>
    </sheetView>
  </sheetViews>
  <sheetFormatPr baseColWidth="10" defaultRowHeight="16" x14ac:dyDescent="0.2"/>
  <cols>
    <col min="2" max="2" width="16" customWidth="1"/>
    <col min="3" max="3" width="11.6640625" bestFit="1" customWidth="1"/>
    <col min="9" max="9" width="11" bestFit="1" customWidth="1"/>
    <col min="10" max="10" width="11.6640625" bestFit="1" customWidth="1"/>
  </cols>
  <sheetData>
    <row r="1" spans="1:10" s="30" customFormat="1" x14ac:dyDescent="0.2"/>
    <row r="2" spans="1:10" s="30" customFormat="1" ht="17" thickBot="1" x14ac:dyDescent="0.25"/>
    <row r="3" spans="1:10" x14ac:dyDescent="0.2">
      <c r="A3" s="2" t="s">
        <v>62</v>
      </c>
      <c r="H3" s="6"/>
      <c r="I3" s="7" t="s">
        <v>40</v>
      </c>
      <c r="J3" s="8" t="s">
        <v>41</v>
      </c>
    </row>
    <row r="4" spans="1:10" x14ac:dyDescent="0.2">
      <c r="B4" s="1" t="s">
        <v>9</v>
      </c>
      <c r="C4">
        <v>10</v>
      </c>
      <c r="H4" s="9" t="s">
        <v>11</v>
      </c>
      <c r="I4" s="12">
        <f>(($I$6^2  * ( ($C$4^2 + ($C$12/$C$11)^2) / ($C$5^2 + ($C$12/$C$11)^2)))^(1/2)  )</f>
        <v>9.167790669703539</v>
      </c>
      <c r="J4" s="13">
        <f>$I$4*$C$5</f>
        <v>1833.5581339407079</v>
      </c>
    </row>
    <row r="5" spans="1:10" x14ac:dyDescent="0.2">
      <c r="B5" s="1" t="s">
        <v>10</v>
      </c>
      <c r="C5">
        <v>200</v>
      </c>
      <c r="H5" s="9" t="s">
        <v>12</v>
      </c>
      <c r="I5" s="12">
        <f>( ( $C$7^2 * ( ( $C$9^2 + ($C$12/$C$11)^2) / ($C$5^2 + ($C$12/$C$11)^2)))^(1/2))</f>
        <v>9.5038188527230165</v>
      </c>
      <c r="J5" s="13">
        <f>$I$5*$C$5</f>
        <v>1900.7637705446034</v>
      </c>
    </row>
    <row r="6" spans="1:10" x14ac:dyDescent="0.2">
      <c r="B6" s="1"/>
      <c r="H6" s="9" t="s">
        <v>13</v>
      </c>
      <c r="I6" s="12">
        <f>$C$7 * ( (($C$11 * $C$4)^2 +$C$12^2) / (($C$11 * $C$9)^2 + $C$12^2))^(1/2)</f>
        <v>9.8216232128391692</v>
      </c>
      <c r="J6" s="13">
        <f>$I$6*$C$4</f>
        <v>98.216232128391695</v>
      </c>
    </row>
    <row r="7" spans="1:10" x14ac:dyDescent="0.2">
      <c r="B7" s="1" t="s">
        <v>7</v>
      </c>
      <c r="C7">
        <v>10</v>
      </c>
      <c r="H7" s="9" t="s">
        <v>14</v>
      </c>
      <c r="I7" s="12">
        <f>$I$9</f>
        <v>10</v>
      </c>
      <c r="J7" s="13">
        <f>$I$7*$C$4</f>
        <v>100</v>
      </c>
    </row>
    <row r="8" spans="1:10" x14ac:dyDescent="0.2">
      <c r="B8" s="1" t="s">
        <v>8</v>
      </c>
      <c r="C8">
        <v>1000</v>
      </c>
      <c r="H8" s="9" t="s">
        <v>15</v>
      </c>
      <c r="I8" s="12">
        <f>(  ( $C$7^2  * ( ($C$9^2 + ($C$12/$C$11)^2) / ($C$4^2 + ($C$12/$C$11)^2)))^(1/2)  )</f>
        <v>10.181616402192716</v>
      </c>
      <c r="J8" s="13">
        <f>$I$8*$C$4</f>
        <v>101.81616402192716</v>
      </c>
    </row>
    <row r="9" spans="1:10" ht="17" thickBot="1" x14ac:dyDescent="0.25">
      <c r="B9" s="1" t="s">
        <v>19</v>
      </c>
      <c r="C9">
        <f>C8/C7</f>
        <v>100</v>
      </c>
      <c r="H9" s="14" t="s">
        <v>16</v>
      </c>
      <c r="I9" s="15">
        <f>$C$7</f>
        <v>10</v>
      </c>
      <c r="J9" s="16">
        <f>$C$8</f>
        <v>1000</v>
      </c>
    </row>
    <row r="10" spans="1:10" x14ac:dyDescent="0.2">
      <c r="B10" s="1"/>
    </row>
    <row r="11" spans="1:10" x14ac:dyDescent="0.2">
      <c r="B11" s="1" t="s">
        <v>20</v>
      </c>
      <c r="C11">
        <v>1</v>
      </c>
    </row>
    <row r="12" spans="1:10" x14ac:dyDescent="0.2">
      <c r="B12" s="1" t="s">
        <v>21</v>
      </c>
      <c r="C12">
        <v>519.61500000000001</v>
      </c>
    </row>
    <row r="28" spans="2:5" x14ac:dyDescent="0.2">
      <c r="B28" t="s">
        <v>22</v>
      </c>
    </row>
    <row r="29" spans="2:5" x14ac:dyDescent="0.2">
      <c r="C29" t="s">
        <v>17</v>
      </c>
      <c r="D29" t="s">
        <v>5</v>
      </c>
      <c r="E29" t="s">
        <v>6</v>
      </c>
    </row>
    <row r="30" spans="2:5" x14ac:dyDescent="0.2">
      <c r="C30" s="3">
        <f>MIN(I4:I9)-20</f>
        <v>-10.832209330296461</v>
      </c>
      <c r="D30">
        <f>C30*$C$4</f>
        <v>-108.32209330296462</v>
      </c>
      <c r="E30">
        <f>C30*$C$5</f>
        <v>-2166.4418660592924</v>
      </c>
    </row>
    <row r="31" spans="2:5" x14ac:dyDescent="0.2">
      <c r="C31" s="3">
        <f>MAX(I4:I9)+20</f>
        <v>30.181616402192716</v>
      </c>
      <c r="D31">
        <f t="shared" ref="D31" si="0">C31*$C$4</f>
        <v>301.81616402192719</v>
      </c>
      <c r="E31">
        <f t="shared" ref="E31" si="1">C31*$C$5</f>
        <v>6036.3232804385434</v>
      </c>
    </row>
    <row r="33" spans="2:4" x14ac:dyDescent="0.2">
      <c r="B33" t="s">
        <v>23</v>
      </c>
    </row>
    <row r="34" spans="2:4" x14ac:dyDescent="0.2">
      <c r="C34" t="s">
        <v>17</v>
      </c>
      <c r="D34" t="s">
        <v>18</v>
      </c>
    </row>
    <row r="35" spans="2:4" x14ac:dyDescent="0.2">
      <c r="C35" s="3">
        <f>MIN(I4,I6)</f>
        <v>9.167790669703539</v>
      </c>
      <c r="D35">
        <f>((($C$4 * $I$6)^2 + ($C$12 / $C$11)^2 * (($I$6)^2 - (C35)^2) ) ^ (1/2))</f>
        <v>1833.5581339407086</v>
      </c>
    </row>
    <row r="36" spans="2:4" x14ac:dyDescent="0.2">
      <c r="C36" s="3">
        <f>AVERAGE(C35,C37)</f>
        <v>9.3312488054874461</v>
      </c>
      <c r="D36">
        <f>((($C$4 * $I$6)^2 + ($C$12 / $C$11)^2 * (($I$6)^2 - (C36)^2) ) ^ (1/2))</f>
        <v>1595.463943538675</v>
      </c>
    </row>
    <row r="37" spans="2:4" x14ac:dyDescent="0.2">
      <c r="C37" s="3">
        <f>AVERAGE(C35,C39)</f>
        <v>9.4947069412713532</v>
      </c>
      <c r="D37">
        <f>((($C$4 * $I$6)^2 + ($C$12 / $C$11)^2 * (($I$6)^2 - (C37)^2) ) ^ (1/2))</f>
        <v>1309.4452831694896</v>
      </c>
    </row>
    <row r="38" spans="2:4" x14ac:dyDescent="0.2">
      <c r="C38" s="3">
        <f>AVERAGE(C37,C39)</f>
        <v>9.6581650770552621</v>
      </c>
      <c r="D38">
        <f>((($C$4 * $I$6)^2 + ($C$12 / $C$11)^2 * (($I$6)^2 - (C38)^2) ) ^ (1/2))</f>
        <v>932.39513833388185</v>
      </c>
    </row>
    <row r="39" spans="2:4" x14ac:dyDescent="0.2">
      <c r="C39" s="3">
        <f>MAX(I4,I6)</f>
        <v>9.8216232128391692</v>
      </c>
      <c r="D39">
        <f t="shared" ref="D39" si="2">((($C$4 * $I$6)^2 + ($C$12 / $C$11)^2 * (($I$6)^2 - (C39)^2) ) ^ (1/2))</f>
        <v>98.216232128391695</v>
      </c>
    </row>
    <row r="41" spans="2:4" x14ac:dyDescent="0.2">
      <c r="B41" t="s">
        <v>24</v>
      </c>
    </row>
    <row r="42" spans="2:4" x14ac:dyDescent="0.2">
      <c r="C42" t="s">
        <v>17</v>
      </c>
      <c r="D42" t="s">
        <v>18</v>
      </c>
    </row>
    <row r="43" spans="2:4" x14ac:dyDescent="0.2">
      <c r="C43" s="3">
        <f>MIN(I5,I8)</f>
        <v>9.5038188527230165</v>
      </c>
      <c r="D43">
        <f>((($C$9 * $C$7)^2 + ($C$12 / $C$11)^2 * (($C$7)^2 - (C43)^2) ) ^ (1/2))</f>
        <v>1900.7637705446027</v>
      </c>
    </row>
    <row r="44" spans="2:4" x14ac:dyDescent="0.2">
      <c r="C44" s="3">
        <f>AVERAGE(C43,C45)</f>
        <v>9.6732682400904402</v>
      </c>
      <c r="D44">
        <f t="shared" ref="D44:D46" si="3">((($C$9 * $C$7)^2 + ($C$12 / $C$11)^2 * (($C$7)^2 - (C44)^2) ) ^ (1/2))</f>
        <v>1653.9426838738013</v>
      </c>
    </row>
    <row r="45" spans="2:4" x14ac:dyDescent="0.2">
      <c r="C45" s="3">
        <f>AVERAGE(C43,C47)</f>
        <v>9.8427176274578656</v>
      </c>
      <c r="D45">
        <f t="shared" si="3"/>
        <v>1357.4405456181551</v>
      </c>
    </row>
    <row r="46" spans="2:4" x14ac:dyDescent="0.2">
      <c r="C46" s="3">
        <f>AVERAGE(C45,C47)</f>
        <v>10.012167014825291</v>
      </c>
      <c r="D46">
        <f t="shared" si="3"/>
        <v>966.57033446111393</v>
      </c>
    </row>
    <row r="47" spans="2:4" x14ac:dyDescent="0.2">
      <c r="C47" s="3">
        <f>MAX(I5,I8)</f>
        <v>10.181616402192716</v>
      </c>
      <c r="D47">
        <f t="shared" ref="D47" si="4">((($C$9 * $C$7)^2 + ($C$12 / $C$11)^2 * (($C$7)^2 - (C47)^2) ) ^ (1/2))</f>
        <v>101.8161640219043</v>
      </c>
    </row>
    <row r="49" spans="2:4" x14ac:dyDescent="0.2">
      <c r="B49" t="s">
        <v>25</v>
      </c>
    </row>
    <row r="50" spans="2:4" x14ac:dyDescent="0.2">
      <c r="C50" t="s">
        <v>17</v>
      </c>
      <c r="D50" t="s">
        <v>18</v>
      </c>
    </row>
    <row r="51" spans="2:4" x14ac:dyDescent="0.2">
      <c r="C51" s="3">
        <f>MIN(I6,I9)</f>
        <v>9.8216232128391692</v>
      </c>
      <c r="D51">
        <f>( C51  * ((C51/$C$7)^2 * ($C$9^2 + ($C$12 / $C$11)^2 ) - ($C$12 / $C$11)^2 )^(1/2) )</f>
        <v>98.216232128391695</v>
      </c>
    </row>
    <row r="52" spans="2:4" x14ac:dyDescent="0.2">
      <c r="C52" s="3">
        <f>AVERAGE(C51,C53)</f>
        <v>9.8662174096293782</v>
      </c>
      <c r="D52">
        <f t="shared" ref="D52:D54" si="5">( C52  * ((C52/$C$7)^2 * ($C$9^2 + ($C$12 / $C$11)^2 ) - ($C$12 / $C$11)^2 )^(1/2) )</f>
        <v>499.02927964943001</v>
      </c>
    </row>
    <row r="53" spans="2:4" x14ac:dyDescent="0.2">
      <c r="C53" s="3">
        <f>AVERAGE(C51,C55)</f>
        <v>9.9108116064195855</v>
      </c>
      <c r="D53">
        <f t="shared" si="5"/>
        <v>702.74064749601882</v>
      </c>
    </row>
    <row r="54" spans="2:4" x14ac:dyDescent="0.2">
      <c r="C54" s="3">
        <f>AVERAGE(C53,C55)</f>
        <v>9.9554058032097927</v>
      </c>
      <c r="D54">
        <f t="shared" si="5"/>
        <v>862.64010174681994</v>
      </c>
    </row>
    <row r="55" spans="2:4" x14ac:dyDescent="0.2">
      <c r="C55" s="3">
        <f>MAX(I6,I9)</f>
        <v>10</v>
      </c>
      <c r="D55">
        <f t="shared" ref="D55" si="6">( C55  * ((C55/$C$7)^2 * ($C$9^2 + ($C$12 / $C$11)^2 ) - ($C$12 / $C$11)^2 )^(1/2) )</f>
        <v>1000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CD38D-A9A0-4B41-A107-CB11F6C6FC98}">
  <dimension ref="A1:I48"/>
  <sheetViews>
    <sheetView workbookViewId="0">
      <selection activeCell="E30" sqref="E30"/>
    </sheetView>
  </sheetViews>
  <sheetFormatPr baseColWidth="10" defaultRowHeight="16" x14ac:dyDescent="0.2"/>
  <cols>
    <col min="1" max="1" width="52.1640625" customWidth="1"/>
    <col min="2" max="3" width="13" customWidth="1"/>
    <col min="5" max="5" width="14.83203125" customWidth="1"/>
  </cols>
  <sheetData>
    <row r="1" spans="1:9" s="30" customFormat="1" x14ac:dyDescent="0.2"/>
    <row r="2" spans="1:9" s="30" customFormat="1" x14ac:dyDescent="0.2"/>
    <row r="3" spans="1:9" x14ac:dyDescent="0.2">
      <c r="A3" s="2" t="s">
        <v>62</v>
      </c>
      <c r="B3" s="1" t="s">
        <v>5</v>
      </c>
      <c r="C3">
        <v>100</v>
      </c>
      <c r="D3" s="1" t="s">
        <v>61</v>
      </c>
      <c r="E3">
        <v>3</v>
      </c>
      <c r="F3" s="1" t="s">
        <v>34</v>
      </c>
      <c r="G3">
        <v>1</v>
      </c>
      <c r="H3" s="1" t="s">
        <v>36</v>
      </c>
      <c r="I3">
        <v>1</v>
      </c>
    </row>
    <row r="4" spans="1:9" x14ac:dyDescent="0.2">
      <c r="B4" s="1" t="s">
        <v>6</v>
      </c>
      <c r="C4">
        <v>300</v>
      </c>
      <c r="F4" s="1" t="s">
        <v>35</v>
      </c>
      <c r="G4">
        <v>900</v>
      </c>
      <c r="H4" s="1" t="s">
        <v>37</v>
      </c>
      <c r="I4">
        <v>519.61500000000001</v>
      </c>
    </row>
    <row r="6" spans="1:9" x14ac:dyDescent="0.2">
      <c r="A6" s="46"/>
      <c r="B6" s="54" t="s">
        <v>44</v>
      </c>
      <c r="C6" s="54" t="s">
        <v>38</v>
      </c>
      <c r="D6" s="55" t="s">
        <v>39</v>
      </c>
    </row>
    <row r="7" spans="1:9" x14ac:dyDescent="0.2">
      <c r="A7" s="52" t="s">
        <v>55</v>
      </c>
      <c r="B7" s="12">
        <f>$C$4/$C$3</f>
        <v>3</v>
      </c>
      <c r="C7" s="12">
        <f>$C$4/$C$3</f>
        <v>3</v>
      </c>
      <c r="D7" s="48">
        <f>$C$4/$C$3</f>
        <v>3</v>
      </c>
      <c r="E7" s="28"/>
    </row>
    <row r="8" spans="1:9" x14ac:dyDescent="0.2">
      <c r="A8" s="52" t="s">
        <v>58</v>
      </c>
      <c r="B8" s="12">
        <f>(C4/C3)^2</f>
        <v>9</v>
      </c>
      <c r="C8" s="12">
        <f>((C4+($G$4/$G$3))/(C3+($G$4/$G$3)))^2</f>
        <v>1.44</v>
      </c>
      <c r="D8" s="48">
        <f>(C4^2+($I$4/$I$3)^2)/(C3^2+($I$4/$I$3)^2)</f>
        <v>1.2857145426277821</v>
      </c>
      <c r="E8" s="28"/>
    </row>
    <row r="9" spans="1:9" x14ac:dyDescent="0.2">
      <c r="A9" s="52" t="s">
        <v>54</v>
      </c>
      <c r="B9" s="12">
        <f>(C4/C3)^(1/(E3+1))</f>
        <v>1.3160740129524926</v>
      </c>
      <c r="C9" s="12">
        <f>(C4+($G$4/$G$3))/(C3+($G$4/$G$3))</f>
        <v>1.2</v>
      </c>
      <c r="D9" s="48">
        <f>SQRT((C4^2+($I$4/$I$3)^2)/(C3^2+($I$4/$I$3)^2))</f>
        <v>1.1338935323158794</v>
      </c>
      <c r="E9" s="28"/>
    </row>
    <row r="10" spans="1:9" x14ac:dyDescent="0.2">
      <c r="A10" s="52" t="s">
        <v>56</v>
      </c>
      <c r="B10" s="12">
        <f>(C4/C3)^(1/(E3+1))</f>
        <v>1.3160740129524926</v>
      </c>
      <c r="C10" s="12">
        <f>(C4+($G$4/$G$3))/(C3+($G$4/$G$3))</f>
        <v>1.2</v>
      </c>
      <c r="D10" s="48">
        <f>SQRT((C4^2+($I$4/$I$3)^2)/(C3^2+($I$4/$I$3)^2))</f>
        <v>1.1338935323158794</v>
      </c>
      <c r="E10" s="28"/>
    </row>
    <row r="11" spans="1:9" x14ac:dyDescent="0.2">
      <c r="A11" s="53" t="s">
        <v>57</v>
      </c>
      <c r="B11" s="50">
        <f>(C4/C3)^(2/(E3+1))</f>
        <v>1.7320508075688772</v>
      </c>
      <c r="C11" s="50">
        <f>((C4+($G$4/$G$3))/(C3+($G$4/$G$3)))^2</f>
        <v>1.44</v>
      </c>
      <c r="D11" s="51">
        <f>(C4^2+($I$4/$I$3)^2)/(C3^2+($I$4/$I$3)^2)</f>
        <v>1.2857145426277821</v>
      </c>
      <c r="E11" s="28"/>
    </row>
    <row r="12" spans="1:9" x14ac:dyDescent="0.2">
      <c r="A12" s="44"/>
      <c r="B12" s="28"/>
      <c r="C12" s="28"/>
      <c r="D12" s="28"/>
      <c r="E12" s="28"/>
      <c r="F12" s="28"/>
      <c r="G12" s="28"/>
      <c r="H12" s="28"/>
      <c r="I12" s="30"/>
    </row>
    <row r="13" spans="1:9" x14ac:dyDescent="0.2">
      <c r="A13" s="28"/>
      <c r="B13" s="28"/>
      <c r="C13" s="28"/>
      <c r="D13" s="28"/>
      <c r="E13" s="28"/>
      <c r="F13" s="28"/>
      <c r="G13" s="45"/>
      <c r="H13" s="45"/>
      <c r="I13" s="30"/>
    </row>
    <row r="14" spans="1:9" x14ac:dyDescent="0.2">
      <c r="A14" s="28"/>
      <c r="B14" s="28"/>
      <c r="C14" s="28"/>
      <c r="D14" s="28"/>
      <c r="E14" s="28"/>
      <c r="F14" s="30"/>
      <c r="G14" s="3"/>
      <c r="H14" s="3"/>
      <c r="I14" s="30"/>
    </row>
    <row r="15" spans="1:9" x14ac:dyDescent="0.2">
      <c r="A15" s="28"/>
      <c r="B15" s="28"/>
      <c r="C15" s="28"/>
      <c r="D15" s="28"/>
      <c r="E15" s="28"/>
      <c r="F15" s="30"/>
      <c r="G15" s="3"/>
      <c r="H15" s="3"/>
      <c r="I15" s="30"/>
    </row>
    <row r="16" spans="1:9" x14ac:dyDescent="0.2">
      <c r="A16" s="28"/>
      <c r="B16" s="28"/>
      <c r="C16" s="28"/>
      <c r="D16" s="28"/>
      <c r="E16" s="28"/>
      <c r="F16" s="30"/>
      <c r="G16" s="3"/>
      <c r="H16" s="3"/>
      <c r="I16" s="30"/>
    </row>
    <row r="17" spans="1:9" x14ac:dyDescent="0.2">
      <c r="A17" s="44"/>
      <c r="B17" s="28"/>
      <c r="C17" s="28"/>
      <c r="D17" s="28"/>
      <c r="E17" s="28"/>
      <c r="F17" s="28"/>
      <c r="G17" s="28"/>
      <c r="H17" s="28"/>
      <c r="I17" s="30"/>
    </row>
    <row r="18" spans="1:9" x14ac:dyDescent="0.2">
      <c r="A18" s="28"/>
      <c r="B18" s="28"/>
      <c r="C18" s="28"/>
      <c r="D18" s="28"/>
      <c r="E18" s="28"/>
      <c r="F18" s="28"/>
      <c r="G18" s="45"/>
      <c r="H18" s="45"/>
      <c r="I18" s="30"/>
    </row>
    <row r="19" spans="1:9" x14ac:dyDescent="0.2">
      <c r="A19" s="28"/>
      <c r="B19" s="28"/>
      <c r="C19" s="28"/>
      <c r="D19" s="28"/>
      <c r="E19" s="28"/>
      <c r="F19" s="30"/>
      <c r="G19" s="3"/>
      <c r="H19" s="3"/>
      <c r="I19" s="30"/>
    </row>
    <row r="20" spans="1:9" x14ac:dyDescent="0.2">
      <c r="A20" s="28"/>
      <c r="B20" s="28"/>
      <c r="C20" s="28"/>
      <c r="D20" s="28"/>
      <c r="E20" s="28"/>
      <c r="F20" s="30"/>
      <c r="G20" s="3"/>
      <c r="H20" s="3"/>
      <c r="I20" s="30"/>
    </row>
    <row r="21" spans="1:9" x14ac:dyDescent="0.2">
      <c r="A21" s="28"/>
      <c r="B21" s="28"/>
      <c r="C21" s="28"/>
      <c r="D21" s="28"/>
      <c r="E21" s="28"/>
      <c r="F21" s="30"/>
      <c r="G21" s="3"/>
      <c r="H21" s="3"/>
      <c r="I21" s="30"/>
    </row>
    <row r="22" spans="1:9" x14ac:dyDescent="0.2">
      <c r="A22" s="30"/>
      <c r="B22" s="30"/>
      <c r="C22" s="30"/>
      <c r="D22" s="30"/>
      <c r="E22" s="30"/>
      <c r="F22" s="30"/>
      <c r="G22" s="30"/>
      <c r="H22" s="30"/>
      <c r="I22" s="30"/>
    </row>
    <row r="23" spans="1:9" x14ac:dyDescent="0.2">
      <c r="A23" s="30"/>
      <c r="B23" s="30"/>
      <c r="C23" s="30"/>
      <c r="D23" s="30"/>
      <c r="E23" s="30"/>
      <c r="F23" s="30"/>
      <c r="G23" s="30"/>
      <c r="H23" s="30"/>
      <c r="I23" s="30"/>
    </row>
    <row r="24" spans="1:9" x14ac:dyDescent="0.2">
      <c r="A24" s="30"/>
      <c r="B24" s="30"/>
      <c r="C24" s="30"/>
      <c r="D24" s="30"/>
      <c r="E24" s="30"/>
      <c r="F24" s="30"/>
      <c r="G24" s="30"/>
      <c r="H24" s="30"/>
      <c r="I24" s="30"/>
    </row>
    <row r="25" spans="1:9" x14ac:dyDescent="0.2">
      <c r="A25" s="30"/>
      <c r="B25" s="30"/>
      <c r="C25" s="30"/>
      <c r="D25" s="30"/>
      <c r="E25" s="30"/>
      <c r="F25" s="30"/>
      <c r="G25" s="30"/>
      <c r="H25" s="30"/>
      <c r="I25" s="30"/>
    </row>
    <row r="26" spans="1:9" x14ac:dyDescent="0.2">
      <c r="A26" s="30"/>
      <c r="B26" s="30"/>
      <c r="C26" s="30"/>
      <c r="D26" s="30"/>
      <c r="E26" s="30"/>
      <c r="F26" s="30"/>
      <c r="G26" s="30"/>
      <c r="H26" s="30"/>
      <c r="I26" s="30"/>
    </row>
    <row r="36" spans="6:8" x14ac:dyDescent="0.2">
      <c r="F36" s="3"/>
      <c r="G36" s="3"/>
      <c r="H36" s="3"/>
    </row>
    <row r="37" spans="6:8" x14ac:dyDescent="0.2">
      <c r="F37" s="3"/>
      <c r="G37" s="3"/>
      <c r="H37" s="3"/>
    </row>
    <row r="38" spans="6:8" x14ac:dyDescent="0.2">
      <c r="F38" s="3"/>
      <c r="G38" s="3"/>
      <c r="H38" s="3"/>
    </row>
    <row r="39" spans="6:8" x14ac:dyDescent="0.2">
      <c r="F39" s="3"/>
      <c r="G39" s="3"/>
      <c r="H39" s="3"/>
    </row>
    <row r="40" spans="6:8" x14ac:dyDescent="0.2">
      <c r="F40" s="3"/>
      <c r="G40" s="3"/>
      <c r="H40" s="3"/>
    </row>
    <row r="41" spans="6:8" x14ac:dyDescent="0.2">
      <c r="F41" s="3"/>
      <c r="G41" s="3"/>
      <c r="H41" s="3"/>
    </row>
    <row r="42" spans="6:8" x14ac:dyDescent="0.2">
      <c r="F42" s="3"/>
      <c r="G42" s="3"/>
      <c r="H42" s="3"/>
    </row>
    <row r="43" spans="6:8" x14ac:dyDescent="0.2">
      <c r="F43" s="3"/>
      <c r="G43" s="3"/>
      <c r="H43" s="3"/>
    </row>
    <row r="44" spans="6:8" x14ac:dyDescent="0.2">
      <c r="F44" s="3"/>
      <c r="G44" s="3"/>
      <c r="H44" s="3"/>
    </row>
    <row r="45" spans="6:8" x14ac:dyDescent="0.2">
      <c r="F45" s="3"/>
      <c r="G45" s="3"/>
      <c r="H45" s="3"/>
    </row>
    <row r="46" spans="6:8" x14ac:dyDescent="0.2">
      <c r="F46" s="3"/>
      <c r="G46" s="3"/>
      <c r="H46" s="3"/>
    </row>
    <row r="47" spans="6:8" x14ac:dyDescent="0.2">
      <c r="F47" s="3"/>
      <c r="G47" s="3"/>
      <c r="H47" s="3"/>
    </row>
    <row r="48" spans="6:8" x14ac:dyDescent="0.2">
      <c r="F48" s="3"/>
      <c r="G48" s="3"/>
      <c r="H48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Application Data</vt:lpstr>
      <vt:lpstr>POSE Insights</vt:lpstr>
      <vt:lpstr>Et^n POSE Model</vt:lpstr>
      <vt:lpstr>EDS POSE Model</vt:lpstr>
      <vt:lpstr>EDD POSE Model</vt:lpstr>
      <vt:lpstr>System Summary 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2018-10-18T14:02:37Z</dcterms:created>
  <dcterms:modified xsi:type="dcterms:W3CDTF">2019-03-21T13:22:32Z</dcterms:modified>
</cp:coreProperties>
</file>